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2600" tabRatio="821" firstSheet="65" activeTab="93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30" sheetId="24" r:id="rId52"/>
    <sheet name="307" sheetId="64" r:id="rId53"/>
    <sheet name="308" sheetId="27" r:id="rId54"/>
    <sheet name="311" sheetId="66" r:id="rId55"/>
    <sheet name="324" sheetId="75" r:id="rId56"/>
    <sheet name="331" sheetId="30" r:id="rId57"/>
    <sheet name="315" sheetId="69" r:id="rId58"/>
    <sheet name="326" sheetId="77" r:id="rId59"/>
    <sheet name="332" sheetId="33" r:id="rId60"/>
    <sheet name="316" sheetId="70" r:id="rId61"/>
    <sheet name="Div 6" sheetId="51" r:id="rId62"/>
    <sheet name="317" sheetId="71" r:id="rId63"/>
    <sheet name="310" sheetId="21" r:id="rId64"/>
    <sheet name="309" sheetId="65" r:id="rId65"/>
    <sheet name="313" sheetId="67" r:id="rId66"/>
    <sheet name="321" sheetId="73" r:id="rId67"/>
    <sheet name="322" sheetId="74" r:id="rId68"/>
    <sheet name="325" sheetId="76" r:id="rId69"/>
    <sheet name="327" sheetId="78" r:id="rId70"/>
    <sheet name="Div 4" sheetId="36" r:id="rId71"/>
    <sheet name="310 &amp; 491" sheetId="39" r:id="rId72"/>
    <sheet name="491" sheetId="42" r:id="rId73"/>
    <sheet name="405" sheetId="79" r:id="rId74"/>
    <sheet name="406" sheetId="80" r:id="rId75"/>
    <sheet name="411" sheetId="81" r:id="rId76"/>
    <sheet name="412" sheetId="82" r:id="rId77"/>
    <sheet name="413" sheetId="83" r:id="rId78"/>
    <sheet name="414" sheetId="84" r:id="rId79"/>
    <sheet name="415" sheetId="85" r:id="rId80"/>
    <sheet name="418" sheetId="86" r:id="rId81"/>
    <sheet name="420" sheetId="87" r:id="rId82"/>
    <sheet name="423" sheetId="88" r:id="rId83"/>
    <sheet name="424" sheetId="89" r:id="rId84"/>
    <sheet name="425" sheetId="90" r:id="rId85"/>
    <sheet name="455" sheetId="96" r:id="rId86"/>
    <sheet name="492" sheetId="45" r:id="rId87"/>
    <sheet name="430" sheetId="91" r:id="rId88"/>
    <sheet name="433" sheetId="92" r:id="rId89"/>
    <sheet name="435" sheetId="93" r:id="rId90"/>
    <sheet name="444" sheetId="94" r:id="rId91"/>
    <sheet name="450" sheetId="95" r:id="rId92"/>
    <sheet name="Div 5" sheetId="48" r:id="rId93"/>
    <sheet name="501" sheetId="97" r:id="rId94"/>
    <sheet name="Dept" sheetId="98" state="hidden" r:id="rId95"/>
    <sheet name="OSR_Dept_Y0WUKY" sheetId="99" state="hidden" r:id="rId96"/>
    <sheet name="OSR_Summary (...56e5d78f_5JEYZH" sheetId="100" state="hidden" r:id="rId97"/>
  </sheets>
  <definedNames>
    <definedName name="OSRRefD13x_0" localSheetId="41">'201'!$D$13</definedName>
    <definedName name="OSRRefD13x_0" localSheetId="42">'202'!$D$13</definedName>
    <definedName name="OSRRefD13x_0" localSheetId="48">'300'!$D$13:$D$78</definedName>
    <definedName name="OSRRefD13x_0" localSheetId="49">'300 &amp; 317'!$D$13:$D$93</definedName>
    <definedName name="OSRRefD13x_0" localSheetId="52">'307'!$D$13:$D$23</definedName>
    <definedName name="OSRRefD13x_0" localSheetId="53">'308'!$D$13:$D$35</definedName>
    <definedName name="OSRRefD13x_0" localSheetId="64">'309'!$D$13</definedName>
    <definedName name="OSRRefD13x_0" localSheetId="63">'310'!$D$13:$D$20</definedName>
    <definedName name="OSRRefD13x_0" localSheetId="71">'310 &amp; 491'!$D$13:$D$25</definedName>
    <definedName name="OSRRefD13x_0" localSheetId="54">'311'!$D$13:$D$34</definedName>
    <definedName name="OSRRefD13x_0" localSheetId="65">'313'!$D$13:$D$17</definedName>
    <definedName name="OSRRefD13x_0" localSheetId="57">'315'!$D$13:$D$51</definedName>
    <definedName name="OSRRefD13x_0" localSheetId="60">'316'!$D$13:$D$24</definedName>
    <definedName name="OSRRefD13x_0" localSheetId="62">'317'!$D$13:$D$31</definedName>
    <definedName name="OSRRefD13x_0" localSheetId="66">'321'!$D$13:$D$15</definedName>
    <definedName name="OSRRefD13x_0" localSheetId="67">'322'!$D$13</definedName>
    <definedName name="OSRRefD13x_0" localSheetId="55">'324'!$D$13:$D$16</definedName>
    <definedName name="OSRRefD13x_0" localSheetId="68">'325'!$D$13:$D$14</definedName>
    <definedName name="OSRRefD13x_0" localSheetId="58">'326'!$D$13:$D$33</definedName>
    <definedName name="OSRRefD13x_0" localSheetId="69">'327'!$D$13:$D$14</definedName>
    <definedName name="OSRRefD13x_0" localSheetId="51">'330'!$D$13:$D$26</definedName>
    <definedName name="OSRRefD13x_0" localSheetId="56">'331'!$D$13:$D$51</definedName>
    <definedName name="OSRRefD13x_0" localSheetId="59">'332'!$D$13:$D$24</definedName>
    <definedName name="OSRRefD13x_0" localSheetId="73">'405'!$D$13:$D$14</definedName>
    <definedName name="OSRRefD13x_0" localSheetId="76">'412'!$D$13</definedName>
    <definedName name="OSRRefD13x_0" localSheetId="77">'413'!$D$13:$D$14</definedName>
    <definedName name="OSRRefD13x_0" localSheetId="78">'414'!$D$13:$D$15</definedName>
    <definedName name="OSRRefD13x_0" localSheetId="79">'415'!$D$13:$D$16</definedName>
    <definedName name="OSRRefD13x_0" localSheetId="80">'418'!$D$13:$D$14</definedName>
    <definedName name="OSRRefD13x_0" localSheetId="81">'420'!$D$13:$D$14</definedName>
    <definedName name="OSRRefD13x_0" localSheetId="88">'433'!$D$13:$D$16</definedName>
    <definedName name="OSRRefD13x_0" localSheetId="90">'444'!$D$13:$D$16</definedName>
    <definedName name="OSRRefD13x_0" localSheetId="91">'450'!$D$13:$D$14</definedName>
    <definedName name="OSRRefD13x_0" localSheetId="72">'491'!$D$13:$D$19</definedName>
    <definedName name="OSRRefD13x_0" localSheetId="86">'492'!$D$13:$D$16</definedName>
    <definedName name="OSRRefD13x_0" localSheetId="93">'501'!$D$13</definedName>
    <definedName name="OSRRefD13x_0" localSheetId="39">'Div 2'!$D$13</definedName>
    <definedName name="OSRRefD13x_0" localSheetId="47">'Div 3'!$D$13:$D$80</definedName>
    <definedName name="OSRRefD13x_0" localSheetId="70">'Div 4'!$D$13:$D$21</definedName>
    <definedName name="OSRRefD13x_0" localSheetId="92">'Div 5'!$D$13</definedName>
    <definedName name="OSRRefD13x_0" localSheetId="61">'Div 6'!$D$13:$D$31</definedName>
    <definedName name="OSRRefD13x_0" localSheetId="2">Summary!$D$13:$D$101</definedName>
    <definedName name="OSRRefD16x_0" localSheetId="48">'300'!$D$81:$D$119</definedName>
    <definedName name="OSRRefD16x_0" localSheetId="49">'300 &amp; 317'!$D$96:$D$143</definedName>
    <definedName name="OSRRefD16x_0" localSheetId="50">'301'!$D$15</definedName>
    <definedName name="OSRRefD16x_0" localSheetId="52">'307'!$D$26:$D$33</definedName>
    <definedName name="OSRRefD16x_0" localSheetId="53">'308'!$D$38:$D$53</definedName>
    <definedName name="OSRRefD16x_0" localSheetId="64">'309'!$D$16</definedName>
    <definedName name="OSRRefD16x_0" localSheetId="63">'310'!$D$23:$D$25</definedName>
    <definedName name="OSRRefD16x_0" localSheetId="71">'310 &amp; 491'!$D$28:$D$30</definedName>
    <definedName name="OSRRefD16x_0" localSheetId="54">'311'!$D$37:$D$52</definedName>
    <definedName name="OSRRefD16x_0" localSheetId="65">'313'!$D$20:$D$21</definedName>
    <definedName name="OSRRefD16x_0" localSheetId="57">'315'!$D$54:$D$77</definedName>
    <definedName name="OSRRefD16x_0" localSheetId="62">'317'!$D$34:$D$47</definedName>
    <definedName name="OSRRefD16x_0" localSheetId="66">'321'!$D$18:$D$20</definedName>
    <definedName name="OSRRefD16x_0" localSheetId="67">'322'!$D$16:$D$17</definedName>
    <definedName name="OSRRefD16x_0" localSheetId="55">'324'!$D$19:$D$21</definedName>
    <definedName name="OSRRefD16x_0" localSheetId="68">'325'!$D$17:$D$19</definedName>
    <definedName name="OSRRefD16x_0" localSheetId="58">'326'!$D$36:$D$43</definedName>
    <definedName name="OSRRefD16x_0" localSheetId="69">'327'!$D$17:$D$19</definedName>
    <definedName name="OSRRefD16x_0" localSheetId="51">'330'!$D$29:$D$36</definedName>
    <definedName name="OSRRefD16x_0" localSheetId="56">'331'!$D$54:$D$78</definedName>
    <definedName name="OSRRefD16x_0" localSheetId="59">'332'!$D$27:$D$28</definedName>
    <definedName name="OSRRefD16x_0" localSheetId="73">'405'!$D$17:$D$18</definedName>
    <definedName name="OSRRefD16x_0" localSheetId="76">'412'!$D$16</definedName>
    <definedName name="OSRRefD16x_0" localSheetId="77">'413'!$D$17</definedName>
    <definedName name="OSRRefD16x_0" localSheetId="78">'414'!$D$18:$D$19</definedName>
    <definedName name="OSRRefD16x_0" localSheetId="79">'415'!$D$19:$D$21</definedName>
    <definedName name="OSRRefD16x_0" localSheetId="80">'418'!$D$17:$D$18</definedName>
    <definedName name="OSRRefD16x_0" localSheetId="84">'425'!$D$15</definedName>
    <definedName name="OSRRefD16x_0" localSheetId="88">'433'!$D$19:$D$21</definedName>
    <definedName name="OSRRefD16x_0" localSheetId="90">'444'!$D$19:$D$21</definedName>
    <definedName name="OSRRefD16x_0" localSheetId="91">'450'!$D$17</definedName>
    <definedName name="OSRRefD16x_0" localSheetId="72">'491'!$D$22:$D$24</definedName>
    <definedName name="OSRRefD16x_0" localSheetId="86">'492'!$D$19:$D$21</definedName>
    <definedName name="OSRRefD16x_0" localSheetId="47">'Div 3'!$D$83:$D$123</definedName>
    <definedName name="OSRRefD16x_0" localSheetId="70">'Div 4'!$D$24:$D$26</definedName>
    <definedName name="OSRRefD16x_0" localSheetId="61">'Div 6'!$D$34:$D$47</definedName>
    <definedName name="OSRRefD16x_0" localSheetId="2">Summary!$D$104:$D$153</definedName>
    <definedName name="OSRRefD22_0x_0" localSheetId="40">'200'!$D$20</definedName>
    <definedName name="OSRRefD22_0x_0" localSheetId="41">'201'!$D$21:$D$29</definedName>
    <definedName name="OSRRefD22_0x_0" localSheetId="42">'202'!$D$21:$D$29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'300'!$D$125:$D$134</definedName>
    <definedName name="OSRRefD22_0x_0" localSheetId="49">'300 &amp; 317'!$D$149:$D$158</definedName>
    <definedName name="OSRRefD22_0x_0" localSheetId="50">'301'!$D$21:$D$30</definedName>
    <definedName name="OSRRefD22_0x_0" localSheetId="52">'307'!$D$39:$D$46</definedName>
    <definedName name="OSRRefD22_0x_0" localSheetId="53">'308'!$D$59:$D$68</definedName>
    <definedName name="OSRRefD22_0x_0" localSheetId="64">'309'!$D$22:$D$29</definedName>
    <definedName name="OSRRefD22_0x_0" localSheetId="63">'310'!$D$31:$D$39</definedName>
    <definedName name="OSRRefD22_0x_0" localSheetId="71">'310 &amp; 491'!$D$36:$D$44</definedName>
    <definedName name="OSRRefD22_0x_0" localSheetId="54">'311'!$D$58:$D$67</definedName>
    <definedName name="OSRRefD22_0x_0" localSheetId="65">'313'!$D$27:$D$35</definedName>
    <definedName name="OSRRefD22_0x_0" localSheetId="57">'315'!$D$83:$D$91</definedName>
    <definedName name="OSRRefD22_0x_0" localSheetId="60">'316'!$D$32:$D$40</definedName>
    <definedName name="OSRRefD22_0x_0" localSheetId="62">'317'!$D$53:$D$62</definedName>
    <definedName name="OSRRefD22_0x_0" localSheetId="66">'321'!$D$26:$D$34</definedName>
    <definedName name="OSRRefD22_0x_0" localSheetId="67">'322'!$D$23:$D$30</definedName>
    <definedName name="OSRRefD22_0x_0" localSheetId="55">'324'!$D$27:$D$34</definedName>
    <definedName name="OSRRefD22_0x_0" localSheetId="68">'325'!$D$25:$D$32</definedName>
    <definedName name="OSRRefD22_0x_0" localSheetId="58">'326'!$D$49:$D$57</definedName>
    <definedName name="OSRRefD22_0x_0" localSheetId="69">'327'!$D$25</definedName>
    <definedName name="OSRRefD22_0x_0" localSheetId="51">'330'!$D$42:$D$50</definedName>
    <definedName name="OSRRefD22_0x_0" localSheetId="56">'331'!$D$84:$D$92</definedName>
    <definedName name="OSRRefD22_0x_0" localSheetId="59">'332'!$D$34:$D$42</definedName>
    <definedName name="OSRRefD22_0x_0" localSheetId="73">'405'!$D$24:$D$31</definedName>
    <definedName name="OSRRefD22_0x_0" localSheetId="74">'406'!$D$20</definedName>
    <definedName name="OSRRefD22_0x_0" localSheetId="75">'411'!$D$20:$D$28</definedName>
    <definedName name="OSRRefD22_0x_0" localSheetId="76">'412'!$D$22:$D$29</definedName>
    <definedName name="OSRRefD22_0x_0" localSheetId="77">'413'!$D$23:$D$31</definedName>
    <definedName name="OSRRefD22_0x_0" localSheetId="78">'414'!$D$25:$D$33</definedName>
    <definedName name="OSRRefD22_0x_0" localSheetId="79">'415'!$D$27:$D$35</definedName>
    <definedName name="OSRRefD22_0x_0" localSheetId="80">'418'!$D$24:$D$31</definedName>
    <definedName name="OSRRefD22_0x_0" localSheetId="81">'420'!$D$22</definedName>
    <definedName name="OSRRefD22_0x_0" localSheetId="82">'423'!$D$20:$D$27</definedName>
    <definedName name="OSRRefD22_0x_0" localSheetId="83">'424'!$D$20</definedName>
    <definedName name="OSRRefD22_0x_0" localSheetId="84">'425'!$D$21:$D$25</definedName>
    <definedName name="OSRRefD22_0x_0" localSheetId="87">'430'!$D$20:$D$28</definedName>
    <definedName name="OSRRefD22_0x_0" localSheetId="88">'433'!$D$27:$D$36</definedName>
    <definedName name="OSRRefD22_0x_0" localSheetId="89">'435'!$D$20</definedName>
    <definedName name="OSRRefD22_0x_0" localSheetId="90">'444'!$D$27:$D$36</definedName>
    <definedName name="OSRRefD22_0x_0" localSheetId="91">'450'!$D$23:$D$32</definedName>
    <definedName name="OSRRefD22_0x_0" localSheetId="72">'491'!$D$30:$D$38</definedName>
    <definedName name="OSRRefD22_0x_0" localSheetId="86">'492'!$D$27:$D$36</definedName>
    <definedName name="OSRRefD22_0x_0" localSheetId="93">'501'!$D$21:$D$30</definedName>
    <definedName name="OSRRefD22_0x_0" localSheetId="39">'Div 2'!$D$21:$D$31</definedName>
    <definedName name="OSRRefD22_0x_0" localSheetId="47">'Div 3'!$D$129:$D$138</definedName>
    <definedName name="OSRRefD22_0x_0" localSheetId="70">'Div 4'!$D$32:$D$41</definedName>
    <definedName name="OSRRefD22_0x_0" localSheetId="92">'Div 5'!$D$21:$D$30</definedName>
    <definedName name="OSRRefD22_0x_0" localSheetId="61">'Div 6'!$D$53:$D$62</definedName>
    <definedName name="OSRRefD22_0x_0" localSheetId="2">Summary!$D$159:$D$168</definedName>
    <definedName name="OSRRefD22_10x_0" localSheetId="41">'201'!$D$59:$D$61</definedName>
    <definedName name="OSRRefD22_10x_0" localSheetId="42">'202'!$D$63</definedName>
    <definedName name="OSRRefD22_10x_0" localSheetId="43">'203'!$D$62</definedName>
    <definedName name="OSRRefD22_10x_0" localSheetId="44">'204'!$D$62:$D$63</definedName>
    <definedName name="OSRRefD22_10x_0" localSheetId="48">'300'!$D$167:$D$168</definedName>
    <definedName name="OSRRefD22_10x_0" localSheetId="49">'300 &amp; 317'!$D$191:$D$192</definedName>
    <definedName name="OSRRefD22_10x_0" localSheetId="50">'301'!$D$61</definedName>
    <definedName name="OSRRefD22_10x_0" localSheetId="52">'307'!$D$77:$D$78</definedName>
    <definedName name="OSRRefD22_10x_0" localSheetId="53">'308'!$D$102:$D$103</definedName>
    <definedName name="OSRRefD22_10x_0" localSheetId="64">'309'!$D$62</definedName>
    <definedName name="OSRRefD22_10x_0" localSheetId="63">'310'!$D$69</definedName>
    <definedName name="OSRRefD22_10x_0" localSheetId="71">'310 &amp; 491'!$D$76</definedName>
    <definedName name="OSRRefD22_10x_0" localSheetId="54">'311'!$D$101:$D$102</definedName>
    <definedName name="OSRRefD22_10x_0" localSheetId="65">'313'!$D$68</definedName>
    <definedName name="OSRRefD22_10x_0" localSheetId="57">'315'!$D$123</definedName>
    <definedName name="OSRRefD22_10x_0" localSheetId="60">'316'!$D$72:$D$76</definedName>
    <definedName name="OSRRefD22_10x_0" localSheetId="62">'317'!$D$93</definedName>
    <definedName name="OSRRefD22_10x_0" localSheetId="66">'321'!$D$66:$D$68</definedName>
    <definedName name="OSRRefD22_10x_0" localSheetId="67">'322'!$D$64</definedName>
    <definedName name="OSRRefD22_10x_0" localSheetId="68">'325'!$D$62</definedName>
    <definedName name="OSRRefD22_10x_0" localSheetId="58">'326'!$D$87</definedName>
    <definedName name="OSRRefD22_10x_0" localSheetId="51">'330'!$D$81:$D$82</definedName>
    <definedName name="OSRRefD22_10x_0" localSheetId="56">'331'!$D$124</definedName>
    <definedName name="OSRRefD22_10x_0" localSheetId="59">'332'!$D$74:$D$78</definedName>
    <definedName name="OSRRefD22_10x_0" localSheetId="73">'405'!$D$62</definedName>
    <definedName name="OSRRefD22_10x_0" localSheetId="75">'411'!$D$61:$D$64</definedName>
    <definedName name="OSRRefD22_10x_0" localSheetId="76">'412'!$D$60:$D$63</definedName>
    <definedName name="OSRRefD22_10x_0" localSheetId="77">'413'!$D$64:$D$71</definedName>
    <definedName name="OSRRefD22_10x_0" localSheetId="78">'414'!$D$63</definedName>
    <definedName name="OSRRefD22_10x_0" localSheetId="79">'415'!$D$65</definedName>
    <definedName name="OSRRefD22_10x_0" localSheetId="80">'418'!$D$64:$D$65</definedName>
    <definedName name="OSRRefD22_10x_0" localSheetId="88">'433'!$D$65</definedName>
    <definedName name="OSRRefD22_10x_0" localSheetId="90">'444'!$D$65</definedName>
    <definedName name="OSRRefD22_10x_0" localSheetId="91">'450'!$D$61</definedName>
    <definedName name="OSRRefD22_10x_0" localSheetId="72">'491'!$D$69</definedName>
    <definedName name="OSRRefD22_10x_0" localSheetId="86">'492'!$D$65</definedName>
    <definedName name="OSRRefD22_10x_0" localSheetId="93">'501'!$D$63</definedName>
    <definedName name="OSRRefD22_10x_0" localSheetId="39">'Div 2'!$D$63</definedName>
    <definedName name="OSRRefD22_10x_0" localSheetId="47">'Div 3'!$D$171:$D$172</definedName>
    <definedName name="OSRRefD22_10x_0" localSheetId="70">'Div 4'!$D$72</definedName>
    <definedName name="OSRRefD22_10x_0" localSheetId="92">'Div 5'!$D$63</definedName>
    <definedName name="OSRRefD22_10x_0" localSheetId="61">'Div 6'!$D$93</definedName>
    <definedName name="OSRRefD22_10x_0" localSheetId="2">Summary!$D$202:$D$203</definedName>
    <definedName name="OSRRefD22_11x_0" localSheetId="41">'201'!$D$63:$D$64</definedName>
    <definedName name="OSRRefD22_11x_0" localSheetId="42">'202'!$D$65</definedName>
    <definedName name="OSRRefD22_11x_0" localSheetId="43">'203'!$D$64:$D$66</definedName>
    <definedName name="OSRRefD22_11x_0" localSheetId="44">'204'!$D$65</definedName>
    <definedName name="OSRRefD22_11x_0" localSheetId="48">'300'!$D$170:$D$172</definedName>
    <definedName name="OSRRefD22_11x_0" localSheetId="49">'300 &amp; 317'!$D$194:$D$196</definedName>
    <definedName name="OSRRefD22_11x_0" localSheetId="50">'301'!$D$63</definedName>
    <definedName name="OSRRefD22_11x_0" localSheetId="52">'307'!$D$80:$D$83</definedName>
    <definedName name="OSRRefD22_11x_0" localSheetId="53">'308'!$D$105:$D$107</definedName>
    <definedName name="OSRRefD22_11x_0" localSheetId="63">'310'!$D$71</definedName>
    <definedName name="OSRRefD22_11x_0" localSheetId="71">'310 &amp; 491'!$D$78</definedName>
    <definedName name="OSRRefD22_11x_0" localSheetId="54">'311'!$D$104:$D$106</definedName>
    <definedName name="OSRRefD22_11x_0" localSheetId="65">'313'!$D$70</definedName>
    <definedName name="OSRRefD22_11x_0" localSheetId="57">'315'!$D$125</definedName>
    <definedName name="OSRRefD22_11x_0" localSheetId="60">'316'!$D$78</definedName>
    <definedName name="OSRRefD22_11x_0" localSheetId="62">'317'!$D$95:$D$98</definedName>
    <definedName name="OSRRefD22_11x_0" localSheetId="66">'321'!$D$70:$D$71</definedName>
    <definedName name="OSRRefD22_11x_0" localSheetId="67">'322'!$D$66</definedName>
    <definedName name="OSRRefD22_11x_0" localSheetId="68">'325'!$D$64:$D$67</definedName>
    <definedName name="OSRRefD22_11x_0" localSheetId="58">'326'!$D$89</definedName>
    <definedName name="OSRRefD22_11x_0" localSheetId="51">'330'!$D$84:$D$87</definedName>
    <definedName name="OSRRefD22_11x_0" localSheetId="56">'331'!$D$126:$D$127</definedName>
    <definedName name="OSRRefD22_11x_0" localSheetId="59">'332'!$D$80</definedName>
    <definedName name="OSRRefD22_11x_0" localSheetId="73">'405'!$D$64:$D$67</definedName>
    <definedName name="OSRRefD22_11x_0" localSheetId="75">'411'!$D$66:$D$67</definedName>
    <definedName name="OSRRefD22_11x_0" localSheetId="76">'412'!$D$65:$D$69</definedName>
    <definedName name="OSRRefD22_11x_0" localSheetId="77">'413'!$D$73:$D$74</definedName>
    <definedName name="OSRRefD22_11x_0" localSheetId="78">'414'!$D$65</definedName>
    <definedName name="OSRRefD22_11x_0" localSheetId="79">'415'!$D$67:$D$68</definedName>
    <definedName name="OSRRefD22_11x_0" localSheetId="80">'418'!$D$67:$D$76</definedName>
    <definedName name="OSRRefD22_11x_0" localSheetId="88">'433'!$D$67:$D$69</definedName>
    <definedName name="OSRRefD22_11x_0" localSheetId="90">'444'!$D$67:$D$70</definedName>
    <definedName name="OSRRefD22_11x_0" localSheetId="91">'450'!$D$63</definedName>
    <definedName name="OSRRefD22_11x_0" localSheetId="72">'491'!$D$71</definedName>
    <definedName name="OSRRefD22_11x_0" localSheetId="86">'492'!$D$67</definedName>
    <definedName name="OSRRefD22_11x_0" localSheetId="93">'501'!$D$65:$D$66</definedName>
    <definedName name="OSRRefD22_11x_0" localSheetId="39">'Div 2'!$D$65:$D$66</definedName>
    <definedName name="OSRRefD22_11x_0" localSheetId="47">'Div 3'!$D$174:$D$176</definedName>
    <definedName name="OSRRefD22_11x_0" localSheetId="70">'Div 4'!$D$74</definedName>
    <definedName name="OSRRefD22_11x_0" localSheetId="92">'Div 5'!$D$65:$D$66</definedName>
    <definedName name="OSRRefD22_11x_0" localSheetId="61">'Div 6'!$D$95:$D$98</definedName>
    <definedName name="OSRRefD22_11x_0" localSheetId="2">Summary!$D$205:$D$207</definedName>
    <definedName name="OSRRefD22_12x_0" localSheetId="41">'201'!$D$66</definedName>
    <definedName name="OSRRefD22_12x_0" localSheetId="42">'202'!$D$67</definedName>
    <definedName name="OSRRefD22_12x_0" localSheetId="43">'203'!$D$68</definedName>
    <definedName name="OSRRefD22_12x_0" localSheetId="44">'204'!$D$67</definedName>
    <definedName name="OSRRefD22_12x_0" localSheetId="48">'300'!$D$174</definedName>
    <definedName name="OSRRefD22_12x_0" localSheetId="49">'300 &amp; 317'!$D$198</definedName>
    <definedName name="OSRRefD22_12x_0" localSheetId="50">'301'!$D$65</definedName>
    <definedName name="OSRRefD22_12x_0" localSheetId="52">'307'!$D$85:$D$86</definedName>
    <definedName name="OSRRefD22_12x_0" localSheetId="53">'308'!$D$109:$D$110</definedName>
    <definedName name="OSRRefD22_12x_0" localSheetId="63">'310'!$D$73</definedName>
    <definedName name="OSRRefD22_12x_0" localSheetId="71">'310 &amp; 491'!$D$80</definedName>
    <definedName name="OSRRefD22_12x_0" localSheetId="54">'311'!$D$108:$D$109</definedName>
    <definedName name="OSRRefD22_12x_0" localSheetId="57">'315'!$D$127:$D$129</definedName>
    <definedName name="OSRRefD22_12x_0" localSheetId="60">'316'!$D$80</definedName>
    <definedName name="OSRRefD22_12x_0" localSheetId="62">'317'!$D$100</definedName>
    <definedName name="OSRRefD22_12x_0" localSheetId="66">'321'!$D$73</definedName>
    <definedName name="OSRRefD22_12x_0" localSheetId="68">'325'!$D$69:$D$71</definedName>
    <definedName name="OSRRefD22_12x_0" localSheetId="58">'326'!$D$91</definedName>
    <definedName name="OSRRefD22_12x_0" localSheetId="51">'330'!$D$89:$D$90</definedName>
    <definedName name="OSRRefD22_12x_0" localSheetId="56">'331'!$D$129</definedName>
    <definedName name="OSRRefD22_12x_0" localSheetId="59">'332'!$D$82</definedName>
    <definedName name="OSRRefD22_12x_0" localSheetId="73">'405'!$D$69</definedName>
    <definedName name="OSRRefD22_12x_0" localSheetId="75">'411'!$D$69:$D$75</definedName>
    <definedName name="OSRRefD22_12x_0" localSheetId="76">'412'!$D$71:$D$72</definedName>
    <definedName name="OSRRefD22_12x_0" localSheetId="77">'413'!$D$76</definedName>
    <definedName name="OSRRefD22_12x_0" localSheetId="78">'414'!$D$67:$D$69</definedName>
    <definedName name="OSRRefD22_12x_0" localSheetId="79">'415'!$D$70:$D$74</definedName>
    <definedName name="OSRRefD22_12x_0" localSheetId="80">'418'!$D$78:$D$79</definedName>
    <definedName name="OSRRefD22_12x_0" localSheetId="88">'433'!$D$71:$D$74</definedName>
    <definedName name="OSRRefD22_12x_0" localSheetId="90">'444'!$D$72:$D$75</definedName>
    <definedName name="OSRRefD22_12x_0" localSheetId="91">'450'!$D$65</definedName>
    <definedName name="OSRRefD22_12x_0" localSheetId="72">'491'!$D$73</definedName>
    <definedName name="OSRRefD22_12x_0" localSheetId="86">'492'!$D$69:$D$72</definedName>
    <definedName name="OSRRefD22_12x_0" localSheetId="93">'501'!$D$68</definedName>
    <definedName name="OSRRefD22_12x_0" localSheetId="39">'Div 2'!$D$68:$D$71</definedName>
    <definedName name="OSRRefD22_12x_0" localSheetId="47">'Div 3'!$D$178</definedName>
    <definedName name="OSRRefD22_12x_0" localSheetId="70">'Div 4'!$D$76</definedName>
    <definedName name="OSRRefD22_12x_0" localSheetId="92">'Div 5'!$D$68</definedName>
    <definedName name="OSRRefD22_12x_0" localSheetId="61">'Div 6'!$D$100</definedName>
    <definedName name="OSRRefD22_12x_0" localSheetId="2">Summary!$D$209</definedName>
    <definedName name="OSRRefD22_13x_0" localSheetId="41">'201'!$D$68:$D$70</definedName>
    <definedName name="OSRRefD22_13x_0" localSheetId="43">'203'!$D$70</definedName>
    <definedName name="OSRRefD22_13x_0" localSheetId="48">'300'!$D$176:$D$177</definedName>
    <definedName name="OSRRefD22_13x_0" localSheetId="49">'300 &amp; 317'!$D$200:$D$201</definedName>
    <definedName name="OSRRefD22_13x_0" localSheetId="50">'301'!$D$67</definedName>
    <definedName name="OSRRefD22_13x_0" localSheetId="52">'307'!$D$88</definedName>
    <definedName name="OSRRefD22_13x_0" localSheetId="53">'308'!$D$112</definedName>
    <definedName name="OSRRefD22_13x_0" localSheetId="63">'310'!$D$75:$D$78</definedName>
    <definedName name="OSRRefD22_13x_0" localSheetId="71">'310 &amp; 491'!$D$82:$D$85</definedName>
    <definedName name="OSRRefD22_13x_0" localSheetId="54">'311'!$D$111</definedName>
    <definedName name="OSRRefD22_13x_0" localSheetId="57">'315'!$D$131:$D$132</definedName>
    <definedName name="OSRRefD22_13x_0" localSheetId="62">'317'!$D$102</definedName>
    <definedName name="OSRRefD22_13x_0" localSheetId="66">'321'!$D$75</definedName>
    <definedName name="OSRRefD22_13x_0" localSheetId="68">'325'!$D$73</definedName>
    <definedName name="OSRRefD22_13x_0" localSheetId="58">'326'!$D$93:$D$95</definedName>
    <definedName name="OSRRefD22_13x_0" localSheetId="51">'330'!$D$92</definedName>
    <definedName name="OSRRefD22_13x_0" localSheetId="56">'331'!$D$131</definedName>
    <definedName name="OSRRefD22_13x_0" localSheetId="73">'405'!$D$71:$D$79</definedName>
    <definedName name="OSRRefD22_13x_0" localSheetId="75">'411'!$D$77</definedName>
    <definedName name="OSRRefD22_13x_0" localSheetId="76">'412'!$D$74</definedName>
    <definedName name="OSRRefD22_13x_0" localSheetId="78">'414'!$D$71</definedName>
    <definedName name="OSRRefD22_13x_0" localSheetId="79">'415'!$D$76</definedName>
    <definedName name="OSRRefD22_13x_0" localSheetId="80">'418'!$D$81</definedName>
    <definedName name="OSRRefD22_13x_0" localSheetId="88">'433'!$D$76:$D$83</definedName>
    <definedName name="OSRRefD22_13x_0" localSheetId="90">'444'!$D$77</definedName>
    <definedName name="OSRRefD22_13x_0" localSheetId="91">'450'!$D$67:$D$69</definedName>
    <definedName name="OSRRefD22_13x_0" localSheetId="72">'491'!$D$75:$D$78</definedName>
    <definedName name="OSRRefD22_13x_0" localSheetId="86">'492'!$D$74:$D$77</definedName>
    <definedName name="OSRRefD22_13x_0" localSheetId="93">'501'!$D$70</definedName>
    <definedName name="OSRRefD22_13x_0" localSheetId="39">'Div 2'!$D$73:$D$76</definedName>
    <definedName name="OSRRefD22_13x_0" localSheetId="47">'Div 3'!$D$180</definedName>
    <definedName name="OSRRefD22_13x_0" localSheetId="70">'Div 4'!$D$78</definedName>
    <definedName name="OSRRefD22_13x_0" localSheetId="92">'Div 5'!$D$70</definedName>
    <definedName name="OSRRefD22_13x_0" localSheetId="61">'Div 6'!$D$102</definedName>
    <definedName name="OSRRefD22_13x_0" localSheetId="2">Summary!$D$211</definedName>
    <definedName name="OSRRefD22_14x_0" localSheetId="41">'201'!$D$72</definedName>
    <definedName name="OSRRefD22_14x_0" localSheetId="43">'203'!$D$72</definedName>
    <definedName name="OSRRefD22_14x_0" localSheetId="48">'300'!$D$179</definedName>
    <definedName name="OSRRefD22_14x_0" localSheetId="49">'300 &amp; 317'!$D$203</definedName>
    <definedName name="OSRRefD22_14x_0" localSheetId="50">'301'!$D$69</definedName>
    <definedName name="OSRRefD22_14x_0" localSheetId="53">'308'!$D$114</definedName>
    <definedName name="OSRRefD22_14x_0" localSheetId="63">'310'!$D$80:$D$81</definedName>
    <definedName name="OSRRefD22_14x_0" localSheetId="71">'310 &amp; 491'!$D$87:$D$88</definedName>
    <definedName name="OSRRefD22_14x_0" localSheetId="54">'311'!$D$113</definedName>
    <definedName name="OSRRefD22_14x_0" localSheetId="57">'315'!$D$134:$D$140</definedName>
    <definedName name="OSRRefD22_14x_0" localSheetId="68">'325'!$D$75:$D$79</definedName>
    <definedName name="OSRRefD22_14x_0" localSheetId="58">'326'!$D$97:$D$99</definedName>
    <definedName name="OSRRefD22_14x_0" localSheetId="56">'331'!$D$133:$D$135</definedName>
    <definedName name="OSRRefD22_14x_0" localSheetId="73">'405'!$D$81</definedName>
    <definedName name="OSRRefD22_14x_0" localSheetId="75">'411'!$D$79</definedName>
    <definedName name="OSRRefD22_14x_0" localSheetId="78">'414'!$D$73</definedName>
    <definedName name="OSRRefD22_14x_0" localSheetId="79">'415'!$D$78:$D$85</definedName>
    <definedName name="OSRRefD22_14x_0" localSheetId="88">'433'!$D$85</definedName>
    <definedName name="OSRRefD22_14x_0" localSheetId="90">'444'!$D$79:$D$87</definedName>
    <definedName name="OSRRefD22_14x_0" localSheetId="91">'450'!$D$71:$D$77</definedName>
    <definedName name="OSRRefD22_14x_0" localSheetId="72">'491'!$D$80:$D$81</definedName>
    <definedName name="OSRRefD22_14x_0" localSheetId="86">'492'!$D$79</definedName>
    <definedName name="OSRRefD22_14x_0" localSheetId="39">'Div 2'!$D$78:$D$79</definedName>
    <definedName name="OSRRefD22_14x_0" localSheetId="47">'Div 3'!$D$182:$D$183</definedName>
    <definedName name="OSRRefD22_14x_0" localSheetId="70">'Div 4'!$D$80</definedName>
    <definedName name="OSRRefD22_14x_0" localSheetId="2">Summary!$D$213:$D$214</definedName>
    <definedName name="OSRRefD22_15x_0" localSheetId="41">'201'!$D$74</definedName>
    <definedName name="OSRRefD22_15x_0" localSheetId="48">'300'!$D$181</definedName>
    <definedName name="OSRRefD22_15x_0" localSheetId="49">'300 &amp; 317'!$D$205</definedName>
    <definedName name="OSRRefD22_15x_0" localSheetId="50">'301'!$D$71:$D$74</definedName>
    <definedName name="OSRRefD22_15x_0" localSheetId="63">'310'!$D$83:$D$86</definedName>
    <definedName name="OSRRefD22_15x_0" localSheetId="71">'310 &amp; 491'!$D$90:$D$94</definedName>
    <definedName name="OSRRefD22_15x_0" localSheetId="57">'315'!$D$142</definedName>
    <definedName name="OSRRefD22_15x_0" localSheetId="68">'325'!$D$81:$D$82</definedName>
    <definedName name="OSRRefD22_15x_0" localSheetId="58">'326'!$D$101:$D$102</definedName>
    <definedName name="OSRRefD22_15x_0" localSheetId="56">'331'!$D$137:$D$139</definedName>
    <definedName name="OSRRefD22_15x_0" localSheetId="73">'405'!$D$83</definedName>
    <definedName name="OSRRefD22_15x_0" localSheetId="75">'411'!$D$81</definedName>
    <definedName name="OSRRefD22_15x_0" localSheetId="78">'414'!$D$75</definedName>
    <definedName name="OSRRefD22_15x_0" localSheetId="79">'415'!$D$87:$D$88</definedName>
    <definedName name="OSRRefD22_15x_0" localSheetId="88">'433'!$D$87</definedName>
    <definedName name="OSRRefD22_15x_0" localSheetId="90">'444'!$D$89:$D$90</definedName>
    <definedName name="OSRRefD22_15x_0" localSheetId="91">'450'!$D$79:$D$80</definedName>
    <definedName name="OSRRefD22_15x_0" localSheetId="72">'491'!$D$83:$D$87</definedName>
    <definedName name="OSRRefD22_15x_0" localSheetId="86">'492'!$D$81:$D$90</definedName>
    <definedName name="OSRRefD22_15x_0" localSheetId="39">'Div 2'!$D$81:$D$82</definedName>
    <definedName name="OSRRefD22_15x_0" localSheetId="47">'Div 3'!$D$185</definedName>
    <definedName name="OSRRefD22_15x_0" localSheetId="70">'Div 4'!$D$82:$D$85</definedName>
    <definedName name="OSRRefD22_15x_0" localSheetId="2">Summary!$D$216</definedName>
    <definedName name="OSRRefD22_16x_0" localSheetId="41">'201'!$D$76</definedName>
    <definedName name="OSRRefD22_16x_0" localSheetId="48">'300'!$D$183:$D$186</definedName>
    <definedName name="OSRRefD22_16x_0" localSheetId="49">'300 &amp; 317'!$D$207:$D$210</definedName>
    <definedName name="OSRRefD22_16x_0" localSheetId="50">'301'!$D$76:$D$78</definedName>
    <definedName name="OSRRefD22_16x_0" localSheetId="63">'310'!$D$88</definedName>
    <definedName name="OSRRefD22_16x_0" localSheetId="71">'310 &amp; 491'!$D$96:$D$97</definedName>
    <definedName name="OSRRefD22_16x_0" localSheetId="57">'315'!$D$144</definedName>
    <definedName name="OSRRefD22_16x_0" localSheetId="68">'325'!$D$84</definedName>
    <definedName name="OSRRefD22_16x_0" localSheetId="58">'326'!$D$104:$D$109</definedName>
    <definedName name="OSRRefD22_16x_0" localSheetId="56">'331'!$D$141:$D$143</definedName>
    <definedName name="OSRRefD22_16x_0" localSheetId="73">'405'!$D$85</definedName>
    <definedName name="OSRRefD22_16x_0" localSheetId="79">'415'!$D$90</definedName>
    <definedName name="OSRRefD22_16x_0" localSheetId="90">'444'!$D$92</definedName>
    <definedName name="OSRRefD22_16x_0" localSheetId="91">'450'!$D$82</definedName>
    <definedName name="OSRRefD22_16x_0" localSheetId="72">'491'!$D$89:$D$90</definedName>
    <definedName name="OSRRefD22_16x_0" localSheetId="86">'492'!$D$92:$D$93</definedName>
    <definedName name="OSRRefD22_16x_0" localSheetId="39">'Div 2'!$D$84:$D$88</definedName>
    <definedName name="OSRRefD22_16x_0" localSheetId="47">'Div 3'!$D$187</definedName>
    <definedName name="OSRRefD22_16x_0" localSheetId="70">'Div 4'!$D$87:$D$88</definedName>
    <definedName name="OSRRefD22_16x_0" localSheetId="2">Summary!$D$218</definedName>
    <definedName name="OSRRefD22_17x_0" localSheetId="48">'300'!$D$188:$D$191</definedName>
    <definedName name="OSRRefD22_17x_0" localSheetId="49">'300 &amp; 317'!$D$212:$D$215</definedName>
    <definedName name="OSRRefD22_17x_0" localSheetId="50">'301'!$D$80</definedName>
    <definedName name="OSRRefD22_17x_0" localSheetId="63">'310'!$D$90:$D$96</definedName>
    <definedName name="OSRRefD22_17x_0" localSheetId="71">'310 &amp; 491'!$D$99:$D$109</definedName>
    <definedName name="OSRRefD22_17x_0" localSheetId="57">'315'!$D$146:$D$147</definedName>
    <definedName name="OSRRefD22_17x_0" localSheetId="68">'325'!$D$86</definedName>
    <definedName name="OSRRefD22_17x_0" localSheetId="58">'326'!$D$111:$D$112</definedName>
    <definedName name="OSRRefD22_17x_0" localSheetId="56">'331'!$D$145:$D$146</definedName>
    <definedName name="OSRRefD22_17x_0" localSheetId="73">'405'!$D$87</definedName>
    <definedName name="OSRRefD22_17x_0" localSheetId="79">'415'!$D$92:$D$93</definedName>
    <definedName name="OSRRefD22_17x_0" localSheetId="90">'444'!$D$94</definedName>
    <definedName name="OSRRefD22_17x_0" localSheetId="72">'491'!$D$92:$D$102</definedName>
    <definedName name="OSRRefD22_17x_0" localSheetId="86">'492'!$D$95</definedName>
    <definedName name="OSRRefD22_17x_0" localSheetId="39">'Div 2'!$D$90:$D$91</definedName>
    <definedName name="OSRRefD22_17x_0" localSheetId="47">'Div 3'!$D$189:$D$192</definedName>
    <definedName name="OSRRefD22_17x_0" localSheetId="70">'Div 4'!$D$90:$D$94</definedName>
    <definedName name="OSRRefD22_17x_0" localSheetId="2">Summary!$D$220</definedName>
    <definedName name="OSRRefD22_18x_0" localSheetId="48">'300'!$D$193:$D$196</definedName>
    <definedName name="OSRRefD22_18x_0" localSheetId="49">'300 &amp; 317'!$D$217:$D$220</definedName>
    <definedName name="OSRRefD22_18x_0" localSheetId="50">'301'!$D$82:$D$88</definedName>
    <definedName name="OSRRefD22_18x_0" localSheetId="63">'310'!$D$98:$D$99</definedName>
    <definedName name="OSRRefD22_18x_0" localSheetId="71">'310 &amp; 491'!$D$111:$D$112</definedName>
    <definedName name="OSRRefD22_18x_0" localSheetId="58">'326'!$D$114</definedName>
    <definedName name="OSRRefD22_18x_0" localSheetId="56">'331'!$D$148:$D$155</definedName>
    <definedName name="OSRRefD22_18x_0" localSheetId="79">'415'!$D$95</definedName>
    <definedName name="OSRRefD22_18x_0" localSheetId="72">'491'!$D$104:$D$105</definedName>
    <definedName name="OSRRefD22_18x_0" localSheetId="86">'492'!$D$97:$D$98</definedName>
    <definedName name="OSRRefD22_18x_0" localSheetId="39">'Div 2'!$D$93</definedName>
    <definedName name="OSRRefD22_18x_0" localSheetId="47">'Div 3'!$D$194:$D$197</definedName>
    <definedName name="OSRRefD22_18x_0" localSheetId="70">'Div 4'!$D$96:$D$97</definedName>
    <definedName name="OSRRefD22_18x_0" localSheetId="2">Summary!$D$222:$D$225</definedName>
    <definedName name="OSRRefD22_19x_0" localSheetId="48">'300'!$D$198:$D$199</definedName>
    <definedName name="OSRRefD22_19x_0" localSheetId="49">'300 &amp; 317'!$D$222:$D$223</definedName>
    <definedName name="OSRRefD22_19x_0" localSheetId="50">'301'!$D$90</definedName>
    <definedName name="OSRRefD22_19x_0" localSheetId="63">'310'!$D$101</definedName>
    <definedName name="OSRRefD22_19x_0" localSheetId="71">'310 &amp; 491'!$D$114</definedName>
    <definedName name="OSRRefD22_19x_0" localSheetId="58">'326'!$D$116:$D$117</definedName>
    <definedName name="OSRRefD22_19x_0" localSheetId="56">'331'!$D$157:$D$158</definedName>
    <definedName name="OSRRefD22_19x_0" localSheetId="72">'491'!$D$107</definedName>
    <definedName name="OSRRefD22_19x_0" localSheetId="39">'Div 2'!$D$95:$D$96</definedName>
    <definedName name="OSRRefD22_19x_0" localSheetId="47">'Div 3'!$D$199:$D$203</definedName>
    <definedName name="OSRRefD22_19x_0" localSheetId="70">'Div 4'!$D$99:$D$109</definedName>
    <definedName name="OSRRefD22_19x_0" localSheetId="2">Summary!$D$227:$D$230</definedName>
    <definedName name="OSRRefD22_1x_0" localSheetId="40">'200'!$D$22</definedName>
    <definedName name="OSRRefD22_1x_0" localSheetId="41">'201'!$D$31:$D$40</definedName>
    <definedName name="OSRRefD22_1x_0" localSheetId="42">'202'!$D$31:$D$40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'300'!$D$136:$D$145</definedName>
    <definedName name="OSRRefD22_1x_0" localSheetId="49">'300 &amp; 317'!$D$160:$D$169</definedName>
    <definedName name="OSRRefD22_1x_0" localSheetId="50">'301'!$D$32:$D$41</definedName>
    <definedName name="OSRRefD22_1x_0" localSheetId="52">'307'!$D$48:$D$57</definedName>
    <definedName name="OSRRefD22_1x_0" localSheetId="53">'308'!$D$70:$D$79</definedName>
    <definedName name="OSRRefD22_1x_0" localSheetId="64">'309'!$D$31:$D$40</definedName>
    <definedName name="OSRRefD22_1x_0" localSheetId="63">'310'!$D$41:$D$50</definedName>
    <definedName name="OSRRefD22_1x_0" localSheetId="71">'310 &amp; 491'!$D$46:$D$55</definedName>
    <definedName name="OSRRefD22_1x_0" localSheetId="54">'311'!$D$69:$D$78</definedName>
    <definedName name="OSRRefD22_1x_0" localSheetId="65">'313'!$D$37:$D$46</definedName>
    <definedName name="OSRRefD22_1x_0" localSheetId="57">'315'!$D$93:$D$102</definedName>
    <definedName name="OSRRefD22_1x_0" localSheetId="60">'316'!$D$42:$D$51</definedName>
    <definedName name="OSRRefD22_1x_0" localSheetId="62">'317'!$D$64:$D$73</definedName>
    <definedName name="OSRRefD22_1x_0" localSheetId="66">'321'!$D$36:$D$45</definedName>
    <definedName name="OSRRefD22_1x_0" localSheetId="67">'322'!$D$32:$D$41</definedName>
    <definedName name="OSRRefD22_1x_0" localSheetId="55">'324'!$D$36:$D$45</definedName>
    <definedName name="OSRRefD22_1x_0" localSheetId="68">'325'!$D$34:$D$43</definedName>
    <definedName name="OSRRefD22_1x_0" localSheetId="58">'326'!$D$59:$D$68</definedName>
    <definedName name="OSRRefD22_1x_0" localSheetId="69">'327'!$D$27</definedName>
    <definedName name="OSRRefD22_1x_0" localSheetId="51">'330'!$D$52:$D$61</definedName>
    <definedName name="OSRRefD22_1x_0" localSheetId="56">'331'!$D$94:$D$103</definedName>
    <definedName name="OSRRefD22_1x_0" localSheetId="59">'332'!$D$44:$D$53</definedName>
    <definedName name="OSRRefD22_1x_0" localSheetId="73">'405'!$D$33:$D$42</definedName>
    <definedName name="OSRRefD22_1x_0" localSheetId="74">'406'!$D$22</definedName>
    <definedName name="OSRRefD22_1x_0" localSheetId="75">'411'!$D$30:$D$39</definedName>
    <definedName name="OSRRefD22_1x_0" localSheetId="76">'412'!$D$31:$D$40</definedName>
    <definedName name="OSRRefD22_1x_0" localSheetId="77">'413'!$D$33:$D$42</definedName>
    <definedName name="OSRRefD22_1x_0" localSheetId="78">'414'!$D$35:$D$44</definedName>
    <definedName name="OSRRefD22_1x_0" localSheetId="79">'415'!$D$37:$D$46</definedName>
    <definedName name="OSRRefD22_1x_0" localSheetId="80">'418'!$D$33:$D$42</definedName>
    <definedName name="OSRRefD22_1x_0" localSheetId="81">'420'!$D$24</definedName>
    <definedName name="OSRRefD22_1x_0" localSheetId="82">'423'!$D$29:$D$38</definedName>
    <definedName name="OSRRefD22_1x_0" localSheetId="83">'424'!$D$22</definedName>
    <definedName name="OSRRefD22_1x_0" localSheetId="84">'425'!$D$27</definedName>
    <definedName name="OSRRefD22_1x_0" localSheetId="87">'430'!$D$30:$D$39</definedName>
    <definedName name="OSRRefD22_1x_0" localSheetId="88">'433'!$D$38:$D$47</definedName>
    <definedName name="OSRRefD22_1x_0" localSheetId="90">'444'!$D$38:$D$47</definedName>
    <definedName name="OSRRefD22_1x_0" localSheetId="91">'450'!$D$34:$D$43</definedName>
    <definedName name="OSRRefD22_1x_0" localSheetId="72">'491'!$D$40:$D$49</definedName>
    <definedName name="OSRRefD22_1x_0" localSheetId="86">'492'!$D$38:$D$47</definedName>
    <definedName name="OSRRefD22_1x_0" localSheetId="93">'501'!$D$32:$D$41</definedName>
    <definedName name="OSRRefD22_1x_0" localSheetId="39">'Div 2'!$D$33:$D$42</definedName>
    <definedName name="OSRRefD22_1x_0" localSheetId="47">'Div 3'!$D$140:$D$149</definedName>
    <definedName name="OSRRefD22_1x_0" localSheetId="70">'Div 4'!$D$43:$D$52</definedName>
    <definedName name="OSRRefD22_1x_0" localSheetId="92">'Div 5'!$D$32:$D$41</definedName>
    <definedName name="OSRRefD22_1x_0" localSheetId="61">'Div 6'!$D$64:$D$73</definedName>
    <definedName name="OSRRefD22_1x_0" localSheetId="2">Summary!$D$170:$D$179</definedName>
    <definedName name="OSRRefD22_20x_0" localSheetId="48">'300'!$D$201:$D$209</definedName>
    <definedName name="OSRRefD22_20x_0" localSheetId="49">'300 &amp; 317'!$D$225:$D$233</definedName>
    <definedName name="OSRRefD22_20x_0" localSheetId="50">'301'!$D$92</definedName>
    <definedName name="OSRRefD22_20x_0" localSheetId="63">'310'!$D$103</definedName>
    <definedName name="OSRRefD22_20x_0" localSheetId="71">'310 &amp; 491'!$D$116:$D$118</definedName>
    <definedName name="OSRRefD22_20x_0" localSheetId="58">'326'!$D$119</definedName>
    <definedName name="OSRRefD22_20x_0" localSheetId="56">'331'!$D$160</definedName>
    <definedName name="OSRRefD22_20x_0" localSheetId="72">'491'!$D$109:$D$111</definedName>
    <definedName name="OSRRefD22_20x_0" localSheetId="47">'Div 3'!$D$205:$D$206</definedName>
    <definedName name="OSRRefD22_20x_0" localSheetId="70">'Div 4'!$D$111:$D$112</definedName>
    <definedName name="OSRRefD22_20x_0" localSheetId="2">Summary!$D$232:$D$236</definedName>
    <definedName name="OSRRefD22_21x_0" localSheetId="48">'300'!$D$211:$D$212</definedName>
    <definedName name="OSRRefD22_21x_0" localSheetId="49">'300 &amp; 317'!$D$235:$D$236</definedName>
    <definedName name="OSRRefD22_21x_0" localSheetId="50">'301'!$D$94:$D$95</definedName>
    <definedName name="OSRRefD22_21x_0" localSheetId="63">'310'!$D$105</definedName>
    <definedName name="OSRRefD22_21x_0" localSheetId="71">'310 &amp; 491'!$D$120</definedName>
    <definedName name="OSRRefD22_21x_0" localSheetId="56">'331'!$D$162:$D$163</definedName>
    <definedName name="OSRRefD22_21x_0" localSheetId="72">'491'!$D$113</definedName>
    <definedName name="OSRRefD22_21x_0" localSheetId="47">'Div 3'!$D$208:$D$216</definedName>
    <definedName name="OSRRefD22_21x_0" localSheetId="70">'Div 4'!$D$114</definedName>
    <definedName name="OSRRefD22_21x_0" localSheetId="2">Summary!$D$238:$D$239</definedName>
    <definedName name="OSRRefD22_22x_0" localSheetId="48">'300'!$D$214</definedName>
    <definedName name="OSRRefD22_22x_0" localSheetId="49">'300 &amp; 317'!$D$238</definedName>
    <definedName name="OSRRefD22_22x_0" localSheetId="50">'301'!$D$97</definedName>
    <definedName name="OSRRefD22_22x_0" localSheetId="56">'331'!$D$165</definedName>
    <definedName name="OSRRefD22_22x_0" localSheetId="47">'Div 3'!$D$218:$D$219</definedName>
    <definedName name="OSRRefD22_22x_0" localSheetId="70">'Div 4'!$D$116:$D$118</definedName>
    <definedName name="OSRRefD22_22x_0" localSheetId="2">Summary!$D$241:$D$251</definedName>
    <definedName name="OSRRefD22_23x_0" localSheetId="48">'300'!$D$216:$D$218</definedName>
    <definedName name="OSRRefD22_23x_0" localSheetId="49">'300 &amp; 317'!$D$240:$D$242</definedName>
    <definedName name="OSRRefD22_23x_0" localSheetId="47">'Div 3'!$D$221</definedName>
    <definedName name="OSRRefD22_23x_0" localSheetId="70">'Div 4'!$D$120</definedName>
    <definedName name="OSRRefD22_23x_0" localSheetId="2">Summary!$D$253:$D$254</definedName>
    <definedName name="OSRRefD22_24x_0" localSheetId="48">'300'!$D$220</definedName>
    <definedName name="OSRRefD22_24x_0" localSheetId="49">'300 &amp; 317'!$D$244</definedName>
    <definedName name="OSRRefD22_24x_0" localSheetId="47">'Div 3'!$D$223:$D$225</definedName>
    <definedName name="OSRRefD22_24x_0" localSheetId="2">Summary!$D$256</definedName>
    <definedName name="OSRRefD22_25x_0" localSheetId="47">'Div 3'!$D$227</definedName>
    <definedName name="OSRRefD22_25x_0" localSheetId="2">Summary!$D$258:$D$260</definedName>
    <definedName name="OSRRefD22_26x_0" localSheetId="2">Summary!$D$262</definedName>
    <definedName name="OSRRefD22_2x_0" localSheetId="40">'200'!$D$24</definedName>
    <definedName name="OSRRefD22_2x_0" localSheetId="41">'201'!$D$42</definedName>
    <definedName name="OSRRefD22_2x_0" localSheetId="42">'202'!$D$42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'300'!$D$147</definedName>
    <definedName name="OSRRefD22_2x_0" localSheetId="49">'300 &amp; 317'!$D$171</definedName>
    <definedName name="OSRRefD22_2x_0" localSheetId="50">'301'!$D$43</definedName>
    <definedName name="OSRRefD22_2x_0" localSheetId="52">'307'!$D$59</definedName>
    <definedName name="OSRRefD22_2x_0" localSheetId="53">'308'!$D$81</definedName>
    <definedName name="OSRRefD22_2x_0" localSheetId="64">'309'!$D$42</definedName>
    <definedName name="OSRRefD22_2x_0" localSheetId="63">'310'!$D$52</definedName>
    <definedName name="OSRRefD22_2x_0" localSheetId="71">'310 &amp; 491'!$D$57</definedName>
    <definedName name="OSRRefD22_2x_0" localSheetId="54">'311'!$D$80</definedName>
    <definedName name="OSRRefD22_2x_0" localSheetId="65">'313'!$D$48</definedName>
    <definedName name="OSRRefD22_2x_0" localSheetId="57">'315'!$D$104</definedName>
    <definedName name="OSRRefD22_2x_0" localSheetId="60">'316'!$D$53</definedName>
    <definedName name="OSRRefD22_2x_0" localSheetId="62">'317'!$D$75</definedName>
    <definedName name="OSRRefD22_2x_0" localSheetId="66">'321'!$D$47</definedName>
    <definedName name="OSRRefD22_2x_0" localSheetId="67">'322'!$D$43</definedName>
    <definedName name="OSRRefD22_2x_0" localSheetId="68">'325'!$D$45</definedName>
    <definedName name="OSRRefD22_2x_0" localSheetId="58">'326'!$D$70</definedName>
    <definedName name="OSRRefD22_2x_0" localSheetId="51">'330'!$D$63</definedName>
    <definedName name="OSRRefD22_2x_0" localSheetId="56">'331'!$D$105</definedName>
    <definedName name="OSRRefD22_2x_0" localSheetId="59">'332'!$D$55</definedName>
    <definedName name="OSRRefD22_2x_0" localSheetId="73">'405'!$D$44</definedName>
    <definedName name="OSRRefD22_2x_0" localSheetId="74">'406'!$D$24</definedName>
    <definedName name="OSRRefD22_2x_0" localSheetId="75">'411'!$D$41</definedName>
    <definedName name="OSRRefD22_2x_0" localSheetId="76">'412'!$D$42</definedName>
    <definedName name="OSRRefD22_2x_0" localSheetId="77">'413'!$D$44</definedName>
    <definedName name="OSRRefD22_2x_0" localSheetId="78">'414'!$D$46</definedName>
    <definedName name="OSRRefD22_2x_0" localSheetId="79">'415'!$D$48</definedName>
    <definedName name="OSRRefD22_2x_0" localSheetId="80">'418'!$D$44</definedName>
    <definedName name="OSRRefD22_2x_0" localSheetId="82">'423'!$D$40</definedName>
    <definedName name="OSRRefD22_2x_0" localSheetId="83">'424'!$D$24</definedName>
    <definedName name="OSRRefD22_2x_0" localSheetId="84">'425'!$D$29</definedName>
    <definedName name="OSRRefD22_2x_0" localSheetId="87">'430'!$D$41</definedName>
    <definedName name="OSRRefD22_2x_0" localSheetId="88">'433'!$D$49</definedName>
    <definedName name="OSRRefD22_2x_0" localSheetId="90">'444'!$D$49</definedName>
    <definedName name="OSRRefD22_2x_0" localSheetId="91">'450'!$D$45</definedName>
    <definedName name="OSRRefD22_2x_0" localSheetId="72">'491'!$D$51</definedName>
    <definedName name="OSRRefD22_2x_0" localSheetId="86">'492'!$D$49</definedName>
    <definedName name="OSRRefD22_2x_0" localSheetId="93">'501'!$D$43</definedName>
    <definedName name="OSRRefD22_2x_0" localSheetId="39">'Div 2'!$D$44</definedName>
    <definedName name="OSRRefD22_2x_0" localSheetId="47">'Div 3'!$D$151</definedName>
    <definedName name="OSRRefD22_2x_0" localSheetId="70">'Div 4'!$D$54</definedName>
    <definedName name="OSRRefD22_2x_0" localSheetId="92">'Div 5'!$D$43</definedName>
    <definedName name="OSRRefD22_2x_0" localSheetId="61">'Div 6'!$D$75</definedName>
    <definedName name="OSRRefD22_2x_0" localSheetId="2">Summary!$D$181</definedName>
    <definedName name="OSRRefD22_3x_0" localSheetId="40">'200'!$D$26</definedName>
    <definedName name="OSRRefD22_3x_0" localSheetId="41">'201'!$D$44</definedName>
    <definedName name="OSRRefD22_3x_0" localSheetId="42">'202'!$D$44</definedName>
    <definedName name="OSRRefD22_3x_0" localSheetId="43">'203'!$D$44</definedName>
    <definedName name="OSRRefD22_3x_0" localSheetId="44">'204'!$D$44:$D$45</definedName>
    <definedName name="OSRRefD22_3x_0" localSheetId="45">'205'!$D$43</definedName>
    <definedName name="OSRRefD22_3x_0" localSheetId="46">'206'!$D$43</definedName>
    <definedName name="OSRRefD22_3x_0" localSheetId="48">'300'!$D$149:$D$150</definedName>
    <definedName name="OSRRefD22_3x_0" localSheetId="49">'300 &amp; 317'!$D$173:$D$174</definedName>
    <definedName name="OSRRefD22_3x_0" localSheetId="50">'301'!$D$45:$D$46</definedName>
    <definedName name="OSRRefD22_3x_0" localSheetId="52">'307'!$D$61</definedName>
    <definedName name="OSRRefD22_3x_0" localSheetId="53">'308'!$D$83:$D$84</definedName>
    <definedName name="OSRRefD22_3x_0" localSheetId="64">'309'!$D$44</definedName>
    <definedName name="OSRRefD22_3x_0" localSheetId="63">'310'!$D$54</definedName>
    <definedName name="OSRRefD22_3x_0" localSheetId="71">'310 &amp; 491'!$D$59</definedName>
    <definedName name="OSRRefD22_3x_0" localSheetId="54">'311'!$D$82:$D$83</definedName>
    <definedName name="OSRRefD22_3x_0" localSheetId="65">'313'!$D$50</definedName>
    <definedName name="OSRRefD22_3x_0" localSheetId="57">'315'!$D$106</definedName>
    <definedName name="OSRRefD22_3x_0" localSheetId="60">'316'!$D$55</definedName>
    <definedName name="OSRRefD22_3x_0" localSheetId="62">'317'!$D$77</definedName>
    <definedName name="OSRRefD22_3x_0" localSheetId="66">'321'!$D$49</definedName>
    <definedName name="OSRRefD22_3x_0" localSheetId="67">'322'!$D$45</definedName>
    <definedName name="OSRRefD22_3x_0" localSheetId="68">'325'!$D$47</definedName>
    <definedName name="OSRRefD22_3x_0" localSheetId="58">'326'!$D$72</definedName>
    <definedName name="OSRRefD22_3x_0" localSheetId="51">'330'!$D$65</definedName>
    <definedName name="OSRRefD22_3x_0" localSheetId="56">'331'!$D$107</definedName>
    <definedName name="OSRRefD22_3x_0" localSheetId="59">'332'!$D$57</definedName>
    <definedName name="OSRRefD22_3x_0" localSheetId="73">'405'!$D$46</definedName>
    <definedName name="OSRRefD22_3x_0" localSheetId="74">'406'!$D$26</definedName>
    <definedName name="OSRRefD22_3x_0" localSheetId="75">'411'!$D$43</definedName>
    <definedName name="OSRRefD22_3x_0" localSheetId="76">'412'!$D$44</definedName>
    <definedName name="OSRRefD22_3x_0" localSheetId="77">'413'!$D$46</definedName>
    <definedName name="OSRRefD22_3x_0" localSheetId="78">'414'!$D$48</definedName>
    <definedName name="OSRRefD22_3x_0" localSheetId="79">'415'!$D$50</definedName>
    <definedName name="OSRRefD22_3x_0" localSheetId="80">'418'!$D$46</definedName>
    <definedName name="OSRRefD22_3x_0" localSheetId="82">'423'!$D$42:$D$43</definedName>
    <definedName name="OSRRefD22_3x_0" localSheetId="83">'424'!$D$26</definedName>
    <definedName name="OSRRefD22_3x_0" localSheetId="84">'425'!$D$31</definedName>
    <definedName name="OSRRefD22_3x_0" localSheetId="87">'430'!$D$43</definedName>
    <definedName name="OSRRefD22_3x_0" localSheetId="88">'433'!$D$51</definedName>
    <definedName name="OSRRefD22_3x_0" localSheetId="90">'444'!$D$51</definedName>
    <definedName name="OSRRefD22_3x_0" localSheetId="91">'450'!$D$47</definedName>
    <definedName name="OSRRefD22_3x_0" localSheetId="72">'491'!$D$53</definedName>
    <definedName name="OSRRefD22_3x_0" localSheetId="86">'492'!$D$51</definedName>
    <definedName name="OSRRefD22_3x_0" localSheetId="93">'501'!$D$45</definedName>
    <definedName name="OSRRefD22_3x_0" localSheetId="39">'Div 2'!$D$46</definedName>
    <definedName name="OSRRefD22_3x_0" localSheetId="47">'Div 3'!$D$153:$D$154</definedName>
    <definedName name="OSRRefD22_3x_0" localSheetId="70">'Div 4'!$D$56</definedName>
    <definedName name="OSRRefD22_3x_0" localSheetId="92">'Div 5'!$D$45</definedName>
    <definedName name="OSRRefD22_3x_0" localSheetId="61">'Div 6'!$D$77</definedName>
    <definedName name="OSRRefD22_3x_0" localSheetId="2">Summary!$D$183:$D$184</definedName>
    <definedName name="OSRRefD22_4x_0" localSheetId="40">'200'!$D$28:$D$29</definedName>
    <definedName name="OSRRefD22_4x_0" localSheetId="41">'201'!$D$46:$D$47</definedName>
    <definedName name="OSRRefD22_4x_0" localSheetId="42">'202'!$D$46:$D$47</definedName>
    <definedName name="OSRRefD22_4x_0" localSheetId="43">'203'!$D$46</definedName>
    <definedName name="OSRRefD22_4x_0" localSheetId="44">'204'!$D$47</definedName>
    <definedName name="OSRRefD22_4x_0" localSheetId="45">'205'!$D$45:$D$47</definedName>
    <definedName name="OSRRefD22_4x_0" localSheetId="46">'206'!$D$45</definedName>
    <definedName name="OSRRefD22_4x_0" localSheetId="48">'300'!$D$152</definedName>
    <definedName name="OSRRefD22_4x_0" localSheetId="49">'300 &amp; 317'!$D$176</definedName>
    <definedName name="OSRRefD22_4x_0" localSheetId="50">'301'!$D$48</definedName>
    <definedName name="OSRRefD22_4x_0" localSheetId="52">'307'!$D$63</definedName>
    <definedName name="OSRRefD22_4x_0" localSheetId="53">'308'!$D$86</definedName>
    <definedName name="OSRRefD22_4x_0" localSheetId="64">'309'!$D$46</definedName>
    <definedName name="OSRRefD22_4x_0" localSheetId="63">'310'!$D$56</definedName>
    <definedName name="OSRRefD22_4x_0" localSheetId="71">'310 &amp; 491'!$D$61</definedName>
    <definedName name="OSRRefD22_4x_0" localSheetId="54">'311'!$D$85</definedName>
    <definedName name="OSRRefD22_4x_0" localSheetId="65">'313'!$D$52</definedName>
    <definedName name="OSRRefD22_4x_0" localSheetId="57">'315'!$D$108</definedName>
    <definedName name="OSRRefD22_4x_0" localSheetId="60">'316'!$D$57</definedName>
    <definedName name="OSRRefD22_4x_0" localSheetId="62">'317'!$D$79</definedName>
    <definedName name="OSRRefD22_4x_0" localSheetId="66">'321'!$D$51</definedName>
    <definedName name="OSRRefD22_4x_0" localSheetId="67">'322'!$D$47</definedName>
    <definedName name="OSRRefD22_4x_0" localSheetId="68">'325'!$D$49</definedName>
    <definedName name="OSRRefD22_4x_0" localSheetId="58">'326'!$D$74</definedName>
    <definedName name="OSRRefD22_4x_0" localSheetId="51">'330'!$D$67</definedName>
    <definedName name="OSRRefD22_4x_0" localSheetId="56">'331'!$D$109</definedName>
    <definedName name="OSRRefD22_4x_0" localSheetId="59">'332'!$D$59</definedName>
    <definedName name="OSRRefD22_4x_0" localSheetId="73">'405'!$D$48:$D$49</definedName>
    <definedName name="OSRRefD22_4x_0" localSheetId="74">'406'!$D$28</definedName>
    <definedName name="OSRRefD22_4x_0" localSheetId="75">'411'!$D$45:$D$46</definedName>
    <definedName name="OSRRefD22_4x_0" localSheetId="76">'412'!$D$46:$D$47</definedName>
    <definedName name="OSRRefD22_4x_0" localSheetId="77">'413'!$D$48</definedName>
    <definedName name="OSRRefD22_4x_0" localSheetId="78">'414'!$D$50</definedName>
    <definedName name="OSRRefD22_4x_0" localSheetId="79">'415'!$D$52</definedName>
    <definedName name="OSRRefD22_4x_0" localSheetId="80">'418'!$D$48:$D$49</definedName>
    <definedName name="OSRRefD22_4x_0" localSheetId="82">'423'!$D$45</definedName>
    <definedName name="OSRRefD22_4x_0" localSheetId="84">'425'!$D$33:$D$34</definedName>
    <definedName name="OSRRefD22_4x_0" localSheetId="87">'430'!$D$45:$D$47</definedName>
    <definedName name="OSRRefD22_4x_0" localSheetId="88">'433'!$D$53</definedName>
    <definedName name="OSRRefD22_4x_0" localSheetId="90">'444'!$D$53</definedName>
    <definedName name="OSRRefD22_4x_0" localSheetId="91">'450'!$D$49</definedName>
    <definedName name="OSRRefD22_4x_0" localSheetId="72">'491'!$D$55</definedName>
    <definedName name="OSRRefD22_4x_0" localSheetId="86">'492'!$D$53</definedName>
    <definedName name="OSRRefD22_4x_0" localSheetId="93">'501'!$D$47</definedName>
    <definedName name="OSRRefD22_4x_0" localSheetId="39">'Div 2'!$D$48</definedName>
    <definedName name="OSRRefD22_4x_0" localSheetId="47">'Div 3'!$D$156</definedName>
    <definedName name="OSRRefD22_4x_0" localSheetId="70">'Div 4'!$D$58</definedName>
    <definedName name="OSRRefD22_4x_0" localSheetId="92">'Div 5'!$D$47</definedName>
    <definedName name="OSRRefD22_4x_0" localSheetId="61">'Div 6'!$D$79</definedName>
    <definedName name="OSRRefD22_4x_0" localSheetId="2">Summary!$D$186</definedName>
    <definedName name="OSRRefD22_5x_0" localSheetId="41">'201'!$D$49</definedName>
    <definedName name="OSRRefD22_5x_0" localSheetId="42">'202'!$D$49</definedName>
    <definedName name="OSRRefD22_5x_0" localSheetId="43">'203'!$D$48</definedName>
    <definedName name="OSRRefD22_5x_0" localSheetId="44">'204'!$D$49</definedName>
    <definedName name="OSRRefD22_5x_0" localSheetId="45">'205'!$D$49</definedName>
    <definedName name="OSRRefD22_5x_0" localSheetId="46">'206'!$D$47</definedName>
    <definedName name="OSRRefD22_5x_0" localSheetId="48">'300'!$D$154:$D$155</definedName>
    <definedName name="OSRRefD22_5x_0" localSheetId="49">'300 &amp; 317'!$D$178:$D$179</definedName>
    <definedName name="OSRRefD22_5x_0" localSheetId="50">'301'!$D$50:$D$51</definedName>
    <definedName name="OSRRefD22_5x_0" localSheetId="52">'307'!$D$65:$D$66</definedName>
    <definedName name="OSRRefD22_5x_0" localSheetId="53">'308'!$D$88</definedName>
    <definedName name="OSRRefD22_5x_0" localSheetId="64">'309'!$D$48</definedName>
    <definedName name="OSRRefD22_5x_0" localSheetId="63">'310'!$D$58:$D$59</definedName>
    <definedName name="OSRRefD22_5x_0" localSheetId="71">'310 &amp; 491'!$D$63:$D$65</definedName>
    <definedName name="OSRRefD22_5x_0" localSheetId="54">'311'!$D$87</definedName>
    <definedName name="OSRRefD22_5x_0" localSheetId="65">'313'!$D$54</definedName>
    <definedName name="OSRRefD22_5x_0" localSheetId="57">'315'!$D$110:$D$111</definedName>
    <definedName name="OSRRefD22_5x_0" localSheetId="60">'316'!$D$59</definedName>
    <definedName name="OSRRefD22_5x_0" localSheetId="62">'317'!$D$81</definedName>
    <definedName name="OSRRefD22_5x_0" localSheetId="66">'321'!$D$53</definedName>
    <definedName name="OSRRefD22_5x_0" localSheetId="67">'322'!$D$49</definedName>
    <definedName name="OSRRefD22_5x_0" localSheetId="68">'325'!$D$51:$D$52</definedName>
    <definedName name="OSRRefD22_5x_0" localSheetId="58">'326'!$D$76</definedName>
    <definedName name="OSRRefD22_5x_0" localSheetId="51">'330'!$D$69:$D$70</definedName>
    <definedName name="OSRRefD22_5x_0" localSheetId="56">'331'!$D$111:$D$112</definedName>
    <definedName name="OSRRefD22_5x_0" localSheetId="59">'332'!$D$61</definedName>
    <definedName name="OSRRefD22_5x_0" localSheetId="73">'405'!$D$51</definedName>
    <definedName name="OSRRefD22_5x_0" localSheetId="75">'411'!$D$48</definedName>
    <definedName name="OSRRefD22_5x_0" localSheetId="76">'412'!$D$49</definedName>
    <definedName name="OSRRefD22_5x_0" localSheetId="77">'413'!$D$50</definedName>
    <definedName name="OSRRefD22_5x_0" localSheetId="78">'414'!$D$52</definedName>
    <definedName name="OSRRefD22_5x_0" localSheetId="79">'415'!$D$54:$D$55</definedName>
    <definedName name="OSRRefD22_5x_0" localSheetId="80">'418'!$D$51</definedName>
    <definedName name="OSRRefD22_5x_0" localSheetId="82">'423'!$D$47</definedName>
    <definedName name="OSRRefD22_5x_0" localSheetId="84">'425'!$D$36</definedName>
    <definedName name="OSRRefD22_5x_0" localSheetId="87">'430'!$D$49:$D$50</definedName>
    <definedName name="OSRRefD22_5x_0" localSheetId="88">'433'!$D$55</definedName>
    <definedName name="OSRRefD22_5x_0" localSheetId="90">'444'!$D$55</definedName>
    <definedName name="OSRRefD22_5x_0" localSheetId="91">'450'!$D$51</definedName>
    <definedName name="OSRRefD22_5x_0" localSheetId="72">'491'!$D$57:$D$59</definedName>
    <definedName name="OSRRefD22_5x_0" localSheetId="86">'492'!$D$55</definedName>
    <definedName name="OSRRefD22_5x_0" localSheetId="93">'501'!$D$49:$D$50</definedName>
    <definedName name="OSRRefD22_5x_0" localSheetId="39">'Div 2'!$D$50:$D$51</definedName>
    <definedName name="OSRRefD22_5x_0" localSheetId="47">'Div 3'!$D$158:$D$159</definedName>
    <definedName name="OSRRefD22_5x_0" localSheetId="70">'Div 4'!$D$60:$D$62</definedName>
    <definedName name="OSRRefD22_5x_0" localSheetId="92">'Div 5'!$D$49:$D$50</definedName>
    <definedName name="OSRRefD22_5x_0" localSheetId="61">'Div 6'!$D$81</definedName>
    <definedName name="OSRRefD22_5x_0" localSheetId="2">Summary!$D$188:$D$190</definedName>
    <definedName name="OSRRefD22_6x_0" localSheetId="41">'201'!$D$51</definedName>
    <definedName name="OSRRefD22_6x_0" localSheetId="42">'202'!$D$51</definedName>
    <definedName name="OSRRefD22_6x_0" localSheetId="43">'203'!$D$50</definedName>
    <definedName name="OSRRefD22_6x_0" localSheetId="44">'204'!$D$51</definedName>
    <definedName name="OSRRefD22_6x_0" localSheetId="45">'205'!$D$51:$D$53</definedName>
    <definedName name="OSRRefD22_6x_0" localSheetId="46">'206'!$D$49</definedName>
    <definedName name="OSRRefD22_6x_0" localSheetId="48">'300'!$D$157:$D$158</definedName>
    <definedName name="OSRRefD22_6x_0" localSheetId="49">'300 &amp; 317'!$D$181:$D$182</definedName>
    <definedName name="OSRRefD22_6x_0" localSheetId="50">'301'!$D$53</definedName>
    <definedName name="OSRRefD22_6x_0" localSheetId="52">'307'!$D$68</definedName>
    <definedName name="OSRRefD22_6x_0" localSheetId="53">'308'!$D$90:$D$91</definedName>
    <definedName name="OSRRefD22_6x_0" localSheetId="64">'309'!$D$50</definedName>
    <definedName name="OSRRefD22_6x_0" localSheetId="63">'310'!$D$61</definedName>
    <definedName name="OSRRefD22_6x_0" localSheetId="71">'310 &amp; 491'!$D$67</definedName>
    <definedName name="OSRRefD22_6x_0" localSheetId="54">'311'!$D$89:$D$90</definedName>
    <definedName name="OSRRefD22_6x_0" localSheetId="65">'313'!$D$56:$D$57</definedName>
    <definedName name="OSRRefD22_6x_0" localSheetId="57">'315'!$D$113</definedName>
    <definedName name="OSRRefD22_6x_0" localSheetId="60">'316'!$D$61:$D$62</definedName>
    <definedName name="OSRRefD22_6x_0" localSheetId="62">'317'!$D$83:$D$84</definedName>
    <definedName name="OSRRefD22_6x_0" localSheetId="66">'321'!$D$55</definedName>
    <definedName name="OSRRefD22_6x_0" localSheetId="67">'322'!$D$51</definedName>
    <definedName name="OSRRefD22_6x_0" localSheetId="68">'325'!$D$54</definedName>
    <definedName name="OSRRefD22_6x_0" localSheetId="58">'326'!$D$78</definedName>
    <definedName name="OSRRefD22_6x_0" localSheetId="51">'330'!$D$72</definedName>
    <definedName name="OSRRefD22_6x_0" localSheetId="56">'331'!$D$114</definedName>
    <definedName name="OSRRefD22_6x_0" localSheetId="59">'332'!$D$63:$D$64</definedName>
    <definedName name="OSRRefD22_6x_0" localSheetId="73">'405'!$D$53</definedName>
    <definedName name="OSRRefD22_6x_0" localSheetId="75">'411'!$D$50</definedName>
    <definedName name="OSRRefD22_6x_0" localSheetId="76">'412'!$D$51</definedName>
    <definedName name="OSRRefD22_6x_0" localSheetId="77">'413'!$D$52</definedName>
    <definedName name="OSRRefD22_6x_0" localSheetId="78">'414'!$D$54</definedName>
    <definedName name="OSRRefD22_6x_0" localSheetId="79">'415'!$D$57</definedName>
    <definedName name="OSRRefD22_6x_0" localSheetId="80">'418'!$D$53</definedName>
    <definedName name="OSRRefD22_6x_0" localSheetId="82">'423'!$D$49</definedName>
    <definedName name="OSRRefD22_6x_0" localSheetId="87">'430'!$D$52</definedName>
    <definedName name="OSRRefD22_6x_0" localSheetId="88">'433'!$D$57</definedName>
    <definedName name="OSRRefD22_6x_0" localSheetId="90">'444'!$D$57</definedName>
    <definedName name="OSRRefD22_6x_0" localSheetId="91">'450'!$D$53</definedName>
    <definedName name="OSRRefD22_6x_0" localSheetId="72">'491'!$D$61</definedName>
    <definedName name="OSRRefD22_6x_0" localSheetId="86">'492'!$D$57</definedName>
    <definedName name="OSRRefD22_6x_0" localSheetId="93">'501'!$D$52</definedName>
    <definedName name="OSRRefD22_6x_0" localSheetId="39">'Div 2'!$D$53:$D$54</definedName>
    <definedName name="OSRRefD22_6x_0" localSheetId="47">'Div 3'!$D$161:$D$162</definedName>
    <definedName name="OSRRefD22_6x_0" localSheetId="70">'Div 4'!$D$64</definedName>
    <definedName name="OSRRefD22_6x_0" localSheetId="92">'Div 5'!$D$52</definedName>
    <definedName name="OSRRefD22_6x_0" localSheetId="61">'Div 6'!$D$83:$D$84</definedName>
    <definedName name="OSRRefD22_6x_0" localSheetId="2">Summary!$D$192:$D$193</definedName>
    <definedName name="OSRRefD22_7x_0" localSheetId="41">'201'!$D$53</definedName>
    <definedName name="OSRRefD22_7x_0" localSheetId="42">'202'!$D$53:$D$55</definedName>
    <definedName name="OSRRefD22_7x_0" localSheetId="43">'203'!$D$52:$D$53</definedName>
    <definedName name="OSRRefD22_7x_0" localSheetId="44">'204'!$D$53:$D$55</definedName>
    <definedName name="OSRRefD22_7x_0" localSheetId="45">'205'!$D$55</definedName>
    <definedName name="OSRRefD22_7x_0" localSheetId="46">'206'!$D$51</definedName>
    <definedName name="OSRRefD22_7x_0" localSheetId="48">'300'!$D$160:$D$161</definedName>
    <definedName name="OSRRefD22_7x_0" localSheetId="49">'300 &amp; 317'!$D$184:$D$185</definedName>
    <definedName name="OSRRefD22_7x_0" localSheetId="50">'301'!$D$55</definedName>
    <definedName name="OSRRefD22_7x_0" localSheetId="52">'307'!$D$70</definedName>
    <definedName name="OSRRefD22_7x_0" localSheetId="53">'308'!$D$93:$D$94</definedName>
    <definedName name="OSRRefD22_7x_0" localSheetId="64">'309'!$D$52:$D$53</definedName>
    <definedName name="OSRRefD22_7x_0" localSheetId="63">'310'!$D$63</definedName>
    <definedName name="OSRRefD22_7x_0" localSheetId="71">'310 &amp; 491'!$D$69</definedName>
    <definedName name="OSRRefD22_7x_0" localSheetId="54">'311'!$D$92:$D$93</definedName>
    <definedName name="OSRRefD22_7x_0" localSheetId="65">'313'!$D$59</definedName>
    <definedName name="OSRRefD22_7x_0" localSheetId="57">'315'!$D$115:$D$116</definedName>
    <definedName name="OSRRefD22_7x_0" localSheetId="60">'316'!$D$64:$D$66</definedName>
    <definedName name="OSRRefD22_7x_0" localSheetId="62">'317'!$D$86</definedName>
    <definedName name="OSRRefD22_7x_0" localSheetId="66">'321'!$D$57:$D$58</definedName>
    <definedName name="OSRRefD22_7x_0" localSheetId="67">'322'!$D$53:$D$54</definedName>
    <definedName name="OSRRefD22_7x_0" localSheetId="68">'325'!$D$56</definedName>
    <definedName name="OSRRefD22_7x_0" localSheetId="58">'326'!$D$80</definedName>
    <definedName name="OSRRefD22_7x_0" localSheetId="51">'330'!$D$74</definedName>
    <definedName name="OSRRefD22_7x_0" localSheetId="56">'331'!$D$116</definedName>
    <definedName name="OSRRefD22_7x_0" localSheetId="59">'332'!$D$66:$D$68</definedName>
    <definedName name="OSRRefD22_7x_0" localSheetId="73">'405'!$D$55</definedName>
    <definedName name="OSRRefD22_7x_0" localSheetId="75">'411'!$D$52</definedName>
    <definedName name="OSRRefD22_7x_0" localSheetId="76">'412'!$D$53</definedName>
    <definedName name="OSRRefD22_7x_0" localSheetId="77">'413'!$D$54</definedName>
    <definedName name="OSRRefD22_7x_0" localSheetId="78">'414'!$D$56</definedName>
    <definedName name="OSRRefD22_7x_0" localSheetId="79">'415'!$D$59</definedName>
    <definedName name="OSRRefD22_7x_0" localSheetId="80">'418'!$D$55</definedName>
    <definedName name="OSRRefD22_7x_0" localSheetId="87">'430'!$D$54</definedName>
    <definedName name="OSRRefD22_7x_0" localSheetId="88">'433'!$D$59</definedName>
    <definedName name="OSRRefD22_7x_0" localSheetId="90">'444'!$D$59</definedName>
    <definedName name="OSRRefD22_7x_0" localSheetId="91">'450'!$D$55</definedName>
    <definedName name="OSRRefD22_7x_0" localSheetId="72">'491'!$D$63</definedName>
    <definedName name="OSRRefD22_7x_0" localSheetId="86">'492'!$D$59</definedName>
    <definedName name="OSRRefD22_7x_0" localSheetId="93">'501'!$D$54</definedName>
    <definedName name="OSRRefD22_7x_0" localSheetId="39">'Div 2'!$D$56</definedName>
    <definedName name="OSRRefD22_7x_0" localSheetId="47">'Div 3'!$D$164:$D$165</definedName>
    <definedName name="OSRRefD22_7x_0" localSheetId="70">'Div 4'!$D$66</definedName>
    <definedName name="OSRRefD22_7x_0" localSheetId="92">'Div 5'!$D$54</definedName>
    <definedName name="OSRRefD22_7x_0" localSheetId="61">'Div 6'!$D$86</definedName>
    <definedName name="OSRRefD22_7x_0" localSheetId="2">Summary!$D$195:$D$196</definedName>
    <definedName name="OSRRefD22_8x_0" localSheetId="41">'201'!$D$55</definedName>
    <definedName name="OSRRefD22_8x_0" localSheetId="42">'202'!$D$57</definedName>
    <definedName name="OSRRefD22_8x_0" localSheetId="43">'203'!$D$55:$D$57</definedName>
    <definedName name="OSRRefD22_8x_0" localSheetId="44">'204'!$D$57:$D$58</definedName>
    <definedName name="OSRRefD22_8x_0" localSheetId="46">'206'!$D$53:$D$54</definedName>
    <definedName name="OSRRefD22_8x_0" localSheetId="48">'300'!$D$163</definedName>
    <definedName name="OSRRefD22_8x_0" localSheetId="49">'300 &amp; 317'!$D$187</definedName>
    <definedName name="OSRRefD22_8x_0" localSheetId="50">'301'!$D$57</definedName>
    <definedName name="OSRRefD22_8x_0" localSheetId="52">'307'!$D$72</definedName>
    <definedName name="OSRRefD22_8x_0" localSheetId="53">'308'!$D$96</definedName>
    <definedName name="OSRRefD22_8x_0" localSheetId="64">'309'!$D$55:$D$56</definedName>
    <definedName name="OSRRefD22_8x_0" localSheetId="63">'310'!$D$65</definedName>
    <definedName name="OSRRefD22_8x_0" localSheetId="71">'310 &amp; 491'!$D$71:$D$72</definedName>
    <definedName name="OSRRefD22_8x_0" localSheetId="54">'311'!$D$95</definedName>
    <definedName name="OSRRefD22_8x_0" localSheetId="65">'313'!$D$61:$D$63</definedName>
    <definedName name="OSRRefD22_8x_0" localSheetId="57">'315'!$D$118</definedName>
    <definedName name="OSRRefD22_8x_0" localSheetId="60">'316'!$D$68</definedName>
    <definedName name="OSRRefD22_8x_0" localSheetId="62">'317'!$D$88</definedName>
    <definedName name="OSRRefD22_8x_0" localSheetId="66">'321'!$D$60:$D$61</definedName>
    <definedName name="OSRRefD22_8x_0" localSheetId="67">'322'!$D$56:$D$57</definedName>
    <definedName name="OSRRefD22_8x_0" localSheetId="68">'325'!$D$58</definedName>
    <definedName name="OSRRefD22_8x_0" localSheetId="58">'326'!$D$82:$D$83</definedName>
    <definedName name="OSRRefD22_8x_0" localSheetId="51">'330'!$D$76</definedName>
    <definedName name="OSRRefD22_8x_0" localSheetId="56">'331'!$D$118:$D$119</definedName>
    <definedName name="OSRRefD22_8x_0" localSheetId="59">'332'!$D$70</definedName>
    <definedName name="OSRRefD22_8x_0" localSheetId="73">'405'!$D$57</definedName>
    <definedName name="OSRRefD22_8x_0" localSheetId="75">'411'!$D$54</definedName>
    <definedName name="OSRRefD22_8x_0" localSheetId="76">'412'!$D$55:$D$56</definedName>
    <definedName name="OSRRefD22_8x_0" localSheetId="77">'413'!$D$56:$D$59</definedName>
    <definedName name="OSRRefD22_8x_0" localSheetId="78">'414'!$D$58:$D$59</definedName>
    <definedName name="OSRRefD22_8x_0" localSheetId="79">'415'!$D$61</definedName>
    <definedName name="OSRRefD22_8x_0" localSheetId="80">'418'!$D$57:$D$59</definedName>
    <definedName name="OSRRefD22_8x_0" localSheetId="88">'433'!$D$61</definedName>
    <definedName name="OSRRefD22_8x_0" localSheetId="90">'444'!$D$61</definedName>
    <definedName name="OSRRefD22_8x_0" localSheetId="91">'450'!$D$57</definedName>
    <definedName name="OSRRefD22_8x_0" localSheetId="72">'491'!$D$65</definedName>
    <definedName name="OSRRefD22_8x_0" localSheetId="86">'492'!$D$61</definedName>
    <definedName name="OSRRefD22_8x_0" localSheetId="93">'501'!$D$56</definedName>
    <definedName name="OSRRefD22_8x_0" localSheetId="39">'Div 2'!$D$58</definedName>
    <definedName name="OSRRefD22_8x_0" localSheetId="47">'Div 3'!$D$167</definedName>
    <definedName name="OSRRefD22_8x_0" localSheetId="70">'Div 4'!$D$68</definedName>
    <definedName name="OSRRefD22_8x_0" localSheetId="92">'Div 5'!$D$56</definedName>
    <definedName name="OSRRefD22_8x_0" localSheetId="61">'Div 6'!$D$88</definedName>
    <definedName name="OSRRefD22_8x_0" localSheetId="2">Summary!$D$198</definedName>
    <definedName name="OSRRefD22_9x_0" localSheetId="41">'201'!$D$57</definedName>
    <definedName name="OSRRefD22_9x_0" localSheetId="42">'202'!$D$59:$D$61</definedName>
    <definedName name="OSRRefD22_9x_0" localSheetId="43">'203'!$D$59:$D$60</definedName>
    <definedName name="OSRRefD22_9x_0" localSheetId="44">'204'!$D$60</definedName>
    <definedName name="OSRRefD22_9x_0" localSheetId="46">'206'!$D$56</definedName>
    <definedName name="OSRRefD22_9x_0" localSheetId="48">'300'!$D$165</definedName>
    <definedName name="OSRRefD22_9x_0" localSheetId="49">'300 &amp; 317'!$D$189</definedName>
    <definedName name="OSRRefD22_9x_0" localSheetId="50">'301'!$D$59</definedName>
    <definedName name="OSRRefD22_9x_0" localSheetId="52">'307'!$D$74:$D$75</definedName>
    <definedName name="OSRRefD22_9x_0" localSheetId="53">'308'!$D$98:$D$100</definedName>
    <definedName name="OSRRefD22_9x_0" localSheetId="64">'309'!$D$58:$D$60</definedName>
    <definedName name="OSRRefD22_9x_0" localSheetId="63">'310'!$D$67</definedName>
    <definedName name="OSRRefD22_9x_0" localSheetId="71">'310 &amp; 491'!$D$74</definedName>
    <definedName name="OSRRefD22_9x_0" localSheetId="54">'311'!$D$97:$D$99</definedName>
    <definedName name="OSRRefD22_9x_0" localSheetId="65">'313'!$D$65:$D$66</definedName>
    <definedName name="OSRRefD22_9x_0" localSheetId="57">'315'!$D$120:$D$121</definedName>
    <definedName name="OSRRefD22_9x_0" localSheetId="60">'316'!$D$70</definedName>
    <definedName name="OSRRefD22_9x_0" localSheetId="62">'317'!$D$90:$D$91</definedName>
    <definedName name="OSRRefD22_9x_0" localSheetId="66">'321'!$D$63:$D$64</definedName>
    <definedName name="OSRRefD22_9x_0" localSheetId="67">'322'!$D$59:$D$62</definedName>
    <definedName name="OSRRefD22_9x_0" localSheetId="68">'325'!$D$60</definedName>
    <definedName name="OSRRefD22_9x_0" localSheetId="58">'326'!$D$85</definedName>
    <definedName name="OSRRefD22_9x_0" localSheetId="51">'330'!$D$78:$D$79</definedName>
    <definedName name="OSRRefD22_9x_0" localSheetId="56">'331'!$D$121:$D$122</definedName>
    <definedName name="OSRRefD22_9x_0" localSheetId="59">'332'!$D$72</definedName>
    <definedName name="OSRRefD22_9x_0" localSheetId="73">'405'!$D$59:$D$60</definedName>
    <definedName name="OSRRefD22_9x_0" localSheetId="75">'411'!$D$56:$D$59</definedName>
    <definedName name="OSRRefD22_9x_0" localSheetId="76">'412'!$D$58</definedName>
    <definedName name="OSRRefD22_9x_0" localSheetId="77">'413'!$D$61:$D$62</definedName>
    <definedName name="OSRRefD22_9x_0" localSheetId="78">'414'!$D$61</definedName>
    <definedName name="OSRRefD22_9x_0" localSheetId="79">'415'!$D$63</definedName>
    <definedName name="OSRRefD22_9x_0" localSheetId="80">'418'!$D$61:$D$62</definedName>
    <definedName name="OSRRefD22_9x_0" localSheetId="88">'433'!$D$63</definedName>
    <definedName name="OSRRefD22_9x_0" localSheetId="90">'444'!$D$63</definedName>
    <definedName name="OSRRefD22_9x_0" localSheetId="91">'450'!$D$59</definedName>
    <definedName name="OSRRefD22_9x_0" localSheetId="72">'491'!$D$67</definedName>
    <definedName name="OSRRefD22_9x_0" localSheetId="86">'492'!$D$63</definedName>
    <definedName name="OSRRefD22_9x_0" localSheetId="93">'501'!$D$58:$D$61</definedName>
    <definedName name="OSRRefD22_9x_0" localSheetId="39">'Div 2'!$D$60:$D$61</definedName>
    <definedName name="OSRRefD22_9x_0" localSheetId="47">'Div 3'!$D$169</definedName>
    <definedName name="OSRRefD22_9x_0" localSheetId="70">'Div 4'!$D$70</definedName>
    <definedName name="OSRRefD22_9x_0" localSheetId="92">'Div 5'!$D$58:$D$61</definedName>
    <definedName name="OSRRefD22_9x_0" localSheetId="61">'Div 6'!$D$90:$D$91</definedName>
    <definedName name="OSRRefD22_9x_0" localSheetId="2">Summary!$D$200</definedName>
    <definedName name="OSRRefD22x_0" localSheetId="40">'200'!$D$20,'200'!$D$22,'200'!$D$24,'200'!$D$26,'200'!$D$28:$D$29</definedName>
    <definedName name="OSRRefD22x_0" localSheetId="41">'201'!$D$21:$D$29,'201'!$D$31:$D$40,'201'!$D$42,'201'!$D$44,'201'!$D$46:$D$47,'201'!$D$49,'201'!$D$51,'201'!$D$53,'201'!$D$55,'201'!$D$57,'201'!$D$59:$D$61,'201'!$D$63:$D$64,'201'!$D$66,'201'!$D$68:$D$70,'201'!$D$72,'201'!$D$74,'201'!$D$76</definedName>
    <definedName name="OSRRefD22x_0" localSheetId="42">'202'!$D$21:$D$29,'202'!$D$31:$D$40,'202'!$D$42,'202'!$D$44,'202'!$D$46:$D$47,'202'!$D$49,'202'!$D$51,'202'!$D$53:$D$55,'202'!$D$57,'202'!$D$59:$D$61,'202'!$D$63,'202'!$D$65,'202'!$D$67</definedName>
    <definedName name="OSRRefD22x_0" localSheetId="43">'203'!$D$20:$D$29,'203'!$D$31:$D$40,'203'!$D$42,'203'!$D$44,'203'!$D$46,'203'!$D$48,'203'!$D$50,'203'!$D$52:$D$53,'203'!$D$55:$D$57,'203'!$D$59:$D$60,'203'!$D$62,'203'!$D$64:$D$66,'203'!$D$68,'203'!$D$70,'203'!$D$72</definedName>
    <definedName name="OSRRefD22x_0" localSheetId="44">'204'!$D$20:$D$29,'204'!$D$31:$D$40,'204'!$D$42,'204'!$D$44:$D$45,'204'!$D$47,'204'!$D$49,'204'!$D$51,'204'!$D$53:$D$55,'204'!$D$57:$D$58,'204'!$D$60,'204'!$D$62:$D$63,'204'!$D$65,'204'!$D$67</definedName>
    <definedName name="OSRRefD22x_0" localSheetId="45">'205'!$D$20:$D$28,'205'!$D$30:$D$39,'205'!$D$41,'205'!$D$43,'205'!$D$45:$D$47,'205'!$D$49,'205'!$D$51:$D$53,'205'!$D$55</definedName>
    <definedName name="OSRRefD22x_0" localSheetId="46">'206'!$D$20:$D$28,'206'!$D$30:$D$39,'206'!$D$41,'206'!$D$43,'206'!$D$45,'206'!$D$47,'206'!$D$49,'206'!$D$51,'206'!$D$53:$D$54,'206'!$D$56</definedName>
    <definedName name="OSRRefD22x_0" localSheetId="48">'300'!$D$125:$D$134,'300'!$D$136:$D$145,'300'!$D$147,'300'!$D$149:$D$150,'300'!$D$152,'300'!$D$154:$D$155,'300'!$D$157:$D$158,'300'!$D$160:$D$161,'300'!$D$163,'300'!$D$165,'300'!$D$167:$D$168,'300'!$D$170:$D$172,'300'!$D$174,'300'!$D$176:$D$177,'300'!$D$179,'300'!$D$181,'300'!$D$183:$D$186,'300'!$D$188:$D$191,'300'!$D$193:$D$196,'300'!$D$198:$D$199,'300'!$D$201:$D$209,'300'!$D$211:$D$212,'300'!$D$214,'300'!$D$216:$D$218,'300'!$D$220</definedName>
    <definedName name="OSRRefD22x_0" localSheetId="49">'300 &amp; 317'!$D$149:$D$158,'300 &amp; 317'!$D$160:$D$169,'300 &amp; 317'!$D$171,'300 &amp; 317'!$D$173:$D$174,'300 &amp; 317'!$D$176,'300 &amp; 317'!$D$178:$D$179,'300 &amp; 317'!$D$181:$D$182,'300 &amp; 317'!$D$184:$D$185,'300 &amp; 317'!$D$187,'300 &amp; 317'!$D$189,'300 &amp; 317'!$D$191:$D$192,'300 &amp; 317'!$D$194:$D$196,'300 &amp; 317'!$D$198,'300 &amp; 317'!$D$200:$D$201,'300 &amp; 317'!$D$203,'300 &amp; 317'!$D$205,'300 &amp; 317'!$D$207:$D$210,'300 &amp; 317'!$D$212:$D$215,'300 &amp; 317'!$D$217:$D$220,'300 &amp; 317'!$D$222:$D$223,'300 &amp; 317'!$D$225:$D$233,'300 &amp; 317'!$D$235:$D$236,'300 &amp; 317'!$D$238,'300 &amp; 317'!$D$240:$D$242,'300 &amp; 317'!$D$244</definedName>
    <definedName name="OSRRefD22x_0" localSheetId="50">'301'!$D$21:$D$30,'301'!$D$32:$D$41,'301'!$D$43,'301'!$D$45:$D$46,'301'!$D$48,'301'!$D$50:$D$51,'301'!$D$53,'301'!$D$55,'301'!$D$57,'301'!$D$59,'301'!$D$61,'301'!$D$63,'301'!$D$65,'301'!$D$67,'301'!$D$69,'301'!$D$71:$D$74,'301'!$D$76:$D$78,'301'!$D$80,'301'!$D$82:$D$88,'301'!$D$90,'301'!$D$92,'301'!$D$94:$D$95,'301'!$D$97</definedName>
    <definedName name="OSRRefD22x_0" localSheetId="52">'307'!$D$39:$D$46,'307'!$D$48:$D$57,'307'!$D$59,'307'!$D$61,'307'!$D$63,'307'!$D$65:$D$66,'307'!$D$68,'307'!$D$70,'307'!$D$72,'307'!$D$74:$D$75,'307'!$D$77:$D$78,'307'!$D$80:$D$83,'307'!$D$85:$D$86,'307'!$D$88</definedName>
    <definedName name="OSRRefD22x_0" localSheetId="53">'308'!$D$59:$D$68,'308'!$D$70:$D$79,'308'!$D$81,'308'!$D$83:$D$84,'308'!$D$86,'308'!$D$88,'308'!$D$90:$D$91,'308'!$D$93:$D$94,'308'!$D$96,'308'!$D$98:$D$100,'308'!$D$102:$D$103,'308'!$D$105:$D$107,'308'!$D$109:$D$110,'308'!$D$112,'308'!$D$114</definedName>
    <definedName name="OSRRefD22x_0" localSheetId="64">'309'!$D$22:$D$29,'309'!$D$31:$D$40,'309'!$D$42,'309'!$D$44,'309'!$D$46,'309'!$D$48,'309'!$D$50,'309'!$D$52:$D$53,'309'!$D$55:$D$56,'309'!$D$58:$D$60,'309'!$D$62</definedName>
    <definedName name="OSRRefD22x_0" localSheetId="63">'310'!$D$31:$D$39,'310'!$D$41:$D$50,'310'!$D$52,'310'!$D$54,'310'!$D$56,'310'!$D$58:$D$59,'310'!$D$61,'310'!$D$63,'310'!$D$65,'310'!$D$67,'310'!$D$69,'310'!$D$71,'310'!$D$73,'310'!$D$75:$D$78,'310'!$D$80:$D$81,'310'!$D$83:$D$86,'310'!$D$88,'310'!$D$90:$D$96,'310'!$D$98:$D$99,'310'!$D$101,'310'!$D$103,'310'!$D$105</definedName>
    <definedName name="OSRRefD22x_0" localSheetId="71">'310 &amp; 491'!$D$36:$D$44,'310 &amp; 491'!$D$46:$D$55,'310 &amp; 491'!$D$57,'310 &amp; 491'!$D$59,'310 &amp; 491'!$D$61,'310 &amp; 491'!$D$63:$D$65,'310 &amp; 491'!$D$67,'310 &amp; 491'!$D$69,'310 &amp; 491'!$D$71:$D$72,'310 &amp; 491'!$D$74,'310 &amp; 491'!$D$76,'310 &amp; 491'!$D$78,'310 &amp; 491'!$D$80,'310 &amp; 491'!$D$82:$D$85,'310 &amp; 491'!$D$87:$D$88,'310 &amp; 491'!$D$90:$D$94,'310 &amp; 491'!$D$96:$D$97,'310 &amp; 491'!$D$99:$D$109,'310 &amp; 491'!$D$111:$D$112,'310 &amp; 491'!$D$114,'310 &amp; 491'!$D$116:$D$118,'310 &amp; 491'!$D$120</definedName>
    <definedName name="OSRRefD22x_0" localSheetId="54">'311'!$D$58:$D$67,'311'!$D$69:$D$78,'311'!$D$80,'311'!$D$82:$D$83,'311'!$D$85,'311'!$D$87,'311'!$D$89:$D$90,'311'!$D$92:$D$93,'311'!$D$95,'311'!$D$97:$D$99,'311'!$D$101:$D$102,'311'!$D$104:$D$106,'311'!$D$108:$D$109,'311'!$D$111,'311'!$D$113</definedName>
    <definedName name="OSRRefD22x_0" localSheetId="65">'313'!$D$27:$D$35,'313'!$D$37:$D$46,'313'!$D$48,'313'!$D$50,'313'!$D$52,'313'!$D$54,'313'!$D$56:$D$57,'313'!$D$59,'313'!$D$61:$D$63,'313'!$D$65:$D$66,'313'!$D$68,'313'!$D$70</definedName>
    <definedName name="OSRRefD22x_0" localSheetId="57">'315'!$D$83:$D$91,'315'!$D$93:$D$102,'315'!$D$104,'315'!$D$106,'315'!$D$108,'315'!$D$110:$D$111,'315'!$D$113,'315'!$D$115:$D$116,'315'!$D$118,'315'!$D$120:$D$121,'315'!$D$123,'315'!$D$125,'315'!$D$127:$D$129,'315'!$D$131:$D$132,'315'!$D$134:$D$140,'315'!$D$142,'315'!$D$144,'315'!$D$146:$D$147</definedName>
    <definedName name="OSRRefD22x_0" localSheetId="60">'316'!$D$32:$D$40,'316'!$D$42:$D$51,'316'!$D$53,'316'!$D$55,'316'!$D$57,'316'!$D$59,'316'!$D$61:$D$62,'316'!$D$64:$D$66,'316'!$D$68,'316'!$D$70,'316'!$D$72:$D$76,'316'!$D$78,'316'!$D$80</definedName>
    <definedName name="OSRRefD22x_0" localSheetId="62">'317'!$D$53:$D$62,'317'!$D$64:$D$73,'317'!$D$75,'317'!$D$77,'317'!$D$79,'317'!$D$81,'317'!$D$83:$D$84,'317'!$D$86,'317'!$D$88,'317'!$D$90:$D$91,'317'!$D$93,'317'!$D$95:$D$98,'317'!$D$100,'317'!$D$102</definedName>
    <definedName name="OSRRefD22x_0" localSheetId="66">'321'!$D$26:$D$34,'321'!$D$36:$D$45,'321'!$D$47,'321'!$D$49,'321'!$D$51,'321'!$D$53,'321'!$D$55,'321'!$D$57:$D$58,'321'!$D$60:$D$61,'321'!$D$63:$D$64,'321'!$D$66:$D$68,'321'!$D$70:$D$71,'321'!$D$73,'321'!$D$75</definedName>
    <definedName name="OSRRefD22x_0" localSheetId="67">'322'!$D$23:$D$30,'322'!$D$32:$D$41,'322'!$D$43,'322'!$D$45,'322'!$D$47,'322'!$D$49,'322'!$D$51,'322'!$D$53:$D$54,'322'!$D$56:$D$57,'322'!$D$59:$D$62,'322'!$D$64,'322'!$D$66</definedName>
    <definedName name="OSRRefD22x_0" localSheetId="55">'324'!$D$27:$D$34,'324'!$D$36:$D$45</definedName>
    <definedName name="OSRRefD22x_0" localSheetId="68">'325'!$D$25:$D$32,'325'!$D$34:$D$43,'325'!$D$45,'325'!$D$47,'325'!$D$49,'325'!$D$51:$D$52,'325'!$D$54,'325'!$D$56,'325'!$D$58,'325'!$D$60,'325'!$D$62,'325'!$D$64:$D$67,'325'!$D$69:$D$71,'325'!$D$73,'325'!$D$75:$D$79,'325'!$D$81:$D$82,'325'!$D$84,'325'!$D$86</definedName>
    <definedName name="OSRRefD22x_0" localSheetId="58">'326'!$D$49:$D$57,'326'!$D$59:$D$68,'326'!$D$70,'326'!$D$72,'326'!$D$74,'326'!$D$76,'326'!$D$78,'326'!$D$80,'326'!$D$82:$D$83,'326'!$D$85,'326'!$D$87,'326'!$D$89,'326'!$D$91,'326'!$D$93:$D$95,'326'!$D$97:$D$99,'326'!$D$101:$D$102,'326'!$D$104:$D$109,'326'!$D$111:$D$112,'326'!$D$114,'326'!$D$116:$D$117,'326'!$D$119</definedName>
    <definedName name="OSRRefD22x_0" localSheetId="69">'327'!$D$25,'327'!$D$27</definedName>
    <definedName name="OSRRefD22x_0" localSheetId="51">'330'!$D$42:$D$50,'330'!$D$52:$D$61,'330'!$D$63,'330'!$D$65,'330'!$D$67,'330'!$D$69:$D$70,'330'!$D$72,'330'!$D$74,'330'!$D$76,'330'!$D$78:$D$79,'330'!$D$81:$D$82,'330'!$D$84:$D$87,'330'!$D$89:$D$90,'330'!$D$92</definedName>
    <definedName name="OSRRefD22x_0" localSheetId="56">'331'!$D$84:$D$92,'331'!$D$94:$D$103,'331'!$D$105,'331'!$D$107,'331'!$D$109,'331'!$D$111:$D$112,'331'!$D$114,'331'!$D$116,'331'!$D$118:$D$119,'331'!$D$121:$D$122,'331'!$D$124,'331'!$D$126:$D$127,'331'!$D$129,'331'!$D$131,'331'!$D$133:$D$135,'331'!$D$137:$D$139,'331'!$D$141:$D$143,'331'!$D$145:$D$146,'331'!$D$148:$D$155,'331'!$D$157:$D$158,'331'!$D$160,'331'!$D$162:$D$163,'331'!$D$165</definedName>
    <definedName name="OSRRefD22x_0" localSheetId="59">'332'!$D$34:$D$42,'332'!$D$44:$D$53,'332'!$D$55,'332'!$D$57,'332'!$D$59,'332'!$D$61,'332'!$D$63:$D$64,'332'!$D$66:$D$68,'332'!$D$70,'332'!$D$72,'332'!$D$74:$D$78,'332'!$D$80,'332'!$D$82</definedName>
    <definedName name="OSRRefD22x_0" localSheetId="73">'405'!$D$24:$D$31,'405'!$D$33:$D$42,'405'!$D$44,'405'!$D$46,'405'!$D$48:$D$49,'405'!$D$51,'405'!$D$53,'405'!$D$55,'405'!$D$57,'405'!$D$59:$D$60,'405'!$D$62,'405'!$D$64:$D$67,'405'!$D$69,'405'!$D$71:$D$79,'405'!$D$81,'405'!$D$83,'405'!$D$85,'405'!$D$87</definedName>
    <definedName name="OSRRefD22x_0" localSheetId="74">'406'!$D$20,'406'!$D$22,'406'!$D$24,'406'!$D$26,'406'!$D$28</definedName>
    <definedName name="OSRRefD22x_0" localSheetId="75">'411'!$D$20:$D$28,'411'!$D$30:$D$39,'411'!$D$41,'411'!$D$43,'411'!$D$45:$D$46,'411'!$D$48,'411'!$D$50,'411'!$D$52,'411'!$D$54,'411'!$D$56:$D$59,'411'!$D$61:$D$64,'411'!$D$66:$D$67,'411'!$D$69:$D$75,'411'!$D$77,'411'!$D$79,'411'!$D$81</definedName>
    <definedName name="OSRRefD22x_0" localSheetId="76">'412'!$D$22:$D$29,'412'!$D$31:$D$40,'412'!$D$42,'412'!$D$44,'412'!$D$46:$D$47,'412'!$D$49,'412'!$D$51,'412'!$D$53,'412'!$D$55:$D$56,'412'!$D$58,'412'!$D$60:$D$63,'412'!$D$65:$D$69,'412'!$D$71:$D$72,'412'!$D$74</definedName>
    <definedName name="OSRRefD22x_0" localSheetId="77">'413'!$D$23:$D$31,'413'!$D$33:$D$42,'413'!$D$44,'413'!$D$46,'413'!$D$48,'413'!$D$50,'413'!$D$52,'413'!$D$54,'413'!$D$56:$D$59,'413'!$D$61:$D$62,'413'!$D$64:$D$71,'413'!$D$73:$D$74,'413'!$D$76</definedName>
    <definedName name="OSRRefD22x_0" localSheetId="78">'414'!$D$25:$D$33,'414'!$D$35:$D$44,'414'!$D$46,'414'!$D$48,'414'!$D$50,'414'!$D$52,'414'!$D$54,'414'!$D$56,'414'!$D$58:$D$59,'414'!$D$61,'414'!$D$63,'414'!$D$65,'414'!$D$67:$D$69,'414'!$D$71,'414'!$D$73,'414'!$D$75</definedName>
    <definedName name="OSRRefD22x_0" localSheetId="79">'415'!$D$27:$D$35,'415'!$D$37:$D$46,'415'!$D$48,'415'!$D$50,'415'!$D$52,'415'!$D$54:$D$55,'415'!$D$57,'415'!$D$59,'415'!$D$61,'415'!$D$63,'415'!$D$65,'415'!$D$67:$D$68,'415'!$D$70:$D$74,'415'!$D$76,'415'!$D$78:$D$85,'415'!$D$87:$D$88,'415'!$D$90,'415'!$D$92:$D$93,'415'!$D$95</definedName>
    <definedName name="OSRRefD22x_0" localSheetId="80">'418'!$D$24:$D$31,'418'!$D$33:$D$42,'418'!$D$44,'418'!$D$46,'418'!$D$48:$D$49,'418'!$D$51,'418'!$D$53,'418'!$D$55,'418'!$D$57:$D$59,'418'!$D$61:$D$62,'418'!$D$64:$D$65,'418'!$D$67:$D$76,'418'!$D$78:$D$79,'418'!$D$81</definedName>
    <definedName name="OSRRefD22x_0" localSheetId="81">'420'!$D$22,'420'!$D$24</definedName>
    <definedName name="OSRRefD22x_0" localSheetId="82">'423'!$D$20:$D$27,'423'!$D$29:$D$38,'423'!$D$40,'423'!$D$42:$D$43,'423'!$D$45,'423'!$D$47,'423'!$D$49</definedName>
    <definedName name="OSRRefD22x_0" localSheetId="83">'424'!$D$20,'424'!$D$22,'424'!$D$24,'424'!$D$26</definedName>
    <definedName name="OSRRefD22x_0" localSheetId="84">'425'!$D$21:$D$25,'425'!$D$27,'425'!$D$29,'425'!$D$31,'425'!$D$33:$D$34,'425'!$D$36</definedName>
    <definedName name="OSRRefD22x_0" localSheetId="87">'430'!$D$20:$D$28,'430'!$D$30:$D$39,'430'!$D$41,'430'!$D$43,'430'!$D$45:$D$47,'430'!$D$49:$D$50,'430'!$D$52,'430'!$D$54</definedName>
    <definedName name="OSRRefD22x_0" localSheetId="88">'433'!$D$27:$D$36,'433'!$D$38:$D$47,'433'!$D$49,'433'!$D$51,'433'!$D$53,'433'!$D$55,'433'!$D$57,'433'!$D$59,'433'!$D$61,'433'!$D$63,'433'!$D$65,'433'!$D$67:$D$69,'433'!$D$71:$D$74,'433'!$D$76:$D$83,'433'!$D$85,'433'!$D$87</definedName>
    <definedName name="OSRRefD22x_0" localSheetId="89">'435'!$D$20</definedName>
    <definedName name="OSRRefD22x_0" localSheetId="90">'444'!$D$27:$D$36,'444'!$D$38:$D$47,'444'!$D$49,'444'!$D$51,'444'!$D$53,'444'!$D$55,'444'!$D$57,'444'!$D$59,'444'!$D$61,'444'!$D$63,'444'!$D$65,'444'!$D$67:$D$70,'444'!$D$72:$D$75,'444'!$D$77,'444'!$D$79:$D$87,'444'!$D$89:$D$90,'444'!$D$92,'444'!$D$94</definedName>
    <definedName name="OSRRefD22x_0" localSheetId="91">'450'!$D$23:$D$32,'450'!$D$34:$D$43,'450'!$D$45,'450'!$D$47,'450'!$D$49,'450'!$D$51,'450'!$D$53,'450'!$D$55,'450'!$D$57,'450'!$D$59,'450'!$D$61,'450'!$D$63,'450'!$D$65,'450'!$D$67:$D$69,'450'!$D$71:$D$77,'450'!$D$79:$D$80,'450'!$D$82</definedName>
    <definedName name="OSRRefD22x_0" localSheetId="72">'491'!$D$30:$D$38,'491'!$D$40:$D$49,'491'!$D$51,'491'!$D$53,'491'!$D$55,'491'!$D$57:$D$59,'491'!$D$61,'491'!$D$63,'491'!$D$65,'491'!$D$67,'491'!$D$69,'491'!$D$71,'491'!$D$73,'491'!$D$75:$D$78,'491'!$D$80:$D$81,'491'!$D$83:$D$87,'491'!$D$89:$D$90,'491'!$D$92:$D$102,'491'!$D$104:$D$105,'491'!$D$107,'491'!$D$109:$D$111,'491'!$D$113</definedName>
    <definedName name="OSRRefD22x_0" localSheetId="86">'492'!$D$27:$D$36,'492'!$D$38:$D$47,'492'!$D$49,'492'!$D$51,'492'!$D$53,'492'!$D$55,'492'!$D$57,'492'!$D$59,'492'!$D$61,'492'!$D$63,'492'!$D$65,'492'!$D$67,'492'!$D$69:$D$72,'492'!$D$74:$D$77,'492'!$D$79,'492'!$D$81:$D$90,'492'!$D$92:$D$93,'492'!$D$95,'492'!$D$97:$D$98</definedName>
    <definedName name="OSRRefD22x_0" localSheetId="93">'501'!$D$21:$D$30,'501'!$D$32:$D$41,'501'!$D$43,'501'!$D$45,'501'!$D$47,'501'!$D$49:$D$50,'501'!$D$52,'501'!$D$54,'501'!$D$56,'501'!$D$58:$D$61,'501'!$D$63,'501'!$D$65:$D$66,'501'!$D$68,'501'!$D$70</definedName>
    <definedName name="OSRRefD22x_0" localSheetId="39">'Div 2'!$D$21:$D$31,'Div 2'!$D$33:$D$42,'Div 2'!$D$44,'Div 2'!$D$46,'Div 2'!$D$48,'Div 2'!$D$50:$D$51,'Div 2'!$D$53:$D$54,'Div 2'!$D$56,'Div 2'!$D$58,'Div 2'!$D$60:$D$61,'Div 2'!$D$63,'Div 2'!$D$65:$D$66,'Div 2'!$D$68:$D$71,'Div 2'!$D$73:$D$76,'Div 2'!$D$78:$D$79,'Div 2'!$D$81:$D$82,'Div 2'!$D$84:$D$88,'Div 2'!$D$90:$D$91,'Div 2'!$D$93,'Div 2'!$D$95:$D$96</definedName>
    <definedName name="OSRRefD22x_0" localSheetId="47">'Div 3'!$D$129:$D$138,'Div 3'!$D$140:$D$149,'Div 3'!$D$151,'Div 3'!$D$153:$D$154,'Div 3'!$D$156,'Div 3'!$D$158:$D$159,'Div 3'!$D$161:$D$162,'Div 3'!$D$164:$D$165,'Div 3'!$D$167,'Div 3'!$D$169,'Div 3'!$D$171:$D$172,'Div 3'!$D$174:$D$176,'Div 3'!$D$178,'Div 3'!$D$180,'Div 3'!$D$182:$D$183,'Div 3'!$D$185,'Div 3'!$D$187,'Div 3'!$D$189:$D$192,'Div 3'!$D$194:$D$197,'Div 3'!$D$199:$D$203,'Div 3'!$D$205:$D$206,'Div 3'!$D$208:$D$216,'Div 3'!$D$218:$D$219,'Div 3'!$D$221,'Div 3'!$D$223:$D$225,'Div 3'!$D$227</definedName>
    <definedName name="OSRRefD22x_0" localSheetId="70">'Div 4'!$D$32:$D$41,'Div 4'!$D$43:$D$52,'Div 4'!$D$54,'Div 4'!$D$56,'Div 4'!$D$58,'Div 4'!$D$60:$D$62,'Div 4'!$D$64,'Div 4'!$D$66,'Div 4'!$D$68,'Div 4'!$D$70,'Div 4'!$D$72,'Div 4'!$D$74,'Div 4'!$D$76,'Div 4'!$D$78,'Div 4'!$D$80,'Div 4'!$D$82:$D$85,'Div 4'!$D$87:$D$88,'Div 4'!$D$90:$D$94,'Div 4'!$D$96:$D$97,'Div 4'!$D$99:$D$109,'Div 4'!$D$111:$D$112,'Div 4'!$D$114,'Div 4'!$D$116:$D$118,'Div 4'!$D$120</definedName>
    <definedName name="OSRRefD22x_0" localSheetId="92">'Div 5'!$D$21:$D$30,'Div 5'!$D$32:$D$41,'Div 5'!$D$43,'Div 5'!$D$45,'Div 5'!$D$47,'Div 5'!$D$49:$D$50,'Div 5'!$D$52,'Div 5'!$D$54,'Div 5'!$D$56,'Div 5'!$D$58:$D$61,'Div 5'!$D$63,'Div 5'!$D$65:$D$66,'Div 5'!$D$68,'Div 5'!$D$70</definedName>
    <definedName name="OSRRefD22x_0" localSheetId="61">'Div 6'!$D$53:$D$62,'Div 6'!$D$64:$D$73,'Div 6'!$D$75,'Div 6'!$D$77,'Div 6'!$D$79,'Div 6'!$D$81,'Div 6'!$D$83:$D$84,'Div 6'!$D$86,'Div 6'!$D$88,'Div 6'!$D$90:$D$91,'Div 6'!$D$93,'Div 6'!$D$95:$D$98,'Div 6'!$D$100,'Div 6'!$D$102</definedName>
    <definedName name="OSRRefD22x_0" localSheetId="2">Summary!$D$159:$D$168,Summary!$D$170:$D$179,Summary!$D$181,Summary!$D$183:$D$184,Summary!$D$186,Summary!$D$188:$D$190,Summary!$D$192:$D$193,Summary!$D$195:$D$196,Summary!$D$198,Summary!$D$200,Summary!$D$202:$D$203,Summary!$D$205:$D$207,Summary!$D$209,Summary!$D$211,Summary!$D$213:$D$214,Summary!$D$216,Summary!$D$218,Summary!$D$220,Summary!$D$222:$D$225,Summary!$D$227:$D$230,Summary!$D$232:$D$236,Summary!$D$238:$D$239,Summary!$D$241:$D$251,Summary!$D$253:$D$254,Summary!$D$256,Summary!$D$258:$D$260,Summary!$D$262</definedName>
    <definedName name="OSRRefD25x_0" localSheetId="42">'202'!$D$70:$D$72</definedName>
    <definedName name="OSRRefD25x_0" localSheetId="48">'300'!$D$223:$D$227</definedName>
    <definedName name="OSRRefD25x_0" localSheetId="49">'300 &amp; 317'!$D$247:$D$252</definedName>
    <definedName name="OSRRefD25x_0" localSheetId="50">'301'!$D$100:$D$101</definedName>
    <definedName name="OSRRefD25x_0" localSheetId="53">'308'!$D$117:$D$119</definedName>
    <definedName name="OSRRefD25x_0" localSheetId="71">'310 &amp; 491'!$D$123:$D$126</definedName>
    <definedName name="OSRRefD25x_0" localSheetId="54">'311'!$D$116:$D$118</definedName>
    <definedName name="OSRRefD25x_0" localSheetId="57">'315'!$D$150:$D$153</definedName>
    <definedName name="OSRRefD25x_0" localSheetId="60">'316'!$D$83</definedName>
    <definedName name="OSRRefD25x_0" localSheetId="62">'317'!$D$105:$D$106</definedName>
    <definedName name="OSRRefD25x_0" localSheetId="56">'331'!$D$168:$D$171</definedName>
    <definedName name="OSRRefD25x_0" localSheetId="59">'332'!$D$85:$D$86</definedName>
    <definedName name="OSRRefD25x_0" localSheetId="75">'411'!$D$84:$D$85</definedName>
    <definedName name="OSRRefD25x_0" localSheetId="80">'418'!$D$84</definedName>
    <definedName name="OSRRefD25x_0" localSheetId="82">'423'!$D$52:$D$54</definedName>
    <definedName name="OSRRefD25x_0" localSheetId="85">'455'!$D$21:$D$22</definedName>
    <definedName name="OSRRefD25x_0" localSheetId="72">'491'!$D$116:$D$119</definedName>
    <definedName name="OSRRefD25x_0" localSheetId="93">'501'!$D$73</definedName>
    <definedName name="OSRRefD25x_0" localSheetId="39">'Div 2'!$D$99:$D$101</definedName>
    <definedName name="OSRRefD25x_0" localSheetId="47">'Div 3'!$D$230:$D$234</definedName>
    <definedName name="OSRRefD25x_0" localSheetId="70">'Div 4'!$D$123:$D$126</definedName>
    <definedName name="OSRRefD25x_0" localSheetId="92">'Div 5'!$D$73</definedName>
    <definedName name="OSRRefD25x_0" localSheetId="61">'Div 6'!$D$105:$D$106</definedName>
    <definedName name="OSRRefD25x_0" localSheetId="2">Summary!$D$265:$D$272</definedName>
    <definedName name="OSRRefH13x_0" localSheetId="41">'201'!$H$13</definedName>
    <definedName name="OSRRefH13x_0" localSheetId="42">'202'!$H$13</definedName>
    <definedName name="OSRRefH13x_0" localSheetId="48">'300'!$H$13:$H$78</definedName>
    <definedName name="OSRRefH13x_0" localSheetId="49">'300 &amp; 317'!$H$13:$H$93</definedName>
    <definedName name="OSRRefH13x_0" localSheetId="52">'307'!$H$13:$H$23</definedName>
    <definedName name="OSRRefH13x_0" localSheetId="53">'308'!$H$13:$H$35</definedName>
    <definedName name="OSRRefH13x_0" localSheetId="64">'309'!$H$13</definedName>
    <definedName name="OSRRefH13x_0" localSheetId="63">'310'!$H$13:$H$20</definedName>
    <definedName name="OSRRefH13x_0" localSheetId="71">'310 &amp; 491'!$H$13:$H$25</definedName>
    <definedName name="OSRRefH13x_0" localSheetId="54">'311'!$H$13:$H$34</definedName>
    <definedName name="OSRRefH13x_0" localSheetId="65">'313'!$H$13:$H$17</definedName>
    <definedName name="OSRRefH13x_0" localSheetId="57">'315'!$H$13:$H$51</definedName>
    <definedName name="OSRRefH13x_0" localSheetId="60">'316'!$H$13:$H$24</definedName>
    <definedName name="OSRRefH13x_0" localSheetId="62">'317'!$H$13:$H$31</definedName>
    <definedName name="OSRRefH13x_0" localSheetId="66">'321'!$H$13:$H$15</definedName>
    <definedName name="OSRRefH13x_0" localSheetId="67">'322'!$H$13</definedName>
    <definedName name="OSRRefH13x_0" localSheetId="55">'324'!$H$13:$H$16</definedName>
    <definedName name="OSRRefH13x_0" localSheetId="68">'325'!$H$13:$H$14</definedName>
    <definedName name="OSRRefH13x_0" localSheetId="58">'326'!$H$13:$H$33</definedName>
    <definedName name="OSRRefH13x_0" localSheetId="69">'327'!$H$13:$H$14</definedName>
    <definedName name="OSRRefH13x_0" localSheetId="51">'330'!$H$13:$H$26</definedName>
    <definedName name="OSRRefH13x_0" localSheetId="56">'331'!$H$13:$H$51</definedName>
    <definedName name="OSRRefH13x_0" localSheetId="59">'332'!$H$13:$H$24</definedName>
    <definedName name="OSRRefH13x_0" localSheetId="73">'405'!$H$13:$H$14</definedName>
    <definedName name="OSRRefH13x_0" localSheetId="76">'412'!$H$13</definedName>
    <definedName name="OSRRefH13x_0" localSheetId="77">'413'!$H$13:$H$14</definedName>
    <definedName name="OSRRefH13x_0" localSheetId="78">'414'!$H$13:$H$15</definedName>
    <definedName name="OSRRefH13x_0" localSheetId="79">'415'!$H$13:$H$16</definedName>
    <definedName name="OSRRefH13x_0" localSheetId="80">'418'!$H$13:$H$14</definedName>
    <definedName name="OSRRefH13x_0" localSheetId="81">'420'!$H$13:$H$14</definedName>
    <definedName name="OSRRefH13x_0" localSheetId="88">'433'!$H$13:$H$16</definedName>
    <definedName name="OSRRefH13x_0" localSheetId="90">'444'!$H$13:$H$16</definedName>
    <definedName name="OSRRefH13x_0" localSheetId="91">'450'!$H$13:$H$14</definedName>
    <definedName name="OSRRefH13x_0" localSheetId="72">'491'!$H$13:$H$19</definedName>
    <definedName name="OSRRefH13x_0" localSheetId="86">'492'!$H$13:$H$16</definedName>
    <definedName name="OSRRefH13x_0" localSheetId="93">'501'!$H$13</definedName>
    <definedName name="OSRRefH13x_0" localSheetId="39">'Div 2'!$H$13</definedName>
    <definedName name="OSRRefH13x_0" localSheetId="47">'Div 3'!$H$13:$H$80</definedName>
    <definedName name="OSRRefH13x_0" localSheetId="70">'Div 4'!$H$13:$H$21</definedName>
    <definedName name="OSRRefH13x_0" localSheetId="92">'Div 5'!$H$13</definedName>
    <definedName name="OSRRefH13x_0" localSheetId="61">'Div 6'!$H$13:$H$31</definedName>
    <definedName name="OSRRefH13x_0" localSheetId="2">Summary!$H$13:$H$101</definedName>
    <definedName name="OSRRefH16x_0" localSheetId="48">'300'!$H$81:$H$119</definedName>
    <definedName name="OSRRefH16x_0" localSheetId="49">'300 &amp; 317'!$H$96:$H$143</definedName>
    <definedName name="OSRRefH16x_0" localSheetId="50">'301'!$H$15</definedName>
    <definedName name="OSRRefH16x_0" localSheetId="52">'307'!$H$26:$H$33</definedName>
    <definedName name="OSRRefH16x_0" localSheetId="53">'308'!$H$38:$H$53</definedName>
    <definedName name="OSRRefH16x_0" localSheetId="64">'309'!$H$16</definedName>
    <definedName name="OSRRefH16x_0" localSheetId="63">'310'!$H$23:$H$25</definedName>
    <definedName name="OSRRefH16x_0" localSheetId="71">'310 &amp; 491'!$H$28:$H$30</definedName>
    <definedName name="OSRRefH16x_0" localSheetId="54">'311'!$H$37:$H$52</definedName>
    <definedName name="OSRRefH16x_0" localSheetId="65">'313'!$H$20:$H$21</definedName>
    <definedName name="OSRRefH16x_0" localSheetId="57">'315'!$H$54:$H$77</definedName>
    <definedName name="OSRRefH16x_0" localSheetId="62">'317'!$H$34:$H$47</definedName>
    <definedName name="OSRRefH16x_0" localSheetId="66">'321'!$H$18:$H$20</definedName>
    <definedName name="OSRRefH16x_0" localSheetId="67">'322'!$H$16:$H$17</definedName>
    <definedName name="OSRRefH16x_0" localSheetId="55">'324'!$H$19:$H$21</definedName>
    <definedName name="OSRRefH16x_0" localSheetId="68">'325'!$H$17:$H$19</definedName>
    <definedName name="OSRRefH16x_0" localSheetId="58">'326'!$H$36:$H$43</definedName>
    <definedName name="OSRRefH16x_0" localSheetId="69">'327'!$H$17:$H$19</definedName>
    <definedName name="OSRRefH16x_0" localSheetId="51">'330'!$H$29:$H$36</definedName>
    <definedName name="OSRRefH16x_0" localSheetId="56">'331'!$H$54:$H$78</definedName>
    <definedName name="OSRRefH16x_0" localSheetId="59">'332'!$H$27:$H$28</definedName>
    <definedName name="OSRRefH16x_0" localSheetId="73">'405'!$H$17:$H$18</definedName>
    <definedName name="OSRRefH16x_0" localSheetId="76">'412'!$H$16</definedName>
    <definedName name="OSRRefH16x_0" localSheetId="77">'413'!$H$17</definedName>
    <definedName name="OSRRefH16x_0" localSheetId="78">'414'!$H$18:$H$19</definedName>
    <definedName name="OSRRefH16x_0" localSheetId="79">'415'!$H$19:$H$21</definedName>
    <definedName name="OSRRefH16x_0" localSheetId="80">'418'!$H$17:$H$18</definedName>
    <definedName name="OSRRefH16x_0" localSheetId="84">'425'!$H$15</definedName>
    <definedName name="OSRRefH16x_0" localSheetId="88">'433'!$H$19:$H$21</definedName>
    <definedName name="OSRRefH16x_0" localSheetId="90">'444'!$H$19:$H$21</definedName>
    <definedName name="OSRRefH16x_0" localSheetId="91">'450'!$H$17</definedName>
    <definedName name="OSRRefH16x_0" localSheetId="72">'491'!$H$22:$H$24</definedName>
    <definedName name="OSRRefH16x_0" localSheetId="86">'492'!$H$19:$H$21</definedName>
    <definedName name="OSRRefH16x_0" localSheetId="47">'Div 3'!$H$83:$H$123</definedName>
    <definedName name="OSRRefH16x_0" localSheetId="70">'Div 4'!$H$24:$H$26</definedName>
    <definedName name="OSRRefH16x_0" localSheetId="61">'Div 6'!$H$34:$H$47</definedName>
    <definedName name="OSRRefH16x_0" localSheetId="2">Summary!$H$104:$H$153</definedName>
    <definedName name="OSRRefH22_0x_0" localSheetId="40">'200'!$H$20</definedName>
    <definedName name="OSRRefH22_0x_0" localSheetId="41">'201'!$H$21:$H$29</definedName>
    <definedName name="OSRRefH22_0x_0" localSheetId="42">'202'!$H$21:$H$29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'300'!$H$125:$H$134</definedName>
    <definedName name="OSRRefH22_0x_0" localSheetId="49">'300 &amp; 317'!$H$149:$H$158</definedName>
    <definedName name="OSRRefH22_0x_0" localSheetId="50">'301'!$H$21:$H$30</definedName>
    <definedName name="OSRRefH22_0x_0" localSheetId="52">'307'!$H$39:$H$46</definedName>
    <definedName name="OSRRefH22_0x_0" localSheetId="53">'308'!$H$59:$H$68</definedName>
    <definedName name="OSRRefH22_0x_0" localSheetId="64">'309'!$H$22:$H$29</definedName>
    <definedName name="OSRRefH22_0x_0" localSheetId="63">'310'!$H$31:$H$39</definedName>
    <definedName name="OSRRefH22_0x_0" localSheetId="71">'310 &amp; 491'!$H$36:$H$44</definedName>
    <definedName name="OSRRefH22_0x_0" localSheetId="54">'311'!$H$58:$H$67</definedName>
    <definedName name="OSRRefH22_0x_0" localSheetId="65">'313'!$H$27:$H$35</definedName>
    <definedName name="OSRRefH22_0x_0" localSheetId="57">'315'!$H$83:$H$91</definedName>
    <definedName name="OSRRefH22_0x_0" localSheetId="60">'316'!$H$32:$H$40</definedName>
    <definedName name="OSRRefH22_0x_0" localSheetId="62">'317'!$H$53:$H$62</definedName>
    <definedName name="OSRRefH22_0x_0" localSheetId="66">'321'!$H$26:$H$34</definedName>
    <definedName name="OSRRefH22_0x_0" localSheetId="67">'322'!$H$23:$H$30</definedName>
    <definedName name="OSRRefH22_0x_0" localSheetId="55">'324'!$H$27:$H$34</definedName>
    <definedName name="OSRRefH22_0x_0" localSheetId="68">'325'!$H$25:$H$32</definedName>
    <definedName name="OSRRefH22_0x_0" localSheetId="58">'326'!$H$49:$H$57</definedName>
    <definedName name="OSRRefH22_0x_0" localSheetId="69">'327'!$H$25</definedName>
    <definedName name="OSRRefH22_0x_0" localSheetId="51">'330'!$H$42:$H$50</definedName>
    <definedName name="OSRRefH22_0x_0" localSheetId="56">'331'!$H$84:$H$92</definedName>
    <definedName name="OSRRefH22_0x_0" localSheetId="59">'332'!$H$34:$H$42</definedName>
    <definedName name="OSRRefH22_0x_0" localSheetId="73">'405'!$H$24:$H$31</definedName>
    <definedName name="OSRRefH22_0x_0" localSheetId="74">'406'!$H$20</definedName>
    <definedName name="OSRRefH22_0x_0" localSheetId="75">'411'!$H$20:$H$28</definedName>
    <definedName name="OSRRefH22_0x_0" localSheetId="76">'412'!$H$22:$H$29</definedName>
    <definedName name="OSRRefH22_0x_0" localSheetId="77">'413'!$H$23:$H$31</definedName>
    <definedName name="OSRRefH22_0x_0" localSheetId="78">'414'!$H$25:$H$33</definedName>
    <definedName name="OSRRefH22_0x_0" localSheetId="79">'415'!$H$27:$H$35</definedName>
    <definedName name="OSRRefH22_0x_0" localSheetId="80">'418'!$H$24:$H$31</definedName>
    <definedName name="OSRRefH22_0x_0" localSheetId="81">'420'!$H$22</definedName>
    <definedName name="OSRRefH22_0x_0" localSheetId="82">'423'!$H$20:$H$27</definedName>
    <definedName name="OSRRefH22_0x_0" localSheetId="83">'424'!$H$20</definedName>
    <definedName name="OSRRefH22_0x_0" localSheetId="84">'425'!$H$21:$H$25</definedName>
    <definedName name="OSRRefH22_0x_0" localSheetId="87">'430'!$H$20:$H$28</definedName>
    <definedName name="OSRRefH22_0x_0" localSheetId="88">'433'!$H$27:$H$36</definedName>
    <definedName name="OSRRefH22_0x_0" localSheetId="89">'435'!$H$20</definedName>
    <definedName name="OSRRefH22_0x_0" localSheetId="90">'444'!$H$27:$H$36</definedName>
    <definedName name="OSRRefH22_0x_0" localSheetId="91">'450'!$H$23:$H$32</definedName>
    <definedName name="OSRRefH22_0x_0" localSheetId="72">'491'!$H$30:$H$38</definedName>
    <definedName name="OSRRefH22_0x_0" localSheetId="86">'492'!$H$27:$H$36</definedName>
    <definedName name="OSRRefH22_0x_0" localSheetId="93">'501'!$H$21:$H$30</definedName>
    <definedName name="OSRRefH22_0x_0" localSheetId="39">'Div 2'!$H$21:$H$31</definedName>
    <definedName name="OSRRefH22_0x_0" localSheetId="47">'Div 3'!$H$129:$H$138</definedName>
    <definedName name="OSRRefH22_0x_0" localSheetId="70">'Div 4'!$H$32:$H$41</definedName>
    <definedName name="OSRRefH22_0x_0" localSheetId="92">'Div 5'!$H$21:$H$30</definedName>
    <definedName name="OSRRefH22_0x_0" localSheetId="61">'Div 6'!$H$53:$H$62</definedName>
    <definedName name="OSRRefH22_0x_0" localSheetId="2">Summary!$H$159:$H$168</definedName>
    <definedName name="OSRRefH22_10x_0" localSheetId="41">'201'!$H$59:$H$61</definedName>
    <definedName name="OSRRefH22_10x_0" localSheetId="42">'202'!$H$63</definedName>
    <definedName name="OSRRefH22_10x_0" localSheetId="43">'203'!$H$62</definedName>
    <definedName name="OSRRefH22_10x_0" localSheetId="44">'204'!$H$62:$H$63</definedName>
    <definedName name="OSRRefH22_10x_0" localSheetId="48">'300'!$H$167:$H$168</definedName>
    <definedName name="OSRRefH22_10x_0" localSheetId="49">'300 &amp; 317'!$H$191:$H$192</definedName>
    <definedName name="OSRRefH22_10x_0" localSheetId="50">'301'!$H$61</definedName>
    <definedName name="OSRRefH22_10x_0" localSheetId="52">'307'!$H$77:$H$78</definedName>
    <definedName name="OSRRefH22_10x_0" localSheetId="53">'308'!$H$102:$H$103</definedName>
    <definedName name="OSRRefH22_10x_0" localSheetId="64">'309'!$H$62</definedName>
    <definedName name="OSRRefH22_10x_0" localSheetId="63">'310'!$H$69</definedName>
    <definedName name="OSRRefH22_10x_0" localSheetId="71">'310 &amp; 491'!$H$76</definedName>
    <definedName name="OSRRefH22_10x_0" localSheetId="54">'311'!$H$101:$H$102</definedName>
    <definedName name="OSRRefH22_10x_0" localSheetId="65">'313'!$H$68</definedName>
    <definedName name="OSRRefH22_10x_0" localSheetId="57">'315'!$H$123</definedName>
    <definedName name="OSRRefH22_10x_0" localSheetId="60">'316'!$H$72:$H$76</definedName>
    <definedName name="OSRRefH22_10x_0" localSheetId="62">'317'!$H$93</definedName>
    <definedName name="OSRRefH22_10x_0" localSheetId="66">'321'!$H$66:$H$68</definedName>
    <definedName name="OSRRefH22_10x_0" localSheetId="67">'322'!$H$64</definedName>
    <definedName name="OSRRefH22_10x_0" localSheetId="68">'325'!$H$62</definedName>
    <definedName name="OSRRefH22_10x_0" localSheetId="58">'326'!$H$87</definedName>
    <definedName name="OSRRefH22_10x_0" localSheetId="51">'330'!$H$81:$H$82</definedName>
    <definedName name="OSRRefH22_10x_0" localSheetId="56">'331'!$H$124</definedName>
    <definedName name="OSRRefH22_10x_0" localSheetId="59">'332'!$H$74:$H$78</definedName>
    <definedName name="OSRRefH22_10x_0" localSheetId="73">'405'!$H$62</definedName>
    <definedName name="OSRRefH22_10x_0" localSheetId="75">'411'!$H$61:$H$64</definedName>
    <definedName name="OSRRefH22_10x_0" localSheetId="76">'412'!$H$60:$H$63</definedName>
    <definedName name="OSRRefH22_10x_0" localSheetId="77">'413'!$H$64:$H$71</definedName>
    <definedName name="OSRRefH22_10x_0" localSheetId="78">'414'!$H$63</definedName>
    <definedName name="OSRRefH22_10x_0" localSheetId="79">'415'!$H$65</definedName>
    <definedName name="OSRRefH22_10x_0" localSheetId="80">'418'!$H$64:$H$65</definedName>
    <definedName name="OSRRefH22_10x_0" localSheetId="88">'433'!$H$65</definedName>
    <definedName name="OSRRefH22_10x_0" localSheetId="90">'444'!$H$65</definedName>
    <definedName name="OSRRefH22_10x_0" localSheetId="91">'450'!$H$61</definedName>
    <definedName name="OSRRefH22_10x_0" localSheetId="72">'491'!$H$69</definedName>
    <definedName name="OSRRefH22_10x_0" localSheetId="86">'492'!$H$65</definedName>
    <definedName name="OSRRefH22_10x_0" localSheetId="93">'501'!$H$63</definedName>
    <definedName name="OSRRefH22_10x_0" localSheetId="39">'Div 2'!$H$63</definedName>
    <definedName name="OSRRefH22_10x_0" localSheetId="47">'Div 3'!$H$171:$H$172</definedName>
    <definedName name="OSRRefH22_10x_0" localSheetId="70">'Div 4'!$H$72</definedName>
    <definedName name="OSRRefH22_10x_0" localSheetId="92">'Div 5'!$H$63</definedName>
    <definedName name="OSRRefH22_10x_0" localSheetId="61">'Div 6'!$H$93</definedName>
    <definedName name="OSRRefH22_10x_0" localSheetId="2">Summary!$H$202:$H$203</definedName>
    <definedName name="OSRRefH22_11x_0" localSheetId="41">'201'!$H$63:$H$64</definedName>
    <definedName name="OSRRefH22_11x_0" localSheetId="42">'202'!$H$65</definedName>
    <definedName name="OSRRefH22_11x_0" localSheetId="43">'203'!$H$64:$H$66</definedName>
    <definedName name="OSRRefH22_11x_0" localSheetId="44">'204'!$H$65</definedName>
    <definedName name="OSRRefH22_11x_0" localSheetId="48">'300'!$H$170:$H$172</definedName>
    <definedName name="OSRRefH22_11x_0" localSheetId="49">'300 &amp; 317'!$H$194:$H$196</definedName>
    <definedName name="OSRRefH22_11x_0" localSheetId="50">'301'!$H$63</definedName>
    <definedName name="OSRRefH22_11x_0" localSheetId="52">'307'!$H$80:$H$83</definedName>
    <definedName name="OSRRefH22_11x_0" localSheetId="53">'308'!$H$105:$H$107</definedName>
    <definedName name="OSRRefH22_11x_0" localSheetId="63">'310'!$H$71</definedName>
    <definedName name="OSRRefH22_11x_0" localSheetId="71">'310 &amp; 491'!$H$78</definedName>
    <definedName name="OSRRefH22_11x_0" localSheetId="54">'311'!$H$104:$H$106</definedName>
    <definedName name="OSRRefH22_11x_0" localSheetId="65">'313'!$H$70</definedName>
    <definedName name="OSRRefH22_11x_0" localSheetId="57">'315'!$H$125</definedName>
    <definedName name="OSRRefH22_11x_0" localSheetId="60">'316'!$H$78</definedName>
    <definedName name="OSRRefH22_11x_0" localSheetId="62">'317'!$H$95:$H$98</definedName>
    <definedName name="OSRRefH22_11x_0" localSheetId="66">'321'!$H$70:$H$71</definedName>
    <definedName name="OSRRefH22_11x_0" localSheetId="67">'322'!$H$66</definedName>
    <definedName name="OSRRefH22_11x_0" localSheetId="68">'325'!$H$64:$H$67</definedName>
    <definedName name="OSRRefH22_11x_0" localSheetId="58">'326'!$H$89</definedName>
    <definedName name="OSRRefH22_11x_0" localSheetId="51">'330'!$H$84:$H$87</definedName>
    <definedName name="OSRRefH22_11x_0" localSheetId="56">'331'!$H$126:$H$127</definedName>
    <definedName name="OSRRefH22_11x_0" localSheetId="59">'332'!$H$80</definedName>
    <definedName name="OSRRefH22_11x_0" localSheetId="73">'405'!$H$64:$H$67</definedName>
    <definedName name="OSRRefH22_11x_0" localSheetId="75">'411'!$H$66:$H$67</definedName>
    <definedName name="OSRRefH22_11x_0" localSheetId="76">'412'!$H$65:$H$69</definedName>
    <definedName name="OSRRefH22_11x_0" localSheetId="77">'413'!$H$73:$H$74</definedName>
    <definedName name="OSRRefH22_11x_0" localSheetId="78">'414'!$H$65</definedName>
    <definedName name="OSRRefH22_11x_0" localSheetId="79">'415'!$H$67:$H$68</definedName>
    <definedName name="OSRRefH22_11x_0" localSheetId="80">'418'!$H$67:$H$76</definedName>
    <definedName name="OSRRefH22_11x_0" localSheetId="88">'433'!$H$67:$H$69</definedName>
    <definedName name="OSRRefH22_11x_0" localSheetId="90">'444'!$H$67:$H$70</definedName>
    <definedName name="OSRRefH22_11x_0" localSheetId="91">'450'!$H$63</definedName>
    <definedName name="OSRRefH22_11x_0" localSheetId="72">'491'!$H$71</definedName>
    <definedName name="OSRRefH22_11x_0" localSheetId="86">'492'!$H$67</definedName>
    <definedName name="OSRRefH22_11x_0" localSheetId="93">'501'!$H$65:$H$66</definedName>
    <definedName name="OSRRefH22_11x_0" localSheetId="39">'Div 2'!$H$65:$H$66</definedName>
    <definedName name="OSRRefH22_11x_0" localSheetId="47">'Div 3'!$H$174:$H$176</definedName>
    <definedName name="OSRRefH22_11x_0" localSheetId="70">'Div 4'!$H$74</definedName>
    <definedName name="OSRRefH22_11x_0" localSheetId="92">'Div 5'!$H$65:$H$66</definedName>
    <definedName name="OSRRefH22_11x_0" localSheetId="61">'Div 6'!$H$95:$H$98</definedName>
    <definedName name="OSRRefH22_11x_0" localSheetId="2">Summary!$H$205:$H$207</definedName>
    <definedName name="OSRRefH22_12x_0" localSheetId="41">'201'!$H$66</definedName>
    <definedName name="OSRRefH22_12x_0" localSheetId="42">'202'!$H$67</definedName>
    <definedName name="OSRRefH22_12x_0" localSheetId="43">'203'!$H$68</definedName>
    <definedName name="OSRRefH22_12x_0" localSheetId="44">'204'!$H$67</definedName>
    <definedName name="OSRRefH22_12x_0" localSheetId="48">'300'!$H$174</definedName>
    <definedName name="OSRRefH22_12x_0" localSheetId="49">'300 &amp; 317'!$H$198</definedName>
    <definedName name="OSRRefH22_12x_0" localSheetId="50">'301'!$H$65</definedName>
    <definedName name="OSRRefH22_12x_0" localSheetId="52">'307'!$H$85:$H$86</definedName>
    <definedName name="OSRRefH22_12x_0" localSheetId="53">'308'!$H$109:$H$110</definedName>
    <definedName name="OSRRefH22_12x_0" localSheetId="63">'310'!$H$73</definedName>
    <definedName name="OSRRefH22_12x_0" localSheetId="71">'310 &amp; 491'!$H$80</definedName>
    <definedName name="OSRRefH22_12x_0" localSheetId="54">'311'!$H$108:$H$109</definedName>
    <definedName name="OSRRefH22_12x_0" localSheetId="57">'315'!$H$127:$H$129</definedName>
    <definedName name="OSRRefH22_12x_0" localSheetId="60">'316'!$H$80</definedName>
    <definedName name="OSRRefH22_12x_0" localSheetId="62">'317'!$H$100</definedName>
    <definedName name="OSRRefH22_12x_0" localSheetId="66">'321'!$H$73</definedName>
    <definedName name="OSRRefH22_12x_0" localSheetId="68">'325'!$H$69:$H$71</definedName>
    <definedName name="OSRRefH22_12x_0" localSheetId="58">'326'!$H$91</definedName>
    <definedName name="OSRRefH22_12x_0" localSheetId="51">'330'!$H$89:$H$90</definedName>
    <definedName name="OSRRefH22_12x_0" localSheetId="56">'331'!$H$129</definedName>
    <definedName name="OSRRefH22_12x_0" localSheetId="59">'332'!$H$82</definedName>
    <definedName name="OSRRefH22_12x_0" localSheetId="73">'405'!$H$69</definedName>
    <definedName name="OSRRefH22_12x_0" localSheetId="75">'411'!$H$69:$H$75</definedName>
    <definedName name="OSRRefH22_12x_0" localSheetId="76">'412'!$H$71:$H$72</definedName>
    <definedName name="OSRRefH22_12x_0" localSheetId="77">'413'!$H$76</definedName>
    <definedName name="OSRRefH22_12x_0" localSheetId="78">'414'!$H$67:$H$69</definedName>
    <definedName name="OSRRefH22_12x_0" localSheetId="79">'415'!$H$70:$H$74</definedName>
    <definedName name="OSRRefH22_12x_0" localSheetId="80">'418'!$H$78:$H$79</definedName>
    <definedName name="OSRRefH22_12x_0" localSheetId="88">'433'!$H$71:$H$74</definedName>
    <definedName name="OSRRefH22_12x_0" localSheetId="90">'444'!$H$72:$H$75</definedName>
    <definedName name="OSRRefH22_12x_0" localSheetId="91">'450'!$H$65</definedName>
    <definedName name="OSRRefH22_12x_0" localSheetId="72">'491'!$H$73</definedName>
    <definedName name="OSRRefH22_12x_0" localSheetId="86">'492'!$H$69:$H$72</definedName>
    <definedName name="OSRRefH22_12x_0" localSheetId="93">'501'!$H$68</definedName>
    <definedName name="OSRRefH22_12x_0" localSheetId="39">'Div 2'!$H$68:$H$71</definedName>
    <definedName name="OSRRefH22_12x_0" localSheetId="47">'Div 3'!$H$178</definedName>
    <definedName name="OSRRefH22_12x_0" localSheetId="70">'Div 4'!$H$76</definedName>
    <definedName name="OSRRefH22_12x_0" localSheetId="92">'Div 5'!$H$68</definedName>
    <definedName name="OSRRefH22_12x_0" localSheetId="61">'Div 6'!$H$100</definedName>
    <definedName name="OSRRefH22_12x_0" localSheetId="2">Summary!$H$209</definedName>
    <definedName name="OSRRefH22_13x_0" localSheetId="41">'201'!$H$68:$H$70</definedName>
    <definedName name="OSRRefH22_13x_0" localSheetId="43">'203'!$H$70</definedName>
    <definedName name="OSRRefH22_13x_0" localSheetId="48">'300'!$H$176:$H$177</definedName>
    <definedName name="OSRRefH22_13x_0" localSheetId="49">'300 &amp; 317'!$H$200:$H$201</definedName>
    <definedName name="OSRRefH22_13x_0" localSheetId="50">'301'!$H$67</definedName>
    <definedName name="OSRRefH22_13x_0" localSheetId="52">'307'!$H$88</definedName>
    <definedName name="OSRRefH22_13x_0" localSheetId="53">'308'!$H$112</definedName>
    <definedName name="OSRRefH22_13x_0" localSheetId="63">'310'!$H$75:$H$78</definedName>
    <definedName name="OSRRefH22_13x_0" localSheetId="71">'310 &amp; 491'!$H$82:$H$85</definedName>
    <definedName name="OSRRefH22_13x_0" localSheetId="54">'311'!$H$111</definedName>
    <definedName name="OSRRefH22_13x_0" localSheetId="57">'315'!$H$131:$H$132</definedName>
    <definedName name="OSRRefH22_13x_0" localSheetId="62">'317'!$H$102</definedName>
    <definedName name="OSRRefH22_13x_0" localSheetId="66">'321'!$H$75</definedName>
    <definedName name="OSRRefH22_13x_0" localSheetId="68">'325'!$H$73</definedName>
    <definedName name="OSRRefH22_13x_0" localSheetId="58">'326'!$H$93:$H$95</definedName>
    <definedName name="OSRRefH22_13x_0" localSheetId="51">'330'!$H$92</definedName>
    <definedName name="OSRRefH22_13x_0" localSheetId="56">'331'!$H$131</definedName>
    <definedName name="OSRRefH22_13x_0" localSheetId="73">'405'!$H$71:$H$79</definedName>
    <definedName name="OSRRefH22_13x_0" localSheetId="75">'411'!$H$77</definedName>
    <definedName name="OSRRefH22_13x_0" localSheetId="76">'412'!$H$74</definedName>
    <definedName name="OSRRefH22_13x_0" localSheetId="78">'414'!$H$71</definedName>
    <definedName name="OSRRefH22_13x_0" localSheetId="79">'415'!$H$76</definedName>
    <definedName name="OSRRefH22_13x_0" localSheetId="80">'418'!$H$81</definedName>
    <definedName name="OSRRefH22_13x_0" localSheetId="88">'433'!$H$76:$H$83</definedName>
    <definedName name="OSRRefH22_13x_0" localSheetId="90">'444'!$H$77</definedName>
    <definedName name="OSRRefH22_13x_0" localSheetId="91">'450'!$H$67:$H$69</definedName>
    <definedName name="OSRRefH22_13x_0" localSheetId="72">'491'!$H$75:$H$78</definedName>
    <definedName name="OSRRefH22_13x_0" localSheetId="86">'492'!$H$74:$H$77</definedName>
    <definedName name="OSRRefH22_13x_0" localSheetId="93">'501'!$H$70</definedName>
    <definedName name="OSRRefH22_13x_0" localSheetId="39">'Div 2'!$H$73:$H$76</definedName>
    <definedName name="OSRRefH22_13x_0" localSheetId="47">'Div 3'!$H$180</definedName>
    <definedName name="OSRRefH22_13x_0" localSheetId="70">'Div 4'!$H$78</definedName>
    <definedName name="OSRRefH22_13x_0" localSheetId="92">'Div 5'!$H$70</definedName>
    <definedName name="OSRRefH22_13x_0" localSheetId="61">'Div 6'!$H$102</definedName>
    <definedName name="OSRRefH22_13x_0" localSheetId="2">Summary!$H$211</definedName>
    <definedName name="OSRRefH22_14x_0" localSheetId="41">'201'!$H$72</definedName>
    <definedName name="OSRRefH22_14x_0" localSheetId="43">'203'!$H$72</definedName>
    <definedName name="OSRRefH22_14x_0" localSheetId="48">'300'!$H$179</definedName>
    <definedName name="OSRRefH22_14x_0" localSheetId="49">'300 &amp; 317'!$H$203</definedName>
    <definedName name="OSRRefH22_14x_0" localSheetId="50">'301'!$H$69</definedName>
    <definedName name="OSRRefH22_14x_0" localSheetId="53">'308'!$H$114</definedName>
    <definedName name="OSRRefH22_14x_0" localSheetId="63">'310'!$H$80:$H$81</definedName>
    <definedName name="OSRRefH22_14x_0" localSheetId="71">'310 &amp; 491'!$H$87:$H$88</definedName>
    <definedName name="OSRRefH22_14x_0" localSheetId="54">'311'!$H$113</definedName>
    <definedName name="OSRRefH22_14x_0" localSheetId="57">'315'!$H$134:$H$140</definedName>
    <definedName name="OSRRefH22_14x_0" localSheetId="68">'325'!$H$75:$H$79</definedName>
    <definedName name="OSRRefH22_14x_0" localSheetId="58">'326'!$H$97:$H$99</definedName>
    <definedName name="OSRRefH22_14x_0" localSheetId="56">'331'!$H$133:$H$135</definedName>
    <definedName name="OSRRefH22_14x_0" localSheetId="73">'405'!$H$81</definedName>
    <definedName name="OSRRefH22_14x_0" localSheetId="75">'411'!$H$79</definedName>
    <definedName name="OSRRefH22_14x_0" localSheetId="78">'414'!$H$73</definedName>
    <definedName name="OSRRefH22_14x_0" localSheetId="79">'415'!$H$78:$H$85</definedName>
    <definedName name="OSRRefH22_14x_0" localSheetId="88">'433'!$H$85</definedName>
    <definedName name="OSRRefH22_14x_0" localSheetId="90">'444'!$H$79:$H$87</definedName>
    <definedName name="OSRRefH22_14x_0" localSheetId="91">'450'!$H$71:$H$77</definedName>
    <definedName name="OSRRefH22_14x_0" localSheetId="72">'491'!$H$80:$H$81</definedName>
    <definedName name="OSRRefH22_14x_0" localSheetId="86">'492'!$H$79</definedName>
    <definedName name="OSRRefH22_14x_0" localSheetId="39">'Div 2'!$H$78:$H$79</definedName>
    <definedName name="OSRRefH22_14x_0" localSheetId="47">'Div 3'!$H$182:$H$183</definedName>
    <definedName name="OSRRefH22_14x_0" localSheetId="70">'Div 4'!$H$80</definedName>
    <definedName name="OSRRefH22_14x_0" localSheetId="2">Summary!$H$213:$H$214</definedName>
    <definedName name="OSRRefH22_15x_0" localSheetId="41">'201'!$H$74</definedName>
    <definedName name="OSRRefH22_15x_0" localSheetId="48">'300'!$H$181</definedName>
    <definedName name="OSRRefH22_15x_0" localSheetId="49">'300 &amp; 317'!$H$205</definedName>
    <definedName name="OSRRefH22_15x_0" localSheetId="50">'301'!$H$71:$H$74</definedName>
    <definedName name="OSRRefH22_15x_0" localSheetId="63">'310'!$H$83:$H$86</definedName>
    <definedName name="OSRRefH22_15x_0" localSheetId="71">'310 &amp; 491'!$H$90:$H$94</definedName>
    <definedName name="OSRRefH22_15x_0" localSheetId="57">'315'!$H$142</definedName>
    <definedName name="OSRRefH22_15x_0" localSheetId="68">'325'!$H$81:$H$82</definedName>
    <definedName name="OSRRefH22_15x_0" localSheetId="58">'326'!$H$101:$H$102</definedName>
    <definedName name="OSRRefH22_15x_0" localSheetId="56">'331'!$H$137:$H$139</definedName>
    <definedName name="OSRRefH22_15x_0" localSheetId="73">'405'!$H$83</definedName>
    <definedName name="OSRRefH22_15x_0" localSheetId="75">'411'!$H$81</definedName>
    <definedName name="OSRRefH22_15x_0" localSheetId="78">'414'!$H$75</definedName>
    <definedName name="OSRRefH22_15x_0" localSheetId="79">'415'!$H$87:$H$88</definedName>
    <definedName name="OSRRefH22_15x_0" localSheetId="88">'433'!$H$87</definedName>
    <definedName name="OSRRefH22_15x_0" localSheetId="90">'444'!$H$89:$H$90</definedName>
    <definedName name="OSRRefH22_15x_0" localSheetId="91">'450'!$H$79:$H$80</definedName>
    <definedName name="OSRRefH22_15x_0" localSheetId="72">'491'!$H$83:$H$87</definedName>
    <definedName name="OSRRefH22_15x_0" localSheetId="86">'492'!$H$81:$H$90</definedName>
    <definedName name="OSRRefH22_15x_0" localSheetId="39">'Div 2'!$H$81:$H$82</definedName>
    <definedName name="OSRRefH22_15x_0" localSheetId="47">'Div 3'!$H$185</definedName>
    <definedName name="OSRRefH22_15x_0" localSheetId="70">'Div 4'!$H$82:$H$85</definedName>
    <definedName name="OSRRefH22_15x_0" localSheetId="2">Summary!$H$216</definedName>
    <definedName name="OSRRefH22_16x_0" localSheetId="41">'201'!$H$76</definedName>
    <definedName name="OSRRefH22_16x_0" localSheetId="48">'300'!$H$183:$H$186</definedName>
    <definedName name="OSRRefH22_16x_0" localSheetId="49">'300 &amp; 317'!$H$207:$H$210</definedName>
    <definedName name="OSRRefH22_16x_0" localSheetId="50">'301'!$H$76:$H$78</definedName>
    <definedName name="OSRRefH22_16x_0" localSheetId="63">'310'!$H$88</definedName>
    <definedName name="OSRRefH22_16x_0" localSheetId="71">'310 &amp; 491'!$H$96:$H$97</definedName>
    <definedName name="OSRRefH22_16x_0" localSheetId="57">'315'!$H$144</definedName>
    <definedName name="OSRRefH22_16x_0" localSheetId="68">'325'!$H$84</definedName>
    <definedName name="OSRRefH22_16x_0" localSheetId="58">'326'!$H$104:$H$109</definedName>
    <definedName name="OSRRefH22_16x_0" localSheetId="56">'331'!$H$141:$H$143</definedName>
    <definedName name="OSRRefH22_16x_0" localSheetId="73">'405'!$H$85</definedName>
    <definedName name="OSRRefH22_16x_0" localSheetId="79">'415'!$H$90</definedName>
    <definedName name="OSRRefH22_16x_0" localSheetId="90">'444'!$H$92</definedName>
    <definedName name="OSRRefH22_16x_0" localSheetId="91">'450'!$H$82</definedName>
    <definedName name="OSRRefH22_16x_0" localSheetId="72">'491'!$H$89:$H$90</definedName>
    <definedName name="OSRRefH22_16x_0" localSheetId="86">'492'!$H$92:$H$93</definedName>
    <definedName name="OSRRefH22_16x_0" localSheetId="39">'Div 2'!$H$84:$H$88</definedName>
    <definedName name="OSRRefH22_16x_0" localSheetId="47">'Div 3'!$H$187</definedName>
    <definedName name="OSRRefH22_16x_0" localSheetId="70">'Div 4'!$H$87:$H$88</definedName>
    <definedName name="OSRRefH22_16x_0" localSheetId="2">Summary!$H$218</definedName>
    <definedName name="OSRRefH22_17x_0" localSheetId="48">'300'!$H$188:$H$191</definedName>
    <definedName name="OSRRefH22_17x_0" localSheetId="49">'300 &amp; 317'!$H$212:$H$215</definedName>
    <definedName name="OSRRefH22_17x_0" localSheetId="50">'301'!$H$80</definedName>
    <definedName name="OSRRefH22_17x_0" localSheetId="63">'310'!$H$90:$H$96</definedName>
    <definedName name="OSRRefH22_17x_0" localSheetId="71">'310 &amp; 491'!$H$99:$H$109</definedName>
    <definedName name="OSRRefH22_17x_0" localSheetId="57">'315'!$H$146:$H$147</definedName>
    <definedName name="OSRRefH22_17x_0" localSheetId="68">'325'!$H$86</definedName>
    <definedName name="OSRRefH22_17x_0" localSheetId="58">'326'!$H$111:$H$112</definedName>
    <definedName name="OSRRefH22_17x_0" localSheetId="56">'331'!$H$145:$H$146</definedName>
    <definedName name="OSRRefH22_17x_0" localSheetId="73">'405'!$H$87</definedName>
    <definedName name="OSRRefH22_17x_0" localSheetId="79">'415'!$H$92:$H$93</definedName>
    <definedName name="OSRRefH22_17x_0" localSheetId="90">'444'!$H$94</definedName>
    <definedName name="OSRRefH22_17x_0" localSheetId="72">'491'!$H$92:$H$102</definedName>
    <definedName name="OSRRefH22_17x_0" localSheetId="86">'492'!$H$95</definedName>
    <definedName name="OSRRefH22_17x_0" localSheetId="39">'Div 2'!$H$90:$H$91</definedName>
    <definedName name="OSRRefH22_17x_0" localSheetId="47">'Div 3'!$H$189:$H$192</definedName>
    <definedName name="OSRRefH22_17x_0" localSheetId="70">'Div 4'!$H$90:$H$94</definedName>
    <definedName name="OSRRefH22_17x_0" localSheetId="2">Summary!$H$220</definedName>
    <definedName name="OSRRefH22_18x_0" localSheetId="48">'300'!$H$193:$H$196</definedName>
    <definedName name="OSRRefH22_18x_0" localSheetId="49">'300 &amp; 317'!$H$217:$H$220</definedName>
    <definedName name="OSRRefH22_18x_0" localSheetId="50">'301'!$H$82:$H$88</definedName>
    <definedName name="OSRRefH22_18x_0" localSheetId="63">'310'!$H$98:$H$99</definedName>
    <definedName name="OSRRefH22_18x_0" localSheetId="71">'310 &amp; 491'!$H$111:$H$112</definedName>
    <definedName name="OSRRefH22_18x_0" localSheetId="58">'326'!$H$114</definedName>
    <definedName name="OSRRefH22_18x_0" localSheetId="56">'331'!$H$148:$H$155</definedName>
    <definedName name="OSRRefH22_18x_0" localSheetId="79">'415'!$H$95</definedName>
    <definedName name="OSRRefH22_18x_0" localSheetId="72">'491'!$H$104:$H$105</definedName>
    <definedName name="OSRRefH22_18x_0" localSheetId="86">'492'!$H$97:$H$98</definedName>
    <definedName name="OSRRefH22_18x_0" localSheetId="39">'Div 2'!$H$93</definedName>
    <definedName name="OSRRefH22_18x_0" localSheetId="47">'Div 3'!$H$194:$H$197</definedName>
    <definedName name="OSRRefH22_18x_0" localSheetId="70">'Div 4'!$H$96:$H$97</definedName>
    <definedName name="OSRRefH22_18x_0" localSheetId="2">Summary!$H$222:$H$225</definedName>
    <definedName name="OSRRefH22_19x_0" localSheetId="48">'300'!$H$198:$H$199</definedName>
    <definedName name="OSRRefH22_19x_0" localSheetId="49">'300 &amp; 317'!$H$222:$H$223</definedName>
    <definedName name="OSRRefH22_19x_0" localSheetId="50">'301'!$H$90</definedName>
    <definedName name="OSRRefH22_19x_0" localSheetId="63">'310'!$H$101</definedName>
    <definedName name="OSRRefH22_19x_0" localSheetId="71">'310 &amp; 491'!$H$114</definedName>
    <definedName name="OSRRefH22_19x_0" localSheetId="58">'326'!$H$116:$H$117</definedName>
    <definedName name="OSRRefH22_19x_0" localSheetId="56">'331'!$H$157:$H$158</definedName>
    <definedName name="OSRRefH22_19x_0" localSheetId="72">'491'!$H$107</definedName>
    <definedName name="OSRRefH22_19x_0" localSheetId="39">'Div 2'!$H$95:$H$96</definedName>
    <definedName name="OSRRefH22_19x_0" localSheetId="47">'Div 3'!$H$199:$H$203</definedName>
    <definedName name="OSRRefH22_19x_0" localSheetId="70">'Div 4'!$H$99:$H$109</definedName>
    <definedName name="OSRRefH22_19x_0" localSheetId="2">Summary!$H$227:$H$230</definedName>
    <definedName name="OSRRefH22_1x_0" localSheetId="40">'200'!$H$22</definedName>
    <definedName name="OSRRefH22_1x_0" localSheetId="41">'201'!$H$31:$H$40</definedName>
    <definedName name="OSRRefH22_1x_0" localSheetId="42">'202'!$H$31:$H$40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'300'!$H$136:$H$145</definedName>
    <definedName name="OSRRefH22_1x_0" localSheetId="49">'300 &amp; 317'!$H$160:$H$169</definedName>
    <definedName name="OSRRefH22_1x_0" localSheetId="50">'301'!$H$32:$H$41</definedName>
    <definedName name="OSRRefH22_1x_0" localSheetId="52">'307'!$H$48:$H$57</definedName>
    <definedName name="OSRRefH22_1x_0" localSheetId="53">'308'!$H$70:$H$79</definedName>
    <definedName name="OSRRefH22_1x_0" localSheetId="64">'309'!$H$31:$H$40</definedName>
    <definedName name="OSRRefH22_1x_0" localSheetId="63">'310'!$H$41:$H$50</definedName>
    <definedName name="OSRRefH22_1x_0" localSheetId="71">'310 &amp; 491'!$H$46:$H$55</definedName>
    <definedName name="OSRRefH22_1x_0" localSheetId="54">'311'!$H$69:$H$78</definedName>
    <definedName name="OSRRefH22_1x_0" localSheetId="65">'313'!$H$37:$H$46</definedName>
    <definedName name="OSRRefH22_1x_0" localSheetId="57">'315'!$H$93:$H$102</definedName>
    <definedName name="OSRRefH22_1x_0" localSheetId="60">'316'!$H$42:$H$51</definedName>
    <definedName name="OSRRefH22_1x_0" localSheetId="62">'317'!$H$64:$H$73</definedName>
    <definedName name="OSRRefH22_1x_0" localSheetId="66">'321'!$H$36:$H$45</definedName>
    <definedName name="OSRRefH22_1x_0" localSheetId="67">'322'!$H$32:$H$41</definedName>
    <definedName name="OSRRefH22_1x_0" localSheetId="55">'324'!$H$36:$H$45</definedName>
    <definedName name="OSRRefH22_1x_0" localSheetId="68">'325'!$H$34:$H$43</definedName>
    <definedName name="OSRRefH22_1x_0" localSheetId="58">'326'!$H$59:$H$68</definedName>
    <definedName name="OSRRefH22_1x_0" localSheetId="69">'327'!$H$27</definedName>
    <definedName name="OSRRefH22_1x_0" localSheetId="51">'330'!$H$52:$H$61</definedName>
    <definedName name="OSRRefH22_1x_0" localSheetId="56">'331'!$H$94:$H$103</definedName>
    <definedName name="OSRRefH22_1x_0" localSheetId="59">'332'!$H$44:$H$53</definedName>
    <definedName name="OSRRefH22_1x_0" localSheetId="73">'405'!$H$33:$H$42</definedName>
    <definedName name="OSRRefH22_1x_0" localSheetId="74">'406'!$H$22</definedName>
    <definedName name="OSRRefH22_1x_0" localSheetId="75">'411'!$H$30:$H$39</definedName>
    <definedName name="OSRRefH22_1x_0" localSheetId="76">'412'!$H$31:$H$40</definedName>
    <definedName name="OSRRefH22_1x_0" localSheetId="77">'413'!$H$33:$H$42</definedName>
    <definedName name="OSRRefH22_1x_0" localSheetId="78">'414'!$H$35:$H$44</definedName>
    <definedName name="OSRRefH22_1x_0" localSheetId="79">'415'!$H$37:$H$46</definedName>
    <definedName name="OSRRefH22_1x_0" localSheetId="80">'418'!$H$33:$H$42</definedName>
    <definedName name="OSRRefH22_1x_0" localSheetId="81">'420'!$H$24</definedName>
    <definedName name="OSRRefH22_1x_0" localSheetId="82">'423'!$H$29:$H$38</definedName>
    <definedName name="OSRRefH22_1x_0" localSheetId="83">'424'!$H$22</definedName>
    <definedName name="OSRRefH22_1x_0" localSheetId="84">'425'!$H$27</definedName>
    <definedName name="OSRRefH22_1x_0" localSheetId="87">'430'!$H$30:$H$39</definedName>
    <definedName name="OSRRefH22_1x_0" localSheetId="88">'433'!$H$38:$H$47</definedName>
    <definedName name="OSRRefH22_1x_0" localSheetId="90">'444'!$H$38:$H$47</definedName>
    <definedName name="OSRRefH22_1x_0" localSheetId="91">'450'!$H$34:$H$43</definedName>
    <definedName name="OSRRefH22_1x_0" localSheetId="72">'491'!$H$40:$H$49</definedName>
    <definedName name="OSRRefH22_1x_0" localSheetId="86">'492'!$H$38:$H$47</definedName>
    <definedName name="OSRRefH22_1x_0" localSheetId="93">'501'!$H$32:$H$41</definedName>
    <definedName name="OSRRefH22_1x_0" localSheetId="39">'Div 2'!$H$33:$H$42</definedName>
    <definedName name="OSRRefH22_1x_0" localSheetId="47">'Div 3'!$H$140:$H$149</definedName>
    <definedName name="OSRRefH22_1x_0" localSheetId="70">'Div 4'!$H$43:$H$52</definedName>
    <definedName name="OSRRefH22_1x_0" localSheetId="92">'Div 5'!$H$32:$H$41</definedName>
    <definedName name="OSRRefH22_1x_0" localSheetId="61">'Div 6'!$H$64:$H$73</definedName>
    <definedName name="OSRRefH22_1x_0" localSheetId="2">Summary!$H$170:$H$179</definedName>
    <definedName name="OSRRefH22_20x_0" localSheetId="48">'300'!$H$201:$H$209</definedName>
    <definedName name="OSRRefH22_20x_0" localSheetId="49">'300 &amp; 317'!$H$225:$H$233</definedName>
    <definedName name="OSRRefH22_20x_0" localSheetId="50">'301'!$H$92</definedName>
    <definedName name="OSRRefH22_20x_0" localSheetId="63">'310'!$H$103</definedName>
    <definedName name="OSRRefH22_20x_0" localSheetId="71">'310 &amp; 491'!$H$116:$H$118</definedName>
    <definedName name="OSRRefH22_20x_0" localSheetId="58">'326'!$H$119</definedName>
    <definedName name="OSRRefH22_20x_0" localSheetId="56">'331'!$H$160</definedName>
    <definedName name="OSRRefH22_20x_0" localSheetId="72">'491'!$H$109:$H$111</definedName>
    <definedName name="OSRRefH22_20x_0" localSheetId="47">'Div 3'!$H$205:$H$206</definedName>
    <definedName name="OSRRefH22_20x_0" localSheetId="70">'Div 4'!$H$111:$H$112</definedName>
    <definedName name="OSRRefH22_20x_0" localSheetId="2">Summary!$H$232:$H$236</definedName>
    <definedName name="OSRRefH22_21x_0" localSheetId="48">'300'!$H$211:$H$212</definedName>
    <definedName name="OSRRefH22_21x_0" localSheetId="49">'300 &amp; 317'!$H$235:$H$236</definedName>
    <definedName name="OSRRefH22_21x_0" localSheetId="50">'301'!$H$94:$H$95</definedName>
    <definedName name="OSRRefH22_21x_0" localSheetId="63">'310'!$H$105</definedName>
    <definedName name="OSRRefH22_21x_0" localSheetId="71">'310 &amp; 491'!$H$120</definedName>
    <definedName name="OSRRefH22_21x_0" localSheetId="56">'331'!$H$162:$H$163</definedName>
    <definedName name="OSRRefH22_21x_0" localSheetId="72">'491'!$H$113</definedName>
    <definedName name="OSRRefH22_21x_0" localSheetId="47">'Div 3'!$H$208:$H$216</definedName>
    <definedName name="OSRRefH22_21x_0" localSheetId="70">'Div 4'!$H$114</definedName>
    <definedName name="OSRRefH22_21x_0" localSheetId="2">Summary!$H$238:$H$239</definedName>
    <definedName name="OSRRefH22_22x_0" localSheetId="48">'300'!$H$214</definedName>
    <definedName name="OSRRefH22_22x_0" localSheetId="49">'300 &amp; 317'!$H$238</definedName>
    <definedName name="OSRRefH22_22x_0" localSheetId="50">'301'!$H$97</definedName>
    <definedName name="OSRRefH22_22x_0" localSheetId="56">'331'!$H$165</definedName>
    <definedName name="OSRRefH22_22x_0" localSheetId="47">'Div 3'!$H$218:$H$219</definedName>
    <definedName name="OSRRefH22_22x_0" localSheetId="70">'Div 4'!$H$116:$H$118</definedName>
    <definedName name="OSRRefH22_22x_0" localSheetId="2">Summary!$H$241:$H$251</definedName>
    <definedName name="OSRRefH22_23x_0" localSheetId="48">'300'!$H$216:$H$218</definedName>
    <definedName name="OSRRefH22_23x_0" localSheetId="49">'300 &amp; 317'!$H$240:$H$242</definedName>
    <definedName name="OSRRefH22_23x_0" localSheetId="47">'Div 3'!$H$221</definedName>
    <definedName name="OSRRefH22_23x_0" localSheetId="70">'Div 4'!$H$120</definedName>
    <definedName name="OSRRefH22_23x_0" localSheetId="2">Summary!$H$253:$H$254</definedName>
    <definedName name="OSRRefH22_24x_0" localSheetId="48">'300'!$H$220</definedName>
    <definedName name="OSRRefH22_24x_0" localSheetId="49">'300 &amp; 317'!$H$244</definedName>
    <definedName name="OSRRefH22_24x_0" localSheetId="47">'Div 3'!$H$223:$H$225</definedName>
    <definedName name="OSRRefH22_24x_0" localSheetId="2">Summary!$H$256</definedName>
    <definedName name="OSRRefH22_25x_0" localSheetId="47">'Div 3'!$H$227</definedName>
    <definedName name="OSRRefH22_25x_0" localSheetId="2">Summary!$H$258:$H$260</definedName>
    <definedName name="OSRRefH22_26x_0" localSheetId="2">Summary!$H$262</definedName>
    <definedName name="OSRRefH22_2x_0" localSheetId="40">'200'!$H$24</definedName>
    <definedName name="OSRRefH22_2x_0" localSheetId="41">'201'!$H$42</definedName>
    <definedName name="OSRRefH22_2x_0" localSheetId="42">'202'!$H$42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'300'!$H$147</definedName>
    <definedName name="OSRRefH22_2x_0" localSheetId="49">'300 &amp; 317'!$H$171</definedName>
    <definedName name="OSRRefH22_2x_0" localSheetId="50">'301'!$H$43</definedName>
    <definedName name="OSRRefH22_2x_0" localSheetId="52">'307'!$H$59</definedName>
    <definedName name="OSRRefH22_2x_0" localSheetId="53">'308'!$H$81</definedName>
    <definedName name="OSRRefH22_2x_0" localSheetId="64">'309'!$H$42</definedName>
    <definedName name="OSRRefH22_2x_0" localSheetId="63">'310'!$H$52</definedName>
    <definedName name="OSRRefH22_2x_0" localSheetId="71">'310 &amp; 491'!$H$57</definedName>
    <definedName name="OSRRefH22_2x_0" localSheetId="54">'311'!$H$80</definedName>
    <definedName name="OSRRefH22_2x_0" localSheetId="65">'313'!$H$48</definedName>
    <definedName name="OSRRefH22_2x_0" localSheetId="57">'315'!$H$104</definedName>
    <definedName name="OSRRefH22_2x_0" localSheetId="60">'316'!$H$53</definedName>
    <definedName name="OSRRefH22_2x_0" localSheetId="62">'317'!$H$75</definedName>
    <definedName name="OSRRefH22_2x_0" localSheetId="66">'321'!$H$47</definedName>
    <definedName name="OSRRefH22_2x_0" localSheetId="67">'322'!$H$43</definedName>
    <definedName name="OSRRefH22_2x_0" localSheetId="68">'325'!$H$45</definedName>
    <definedName name="OSRRefH22_2x_0" localSheetId="58">'326'!$H$70</definedName>
    <definedName name="OSRRefH22_2x_0" localSheetId="51">'330'!$H$63</definedName>
    <definedName name="OSRRefH22_2x_0" localSheetId="56">'331'!$H$105</definedName>
    <definedName name="OSRRefH22_2x_0" localSheetId="59">'332'!$H$55</definedName>
    <definedName name="OSRRefH22_2x_0" localSheetId="73">'405'!$H$44</definedName>
    <definedName name="OSRRefH22_2x_0" localSheetId="74">'406'!$H$24</definedName>
    <definedName name="OSRRefH22_2x_0" localSheetId="75">'411'!$H$41</definedName>
    <definedName name="OSRRefH22_2x_0" localSheetId="76">'412'!$H$42</definedName>
    <definedName name="OSRRefH22_2x_0" localSheetId="77">'413'!$H$44</definedName>
    <definedName name="OSRRefH22_2x_0" localSheetId="78">'414'!$H$46</definedName>
    <definedName name="OSRRefH22_2x_0" localSheetId="79">'415'!$H$48</definedName>
    <definedName name="OSRRefH22_2x_0" localSheetId="80">'418'!$H$44</definedName>
    <definedName name="OSRRefH22_2x_0" localSheetId="82">'423'!$H$40</definedName>
    <definedName name="OSRRefH22_2x_0" localSheetId="83">'424'!$H$24</definedName>
    <definedName name="OSRRefH22_2x_0" localSheetId="84">'425'!$H$29</definedName>
    <definedName name="OSRRefH22_2x_0" localSheetId="87">'430'!$H$41</definedName>
    <definedName name="OSRRefH22_2x_0" localSheetId="88">'433'!$H$49</definedName>
    <definedName name="OSRRefH22_2x_0" localSheetId="90">'444'!$H$49</definedName>
    <definedName name="OSRRefH22_2x_0" localSheetId="91">'450'!$H$45</definedName>
    <definedName name="OSRRefH22_2x_0" localSheetId="72">'491'!$H$51</definedName>
    <definedName name="OSRRefH22_2x_0" localSheetId="86">'492'!$H$49</definedName>
    <definedName name="OSRRefH22_2x_0" localSheetId="93">'501'!$H$43</definedName>
    <definedName name="OSRRefH22_2x_0" localSheetId="39">'Div 2'!$H$44</definedName>
    <definedName name="OSRRefH22_2x_0" localSheetId="47">'Div 3'!$H$151</definedName>
    <definedName name="OSRRefH22_2x_0" localSheetId="70">'Div 4'!$H$54</definedName>
    <definedName name="OSRRefH22_2x_0" localSheetId="92">'Div 5'!$H$43</definedName>
    <definedName name="OSRRefH22_2x_0" localSheetId="61">'Div 6'!$H$75</definedName>
    <definedName name="OSRRefH22_2x_0" localSheetId="2">Summary!$H$181</definedName>
    <definedName name="OSRRefH22_3x_0" localSheetId="40">'200'!$H$26</definedName>
    <definedName name="OSRRefH22_3x_0" localSheetId="41">'201'!$H$44</definedName>
    <definedName name="OSRRefH22_3x_0" localSheetId="42">'202'!$H$44</definedName>
    <definedName name="OSRRefH22_3x_0" localSheetId="43">'203'!$H$44</definedName>
    <definedName name="OSRRefH22_3x_0" localSheetId="44">'204'!$H$44:$H$45</definedName>
    <definedName name="OSRRefH22_3x_0" localSheetId="45">'205'!$H$43</definedName>
    <definedName name="OSRRefH22_3x_0" localSheetId="46">'206'!$H$43</definedName>
    <definedName name="OSRRefH22_3x_0" localSheetId="48">'300'!$H$149:$H$150</definedName>
    <definedName name="OSRRefH22_3x_0" localSheetId="49">'300 &amp; 317'!$H$173:$H$174</definedName>
    <definedName name="OSRRefH22_3x_0" localSheetId="50">'301'!$H$45:$H$46</definedName>
    <definedName name="OSRRefH22_3x_0" localSheetId="52">'307'!$H$61</definedName>
    <definedName name="OSRRefH22_3x_0" localSheetId="53">'308'!$H$83:$H$84</definedName>
    <definedName name="OSRRefH22_3x_0" localSheetId="64">'309'!$H$44</definedName>
    <definedName name="OSRRefH22_3x_0" localSheetId="63">'310'!$H$54</definedName>
    <definedName name="OSRRefH22_3x_0" localSheetId="71">'310 &amp; 491'!$H$59</definedName>
    <definedName name="OSRRefH22_3x_0" localSheetId="54">'311'!$H$82:$H$83</definedName>
    <definedName name="OSRRefH22_3x_0" localSheetId="65">'313'!$H$50</definedName>
    <definedName name="OSRRefH22_3x_0" localSheetId="57">'315'!$H$106</definedName>
    <definedName name="OSRRefH22_3x_0" localSheetId="60">'316'!$H$55</definedName>
    <definedName name="OSRRefH22_3x_0" localSheetId="62">'317'!$H$77</definedName>
    <definedName name="OSRRefH22_3x_0" localSheetId="66">'321'!$H$49</definedName>
    <definedName name="OSRRefH22_3x_0" localSheetId="67">'322'!$H$45</definedName>
    <definedName name="OSRRefH22_3x_0" localSheetId="68">'325'!$H$47</definedName>
    <definedName name="OSRRefH22_3x_0" localSheetId="58">'326'!$H$72</definedName>
    <definedName name="OSRRefH22_3x_0" localSheetId="51">'330'!$H$65</definedName>
    <definedName name="OSRRefH22_3x_0" localSheetId="56">'331'!$H$107</definedName>
    <definedName name="OSRRefH22_3x_0" localSheetId="59">'332'!$H$57</definedName>
    <definedName name="OSRRefH22_3x_0" localSheetId="73">'405'!$H$46</definedName>
    <definedName name="OSRRefH22_3x_0" localSheetId="74">'406'!$H$26</definedName>
    <definedName name="OSRRefH22_3x_0" localSheetId="75">'411'!$H$43</definedName>
    <definedName name="OSRRefH22_3x_0" localSheetId="76">'412'!$H$44</definedName>
    <definedName name="OSRRefH22_3x_0" localSheetId="77">'413'!$H$46</definedName>
    <definedName name="OSRRefH22_3x_0" localSheetId="78">'414'!$H$48</definedName>
    <definedName name="OSRRefH22_3x_0" localSheetId="79">'415'!$H$50</definedName>
    <definedName name="OSRRefH22_3x_0" localSheetId="80">'418'!$H$46</definedName>
    <definedName name="OSRRefH22_3x_0" localSheetId="82">'423'!$H$42:$H$43</definedName>
    <definedName name="OSRRefH22_3x_0" localSheetId="83">'424'!$H$26</definedName>
    <definedName name="OSRRefH22_3x_0" localSheetId="84">'425'!$H$31</definedName>
    <definedName name="OSRRefH22_3x_0" localSheetId="87">'430'!$H$43</definedName>
    <definedName name="OSRRefH22_3x_0" localSheetId="88">'433'!$H$51</definedName>
    <definedName name="OSRRefH22_3x_0" localSheetId="90">'444'!$H$51</definedName>
    <definedName name="OSRRefH22_3x_0" localSheetId="91">'450'!$H$47</definedName>
    <definedName name="OSRRefH22_3x_0" localSheetId="72">'491'!$H$53</definedName>
    <definedName name="OSRRefH22_3x_0" localSheetId="86">'492'!$H$51</definedName>
    <definedName name="OSRRefH22_3x_0" localSheetId="93">'501'!$H$45</definedName>
    <definedName name="OSRRefH22_3x_0" localSheetId="39">'Div 2'!$H$46</definedName>
    <definedName name="OSRRefH22_3x_0" localSheetId="47">'Div 3'!$H$153:$H$154</definedName>
    <definedName name="OSRRefH22_3x_0" localSheetId="70">'Div 4'!$H$56</definedName>
    <definedName name="OSRRefH22_3x_0" localSheetId="92">'Div 5'!$H$45</definedName>
    <definedName name="OSRRefH22_3x_0" localSheetId="61">'Div 6'!$H$77</definedName>
    <definedName name="OSRRefH22_3x_0" localSheetId="2">Summary!$H$183:$H$184</definedName>
    <definedName name="OSRRefH22_4x_0" localSheetId="40">'200'!$H$28:$H$29</definedName>
    <definedName name="OSRRefH22_4x_0" localSheetId="41">'201'!$H$46:$H$47</definedName>
    <definedName name="OSRRefH22_4x_0" localSheetId="42">'202'!$H$46:$H$47</definedName>
    <definedName name="OSRRefH22_4x_0" localSheetId="43">'203'!$H$46</definedName>
    <definedName name="OSRRefH22_4x_0" localSheetId="44">'204'!$H$47</definedName>
    <definedName name="OSRRefH22_4x_0" localSheetId="45">'205'!$H$45:$H$47</definedName>
    <definedName name="OSRRefH22_4x_0" localSheetId="46">'206'!$H$45</definedName>
    <definedName name="OSRRefH22_4x_0" localSheetId="48">'300'!$H$152</definedName>
    <definedName name="OSRRefH22_4x_0" localSheetId="49">'300 &amp; 317'!$H$176</definedName>
    <definedName name="OSRRefH22_4x_0" localSheetId="50">'301'!$H$48</definedName>
    <definedName name="OSRRefH22_4x_0" localSheetId="52">'307'!$H$63</definedName>
    <definedName name="OSRRefH22_4x_0" localSheetId="53">'308'!$H$86</definedName>
    <definedName name="OSRRefH22_4x_0" localSheetId="64">'309'!$H$46</definedName>
    <definedName name="OSRRefH22_4x_0" localSheetId="63">'310'!$H$56</definedName>
    <definedName name="OSRRefH22_4x_0" localSheetId="71">'310 &amp; 491'!$H$61</definedName>
    <definedName name="OSRRefH22_4x_0" localSheetId="54">'311'!$H$85</definedName>
    <definedName name="OSRRefH22_4x_0" localSheetId="65">'313'!$H$52</definedName>
    <definedName name="OSRRefH22_4x_0" localSheetId="57">'315'!$H$108</definedName>
    <definedName name="OSRRefH22_4x_0" localSheetId="60">'316'!$H$57</definedName>
    <definedName name="OSRRefH22_4x_0" localSheetId="62">'317'!$H$79</definedName>
    <definedName name="OSRRefH22_4x_0" localSheetId="66">'321'!$H$51</definedName>
    <definedName name="OSRRefH22_4x_0" localSheetId="67">'322'!$H$47</definedName>
    <definedName name="OSRRefH22_4x_0" localSheetId="68">'325'!$H$49</definedName>
    <definedName name="OSRRefH22_4x_0" localSheetId="58">'326'!$H$74</definedName>
    <definedName name="OSRRefH22_4x_0" localSheetId="51">'330'!$H$67</definedName>
    <definedName name="OSRRefH22_4x_0" localSheetId="56">'331'!$H$109</definedName>
    <definedName name="OSRRefH22_4x_0" localSheetId="59">'332'!$H$59</definedName>
    <definedName name="OSRRefH22_4x_0" localSheetId="73">'405'!$H$48:$H$49</definedName>
    <definedName name="OSRRefH22_4x_0" localSheetId="74">'406'!$H$28</definedName>
    <definedName name="OSRRefH22_4x_0" localSheetId="75">'411'!$H$45:$H$46</definedName>
    <definedName name="OSRRefH22_4x_0" localSheetId="76">'412'!$H$46:$H$47</definedName>
    <definedName name="OSRRefH22_4x_0" localSheetId="77">'413'!$H$48</definedName>
    <definedName name="OSRRefH22_4x_0" localSheetId="78">'414'!$H$50</definedName>
    <definedName name="OSRRefH22_4x_0" localSheetId="79">'415'!$H$52</definedName>
    <definedName name="OSRRefH22_4x_0" localSheetId="80">'418'!$H$48:$H$49</definedName>
    <definedName name="OSRRefH22_4x_0" localSheetId="82">'423'!$H$45</definedName>
    <definedName name="OSRRefH22_4x_0" localSheetId="84">'425'!$H$33:$H$34</definedName>
    <definedName name="OSRRefH22_4x_0" localSheetId="87">'430'!$H$45:$H$47</definedName>
    <definedName name="OSRRefH22_4x_0" localSheetId="88">'433'!$H$53</definedName>
    <definedName name="OSRRefH22_4x_0" localSheetId="90">'444'!$H$53</definedName>
    <definedName name="OSRRefH22_4x_0" localSheetId="91">'450'!$H$49</definedName>
    <definedName name="OSRRefH22_4x_0" localSheetId="72">'491'!$H$55</definedName>
    <definedName name="OSRRefH22_4x_0" localSheetId="86">'492'!$H$53</definedName>
    <definedName name="OSRRefH22_4x_0" localSheetId="93">'501'!$H$47</definedName>
    <definedName name="OSRRefH22_4x_0" localSheetId="39">'Div 2'!$H$48</definedName>
    <definedName name="OSRRefH22_4x_0" localSheetId="47">'Div 3'!$H$156</definedName>
    <definedName name="OSRRefH22_4x_0" localSheetId="70">'Div 4'!$H$58</definedName>
    <definedName name="OSRRefH22_4x_0" localSheetId="92">'Div 5'!$H$47</definedName>
    <definedName name="OSRRefH22_4x_0" localSheetId="61">'Div 6'!$H$79</definedName>
    <definedName name="OSRRefH22_4x_0" localSheetId="2">Summary!$H$186</definedName>
    <definedName name="OSRRefH22_5x_0" localSheetId="41">'201'!$H$49</definedName>
    <definedName name="OSRRefH22_5x_0" localSheetId="42">'202'!$H$49</definedName>
    <definedName name="OSRRefH22_5x_0" localSheetId="43">'203'!$H$48</definedName>
    <definedName name="OSRRefH22_5x_0" localSheetId="44">'204'!$H$49</definedName>
    <definedName name="OSRRefH22_5x_0" localSheetId="45">'205'!$H$49</definedName>
    <definedName name="OSRRefH22_5x_0" localSheetId="46">'206'!$H$47</definedName>
    <definedName name="OSRRefH22_5x_0" localSheetId="48">'300'!$H$154:$H$155</definedName>
    <definedName name="OSRRefH22_5x_0" localSheetId="49">'300 &amp; 317'!$H$178:$H$179</definedName>
    <definedName name="OSRRefH22_5x_0" localSheetId="50">'301'!$H$50:$H$51</definedName>
    <definedName name="OSRRefH22_5x_0" localSheetId="52">'307'!$H$65:$H$66</definedName>
    <definedName name="OSRRefH22_5x_0" localSheetId="53">'308'!$H$88</definedName>
    <definedName name="OSRRefH22_5x_0" localSheetId="64">'309'!$H$48</definedName>
    <definedName name="OSRRefH22_5x_0" localSheetId="63">'310'!$H$58:$H$59</definedName>
    <definedName name="OSRRefH22_5x_0" localSheetId="71">'310 &amp; 491'!$H$63:$H$65</definedName>
    <definedName name="OSRRefH22_5x_0" localSheetId="54">'311'!$H$87</definedName>
    <definedName name="OSRRefH22_5x_0" localSheetId="65">'313'!$H$54</definedName>
    <definedName name="OSRRefH22_5x_0" localSheetId="57">'315'!$H$110:$H$111</definedName>
    <definedName name="OSRRefH22_5x_0" localSheetId="60">'316'!$H$59</definedName>
    <definedName name="OSRRefH22_5x_0" localSheetId="62">'317'!$H$81</definedName>
    <definedName name="OSRRefH22_5x_0" localSheetId="66">'321'!$H$53</definedName>
    <definedName name="OSRRefH22_5x_0" localSheetId="67">'322'!$H$49</definedName>
    <definedName name="OSRRefH22_5x_0" localSheetId="68">'325'!$H$51:$H$52</definedName>
    <definedName name="OSRRefH22_5x_0" localSheetId="58">'326'!$H$76</definedName>
    <definedName name="OSRRefH22_5x_0" localSheetId="51">'330'!$H$69:$H$70</definedName>
    <definedName name="OSRRefH22_5x_0" localSheetId="56">'331'!$H$111:$H$112</definedName>
    <definedName name="OSRRefH22_5x_0" localSheetId="59">'332'!$H$61</definedName>
    <definedName name="OSRRefH22_5x_0" localSheetId="73">'405'!$H$51</definedName>
    <definedName name="OSRRefH22_5x_0" localSheetId="75">'411'!$H$48</definedName>
    <definedName name="OSRRefH22_5x_0" localSheetId="76">'412'!$H$49</definedName>
    <definedName name="OSRRefH22_5x_0" localSheetId="77">'413'!$H$50</definedName>
    <definedName name="OSRRefH22_5x_0" localSheetId="78">'414'!$H$52</definedName>
    <definedName name="OSRRefH22_5x_0" localSheetId="79">'415'!$H$54:$H$55</definedName>
    <definedName name="OSRRefH22_5x_0" localSheetId="80">'418'!$H$51</definedName>
    <definedName name="OSRRefH22_5x_0" localSheetId="82">'423'!$H$47</definedName>
    <definedName name="OSRRefH22_5x_0" localSheetId="84">'425'!$H$36</definedName>
    <definedName name="OSRRefH22_5x_0" localSheetId="87">'430'!$H$49:$H$50</definedName>
    <definedName name="OSRRefH22_5x_0" localSheetId="88">'433'!$H$55</definedName>
    <definedName name="OSRRefH22_5x_0" localSheetId="90">'444'!$H$55</definedName>
    <definedName name="OSRRefH22_5x_0" localSheetId="91">'450'!$H$51</definedName>
    <definedName name="OSRRefH22_5x_0" localSheetId="72">'491'!$H$57:$H$59</definedName>
    <definedName name="OSRRefH22_5x_0" localSheetId="86">'492'!$H$55</definedName>
    <definedName name="OSRRefH22_5x_0" localSheetId="93">'501'!$H$49:$H$50</definedName>
    <definedName name="OSRRefH22_5x_0" localSheetId="39">'Div 2'!$H$50:$H$51</definedName>
    <definedName name="OSRRefH22_5x_0" localSheetId="47">'Div 3'!$H$158:$H$159</definedName>
    <definedName name="OSRRefH22_5x_0" localSheetId="70">'Div 4'!$H$60:$H$62</definedName>
    <definedName name="OSRRefH22_5x_0" localSheetId="92">'Div 5'!$H$49:$H$50</definedName>
    <definedName name="OSRRefH22_5x_0" localSheetId="61">'Div 6'!$H$81</definedName>
    <definedName name="OSRRefH22_5x_0" localSheetId="2">Summary!$H$188:$H$190</definedName>
    <definedName name="OSRRefH22_6x_0" localSheetId="41">'201'!$H$51</definedName>
    <definedName name="OSRRefH22_6x_0" localSheetId="42">'202'!$H$51</definedName>
    <definedName name="OSRRefH22_6x_0" localSheetId="43">'203'!$H$50</definedName>
    <definedName name="OSRRefH22_6x_0" localSheetId="44">'204'!$H$51</definedName>
    <definedName name="OSRRefH22_6x_0" localSheetId="45">'205'!$H$51:$H$53</definedName>
    <definedName name="OSRRefH22_6x_0" localSheetId="46">'206'!$H$49</definedName>
    <definedName name="OSRRefH22_6x_0" localSheetId="48">'300'!$H$157:$H$158</definedName>
    <definedName name="OSRRefH22_6x_0" localSheetId="49">'300 &amp; 317'!$H$181:$H$182</definedName>
    <definedName name="OSRRefH22_6x_0" localSheetId="50">'301'!$H$53</definedName>
    <definedName name="OSRRefH22_6x_0" localSheetId="52">'307'!$H$68</definedName>
    <definedName name="OSRRefH22_6x_0" localSheetId="53">'308'!$H$90:$H$91</definedName>
    <definedName name="OSRRefH22_6x_0" localSheetId="64">'309'!$H$50</definedName>
    <definedName name="OSRRefH22_6x_0" localSheetId="63">'310'!$H$61</definedName>
    <definedName name="OSRRefH22_6x_0" localSheetId="71">'310 &amp; 491'!$H$67</definedName>
    <definedName name="OSRRefH22_6x_0" localSheetId="54">'311'!$H$89:$H$90</definedName>
    <definedName name="OSRRefH22_6x_0" localSheetId="65">'313'!$H$56:$H$57</definedName>
    <definedName name="OSRRefH22_6x_0" localSheetId="57">'315'!$H$113</definedName>
    <definedName name="OSRRefH22_6x_0" localSheetId="60">'316'!$H$61:$H$62</definedName>
    <definedName name="OSRRefH22_6x_0" localSheetId="62">'317'!$H$83:$H$84</definedName>
    <definedName name="OSRRefH22_6x_0" localSheetId="66">'321'!$H$55</definedName>
    <definedName name="OSRRefH22_6x_0" localSheetId="67">'322'!$H$51</definedName>
    <definedName name="OSRRefH22_6x_0" localSheetId="68">'325'!$H$54</definedName>
    <definedName name="OSRRefH22_6x_0" localSheetId="58">'326'!$H$78</definedName>
    <definedName name="OSRRefH22_6x_0" localSheetId="51">'330'!$H$72</definedName>
    <definedName name="OSRRefH22_6x_0" localSheetId="56">'331'!$H$114</definedName>
    <definedName name="OSRRefH22_6x_0" localSheetId="59">'332'!$H$63:$H$64</definedName>
    <definedName name="OSRRefH22_6x_0" localSheetId="73">'405'!$H$53</definedName>
    <definedName name="OSRRefH22_6x_0" localSheetId="75">'411'!$H$50</definedName>
    <definedName name="OSRRefH22_6x_0" localSheetId="76">'412'!$H$51</definedName>
    <definedName name="OSRRefH22_6x_0" localSheetId="77">'413'!$H$52</definedName>
    <definedName name="OSRRefH22_6x_0" localSheetId="78">'414'!$H$54</definedName>
    <definedName name="OSRRefH22_6x_0" localSheetId="79">'415'!$H$57</definedName>
    <definedName name="OSRRefH22_6x_0" localSheetId="80">'418'!$H$53</definedName>
    <definedName name="OSRRefH22_6x_0" localSheetId="82">'423'!$H$49</definedName>
    <definedName name="OSRRefH22_6x_0" localSheetId="87">'430'!$H$52</definedName>
    <definedName name="OSRRefH22_6x_0" localSheetId="88">'433'!$H$57</definedName>
    <definedName name="OSRRefH22_6x_0" localSheetId="90">'444'!$H$57</definedName>
    <definedName name="OSRRefH22_6x_0" localSheetId="91">'450'!$H$53</definedName>
    <definedName name="OSRRefH22_6x_0" localSheetId="72">'491'!$H$61</definedName>
    <definedName name="OSRRefH22_6x_0" localSheetId="86">'492'!$H$57</definedName>
    <definedName name="OSRRefH22_6x_0" localSheetId="93">'501'!$H$52</definedName>
    <definedName name="OSRRefH22_6x_0" localSheetId="39">'Div 2'!$H$53:$H$54</definedName>
    <definedName name="OSRRefH22_6x_0" localSheetId="47">'Div 3'!$H$161:$H$162</definedName>
    <definedName name="OSRRefH22_6x_0" localSheetId="70">'Div 4'!$H$64</definedName>
    <definedName name="OSRRefH22_6x_0" localSheetId="92">'Div 5'!$H$52</definedName>
    <definedName name="OSRRefH22_6x_0" localSheetId="61">'Div 6'!$H$83:$H$84</definedName>
    <definedName name="OSRRefH22_6x_0" localSheetId="2">Summary!$H$192:$H$193</definedName>
    <definedName name="OSRRefH22_7x_0" localSheetId="41">'201'!$H$53</definedName>
    <definedName name="OSRRefH22_7x_0" localSheetId="42">'202'!$H$53:$H$55</definedName>
    <definedName name="OSRRefH22_7x_0" localSheetId="43">'203'!$H$52:$H$53</definedName>
    <definedName name="OSRRefH22_7x_0" localSheetId="44">'204'!$H$53:$H$55</definedName>
    <definedName name="OSRRefH22_7x_0" localSheetId="45">'205'!$H$55</definedName>
    <definedName name="OSRRefH22_7x_0" localSheetId="46">'206'!$H$51</definedName>
    <definedName name="OSRRefH22_7x_0" localSheetId="48">'300'!$H$160:$H$161</definedName>
    <definedName name="OSRRefH22_7x_0" localSheetId="49">'300 &amp; 317'!$H$184:$H$185</definedName>
    <definedName name="OSRRefH22_7x_0" localSheetId="50">'301'!$H$55</definedName>
    <definedName name="OSRRefH22_7x_0" localSheetId="52">'307'!$H$70</definedName>
    <definedName name="OSRRefH22_7x_0" localSheetId="53">'308'!$H$93:$H$94</definedName>
    <definedName name="OSRRefH22_7x_0" localSheetId="64">'309'!$H$52:$H$53</definedName>
    <definedName name="OSRRefH22_7x_0" localSheetId="63">'310'!$H$63</definedName>
    <definedName name="OSRRefH22_7x_0" localSheetId="71">'310 &amp; 491'!$H$69</definedName>
    <definedName name="OSRRefH22_7x_0" localSheetId="54">'311'!$H$92:$H$93</definedName>
    <definedName name="OSRRefH22_7x_0" localSheetId="65">'313'!$H$59</definedName>
    <definedName name="OSRRefH22_7x_0" localSheetId="57">'315'!$H$115:$H$116</definedName>
    <definedName name="OSRRefH22_7x_0" localSheetId="60">'316'!$H$64:$H$66</definedName>
    <definedName name="OSRRefH22_7x_0" localSheetId="62">'317'!$H$86</definedName>
    <definedName name="OSRRefH22_7x_0" localSheetId="66">'321'!$H$57:$H$58</definedName>
    <definedName name="OSRRefH22_7x_0" localSheetId="67">'322'!$H$53:$H$54</definedName>
    <definedName name="OSRRefH22_7x_0" localSheetId="68">'325'!$H$56</definedName>
    <definedName name="OSRRefH22_7x_0" localSheetId="58">'326'!$H$80</definedName>
    <definedName name="OSRRefH22_7x_0" localSheetId="51">'330'!$H$74</definedName>
    <definedName name="OSRRefH22_7x_0" localSheetId="56">'331'!$H$116</definedName>
    <definedName name="OSRRefH22_7x_0" localSheetId="59">'332'!$H$66:$H$68</definedName>
    <definedName name="OSRRefH22_7x_0" localSheetId="73">'405'!$H$55</definedName>
    <definedName name="OSRRefH22_7x_0" localSheetId="75">'411'!$H$52</definedName>
    <definedName name="OSRRefH22_7x_0" localSheetId="76">'412'!$H$53</definedName>
    <definedName name="OSRRefH22_7x_0" localSheetId="77">'413'!$H$54</definedName>
    <definedName name="OSRRefH22_7x_0" localSheetId="78">'414'!$H$56</definedName>
    <definedName name="OSRRefH22_7x_0" localSheetId="79">'415'!$H$59</definedName>
    <definedName name="OSRRefH22_7x_0" localSheetId="80">'418'!$H$55</definedName>
    <definedName name="OSRRefH22_7x_0" localSheetId="87">'430'!$H$54</definedName>
    <definedName name="OSRRefH22_7x_0" localSheetId="88">'433'!$H$59</definedName>
    <definedName name="OSRRefH22_7x_0" localSheetId="90">'444'!$H$59</definedName>
    <definedName name="OSRRefH22_7x_0" localSheetId="91">'450'!$H$55</definedName>
    <definedName name="OSRRefH22_7x_0" localSheetId="72">'491'!$H$63</definedName>
    <definedName name="OSRRefH22_7x_0" localSheetId="86">'492'!$H$59</definedName>
    <definedName name="OSRRefH22_7x_0" localSheetId="93">'501'!$H$54</definedName>
    <definedName name="OSRRefH22_7x_0" localSheetId="39">'Div 2'!$H$56</definedName>
    <definedName name="OSRRefH22_7x_0" localSheetId="47">'Div 3'!$H$164:$H$165</definedName>
    <definedName name="OSRRefH22_7x_0" localSheetId="70">'Div 4'!$H$66</definedName>
    <definedName name="OSRRefH22_7x_0" localSheetId="92">'Div 5'!$H$54</definedName>
    <definedName name="OSRRefH22_7x_0" localSheetId="61">'Div 6'!$H$86</definedName>
    <definedName name="OSRRefH22_7x_0" localSheetId="2">Summary!$H$195:$H$196</definedName>
    <definedName name="OSRRefH22_8x_0" localSheetId="41">'201'!$H$55</definedName>
    <definedName name="OSRRefH22_8x_0" localSheetId="42">'202'!$H$57</definedName>
    <definedName name="OSRRefH22_8x_0" localSheetId="43">'203'!$H$55:$H$57</definedName>
    <definedName name="OSRRefH22_8x_0" localSheetId="44">'204'!$H$57:$H$58</definedName>
    <definedName name="OSRRefH22_8x_0" localSheetId="46">'206'!$H$53:$H$54</definedName>
    <definedName name="OSRRefH22_8x_0" localSheetId="48">'300'!$H$163</definedName>
    <definedName name="OSRRefH22_8x_0" localSheetId="49">'300 &amp; 317'!$H$187</definedName>
    <definedName name="OSRRefH22_8x_0" localSheetId="50">'301'!$H$57</definedName>
    <definedName name="OSRRefH22_8x_0" localSheetId="52">'307'!$H$72</definedName>
    <definedName name="OSRRefH22_8x_0" localSheetId="53">'308'!$H$96</definedName>
    <definedName name="OSRRefH22_8x_0" localSheetId="64">'309'!$H$55:$H$56</definedName>
    <definedName name="OSRRefH22_8x_0" localSheetId="63">'310'!$H$65</definedName>
    <definedName name="OSRRefH22_8x_0" localSheetId="71">'310 &amp; 491'!$H$71:$H$72</definedName>
    <definedName name="OSRRefH22_8x_0" localSheetId="54">'311'!$H$95</definedName>
    <definedName name="OSRRefH22_8x_0" localSheetId="65">'313'!$H$61:$H$63</definedName>
    <definedName name="OSRRefH22_8x_0" localSheetId="57">'315'!$H$118</definedName>
    <definedName name="OSRRefH22_8x_0" localSheetId="60">'316'!$H$68</definedName>
    <definedName name="OSRRefH22_8x_0" localSheetId="62">'317'!$H$88</definedName>
    <definedName name="OSRRefH22_8x_0" localSheetId="66">'321'!$H$60:$H$61</definedName>
    <definedName name="OSRRefH22_8x_0" localSheetId="67">'322'!$H$56:$H$57</definedName>
    <definedName name="OSRRefH22_8x_0" localSheetId="68">'325'!$H$58</definedName>
    <definedName name="OSRRefH22_8x_0" localSheetId="58">'326'!$H$82:$H$83</definedName>
    <definedName name="OSRRefH22_8x_0" localSheetId="51">'330'!$H$76</definedName>
    <definedName name="OSRRefH22_8x_0" localSheetId="56">'331'!$H$118:$H$119</definedName>
    <definedName name="OSRRefH22_8x_0" localSheetId="59">'332'!$H$70</definedName>
    <definedName name="OSRRefH22_8x_0" localSheetId="73">'405'!$H$57</definedName>
    <definedName name="OSRRefH22_8x_0" localSheetId="75">'411'!$H$54</definedName>
    <definedName name="OSRRefH22_8x_0" localSheetId="76">'412'!$H$55:$H$56</definedName>
    <definedName name="OSRRefH22_8x_0" localSheetId="77">'413'!$H$56:$H$59</definedName>
    <definedName name="OSRRefH22_8x_0" localSheetId="78">'414'!$H$58:$H$59</definedName>
    <definedName name="OSRRefH22_8x_0" localSheetId="79">'415'!$H$61</definedName>
    <definedName name="OSRRefH22_8x_0" localSheetId="80">'418'!$H$57:$H$59</definedName>
    <definedName name="OSRRefH22_8x_0" localSheetId="88">'433'!$H$61</definedName>
    <definedName name="OSRRefH22_8x_0" localSheetId="90">'444'!$H$61</definedName>
    <definedName name="OSRRefH22_8x_0" localSheetId="91">'450'!$H$57</definedName>
    <definedName name="OSRRefH22_8x_0" localSheetId="72">'491'!$H$65</definedName>
    <definedName name="OSRRefH22_8x_0" localSheetId="86">'492'!$H$61</definedName>
    <definedName name="OSRRefH22_8x_0" localSheetId="93">'501'!$H$56</definedName>
    <definedName name="OSRRefH22_8x_0" localSheetId="39">'Div 2'!$H$58</definedName>
    <definedName name="OSRRefH22_8x_0" localSheetId="47">'Div 3'!$H$167</definedName>
    <definedName name="OSRRefH22_8x_0" localSheetId="70">'Div 4'!$H$68</definedName>
    <definedName name="OSRRefH22_8x_0" localSheetId="92">'Div 5'!$H$56</definedName>
    <definedName name="OSRRefH22_8x_0" localSheetId="61">'Div 6'!$H$88</definedName>
    <definedName name="OSRRefH22_8x_0" localSheetId="2">Summary!$H$198</definedName>
    <definedName name="OSRRefH22_9x_0" localSheetId="41">'201'!$H$57</definedName>
    <definedName name="OSRRefH22_9x_0" localSheetId="42">'202'!$H$59:$H$61</definedName>
    <definedName name="OSRRefH22_9x_0" localSheetId="43">'203'!$H$59:$H$60</definedName>
    <definedName name="OSRRefH22_9x_0" localSheetId="44">'204'!$H$60</definedName>
    <definedName name="OSRRefH22_9x_0" localSheetId="46">'206'!$H$56</definedName>
    <definedName name="OSRRefH22_9x_0" localSheetId="48">'300'!$H$165</definedName>
    <definedName name="OSRRefH22_9x_0" localSheetId="49">'300 &amp; 317'!$H$189</definedName>
    <definedName name="OSRRefH22_9x_0" localSheetId="50">'301'!$H$59</definedName>
    <definedName name="OSRRefH22_9x_0" localSheetId="52">'307'!$H$74:$H$75</definedName>
    <definedName name="OSRRefH22_9x_0" localSheetId="53">'308'!$H$98:$H$100</definedName>
    <definedName name="OSRRefH22_9x_0" localSheetId="64">'309'!$H$58:$H$60</definedName>
    <definedName name="OSRRefH22_9x_0" localSheetId="63">'310'!$H$67</definedName>
    <definedName name="OSRRefH22_9x_0" localSheetId="71">'310 &amp; 491'!$H$74</definedName>
    <definedName name="OSRRefH22_9x_0" localSheetId="54">'311'!$H$97:$H$99</definedName>
    <definedName name="OSRRefH22_9x_0" localSheetId="65">'313'!$H$65:$H$66</definedName>
    <definedName name="OSRRefH22_9x_0" localSheetId="57">'315'!$H$120:$H$121</definedName>
    <definedName name="OSRRefH22_9x_0" localSheetId="60">'316'!$H$70</definedName>
    <definedName name="OSRRefH22_9x_0" localSheetId="62">'317'!$H$90:$H$91</definedName>
    <definedName name="OSRRefH22_9x_0" localSheetId="66">'321'!$H$63:$H$64</definedName>
    <definedName name="OSRRefH22_9x_0" localSheetId="67">'322'!$H$59:$H$62</definedName>
    <definedName name="OSRRefH22_9x_0" localSheetId="68">'325'!$H$60</definedName>
    <definedName name="OSRRefH22_9x_0" localSheetId="58">'326'!$H$85</definedName>
    <definedName name="OSRRefH22_9x_0" localSheetId="51">'330'!$H$78:$H$79</definedName>
    <definedName name="OSRRefH22_9x_0" localSheetId="56">'331'!$H$121:$H$122</definedName>
    <definedName name="OSRRefH22_9x_0" localSheetId="59">'332'!$H$72</definedName>
    <definedName name="OSRRefH22_9x_0" localSheetId="73">'405'!$H$59:$H$60</definedName>
    <definedName name="OSRRefH22_9x_0" localSheetId="75">'411'!$H$56:$H$59</definedName>
    <definedName name="OSRRefH22_9x_0" localSheetId="76">'412'!$H$58</definedName>
    <definedName name="OSRRefH22_9x_0" localSheetId="77">'413'!$H$61:$H$62</definedName>
    <definedName name="OSRRefH22_9x_0" localSheetId="78">'414'!$H$61</definedName>
    <definedName name="OSRRefH22_9x_0" localSheetId="79">'415'!$H$63</definedName>
    <definedName name="OSRRefH22_9x_0" localSheetId="80">'418'!$H$61:$H$62</definedName>
    <definedName name="OSRRefH22_9x_0" localSheetId="88">'433'!$H$63</definedName>
    <definedName name="OSRRefH22_9x_0" localSheetId="90">'444'!$H$63</definedName>
    <definedName name="OSRRefH22_9x_0" localSheetId="91">'450'!$H$59</definedName>
    <definedName name="OSRRefH22_9x_0" localSheetId="72">'491'!$H$67</definedName>
    <definedName name="OSRRefH22_9x_0" localSheetId="86">'492'!$H$63</definedName>
    <definedName name="OSRRefH22_9x_0" localSheetId="93">'501'!$H$58:$H$61</definedName>
    <definedName name="OSRRefH22_9x_0" localSheetId="39">'Div 2'!$H$60:$H$61</definedName>
    <definedName name="OSRRefH22_9x_0" localSheetId="47">'Div 3'!$H$169</definedName>
    <definedName name="OSRRefH22_9x_0" localSheetId="70">'Div 4'!$H$70</definedName>
    <definedName name="OSRRefH22_9x_0" localSheetId="92">'Div 5'!$H$58:$H$61</definedName>
    <definedName name="OSRRefH22_9x_0" localSheetId="61">'Div 6'!$H$90:$H$91</definedName>
    <definedName name="OSRRefH22_9x_0" localSheetId="2">Summary!$H$200</definedName>
    <definedName name="OSRRefH22x_0" localSheetId="40">'200'!$H$20,'200'!$H$22,'200'!$H$24,'200'!$H$26,'200'!$H$28:$H$29</definedName>
    <definedName name="OSRRefH22x_0" localSheetId="41">'201'!$H$21:$H$29,'201'!$H$31:$H$40,'201'!$H$42,'201'!$H$44,'201'!$H$46:$H$47,'201'!$H$49,'201'!$H$51,'201'!$H$53,'201'!$H$55,'201'!$H$57,'201'!$H$59:$H$61,'201'!$H$63:$H$64,'201'!$H$66,'201'!$H$68:$H$70,'201'!$H$72,'201'!$H$74,'201'!$H$76</definedName>
    <definedName name="OSRRefH22x_0" localSheetId="42">'202'!$H$21:$H$29,'202'!$H$31:$H$40,'202'!$H$42,'202'!$H$44,'202'!$H$46:$H$47,'202'!$H$49,'202'!$H$51,'202'!$H$53:$H$55,'202'!$H$57,'202'!$H$59:$H$61,'202'!$H$63,'202'!$H$65,'202'!$H$67</definedName>
    <definedName name="OSRRefH22x_0" localSheetId="43">'203'!$H$20:$H$29,'203'!$H$31:$H$40,'203'!$H$42,'203'!$H$44,'203'!$H$46,'203'!$H$48,'203'!$H$50,'203'!$H$52:$H$53,'203'!$H$55:$H$57,'203'!$H$59:$H$60,'203'!$H$62,'203'!$H$64:$H$66,'203'!$H$68,'203'!$H$70,'203'!$H$72</definedName>
    <definedName name="OSRRefH22x_0" localSheetId="44">'204'!$H$20:$H$29,'204'!$H$31:$H$40,'204'!$H$42,'204'!$H$44:$H$45,'204'!$H$47,'204'!$H$49,'204'!$H$51,'204'!$H$53:$H$55,'204'!$H$57:$H$58,'204'!$H$60,'204'!$H$62:$H$63,'204'!$H$65,'204'!$H$67</definedName>
    <definedName name="OSRRefH22x_0" localSheetId="45">'205'!$H$20:$H$28,'205'!$H$30:$H$39,'205'!$H$41,'205'!$H$43,'205'!$H$45:$H$47,'205'!$H$49,'205'!$H$51:$H$53,'205'!$H$55</definedName>
    <definedName name="OSRRefH22x_0" localSheetId="46">'206'!$H$20:$H$28,'206'!$H$30:$H$39,'206'!$H$41,'206'!$H$43,'206'!$H$45,'206'!$H$47,'206'!$H$49,'206'!$H$51,'206'!$H$53:$H$54,'206'!$H$56</definedName>
    <definedName name="OSRRefH22x_0" localSheetId="48">'300'!$H$125:$H$134,'300'!$H$136:$H$145,'300'!$H$147,'300'!$H$149:$H$150,'300'!$H$152,'300'!$H$154:$H$155,'300'!$H$157:$H$158,'300'!$H$160:$H$161,'300'!$H$163,'300'!$H$165,'300'!$H$167:$H$168,'300'!$H$170:$H$172,'300'!$H$174,'300'!$H$176:$H$177,'300'!$H$179,'300'!$H$181,'300'!$H$183:$H$186,'300'!$H$188:$H$191,'300'!$H$193:$H$196,'300'!$H$198:$H$199,'300'!$H$201:$H$209,'300'!$H$211:$H$212,'300'!$H$214,'300'!$H$216:$H$218,'300'!$H$220</definedName>
    <definedName name="OSRRefH22x_0" localSheetId="49">'300 &amp; 317'!$H$149:$H$158,'300 &amp; 317'!$H$160:$H$169,'300 &amp; 317'!$H$171,'300 &amp; 317'!$H$173:$H$174,'300 &amp; 317'!$H$176,'300 &amp; 317'!$H$178:$H$179,'300 &amp; 317'!$H$181:$H$182,'300 &amp; 317'!$H$184:$H$185,'300 &amp; 317'!$H$187,'300 &amp; 317'!$H$189,'300 &amp; 317'!$H$191:$H$192,'300 &amp; 317'!$H$194:$H$196,'300 &amp; 317'!$H$198,'300 &amp; 317'!$H$200:$H$201,'300 &amp; 317'!$H$203,'300 &amp; 317'!$H$205,'300 &amp; 317'!$H$207:$H$210,'300 &amp; 317'!$H$212:$H$215,'300 &amp; 317'!$H$217:$H$220,'300 &amp; 317'!$H$222:$H$223,'300 &amp; 317'!$H$225:$H$233,'300 &amp; 317'!$H$235:$H$236,'300 &amp; 317'!$H$238,'300 &amp; 317'!$H$240:$H$242,'300 &amp; 317'!$H$244</definedName>
    <definedName name="OSRRefH22x_0" localSheetId="50">'301'!$H$21:$H$30,'301'!$H$32:$H$41,'301'!$H$43,'301'!$H$45:$H$46,'301'!$H$48,'301'!$H$50:$H$51,'301'!$H$53,'301'!$H$55,'301'!$H$57,'301'!$H$59,'301'!$H$61,'301'!$H$63,'301'!$H$65,'301'!$H$67,'301'!$H$69,'301'!$H$71:$H$74,'301'!$H$76:$H$78,'301'!$H$80,'301'!$H$82:$H$88,'301'!$H$90,'301'!$H$92,'301'!$H$94:$H$95,'301'!$H$97</definedName>
    <definedName name="OSRRefH22x_0" localSheetId="52">'307'!$H$39:$H$46,'307'!$H$48:$H$57,'307'!$H$59,'307'!$H$61,'307'!$H$63,'307'!$H$65:$H$66,'307'!$H$68,'307'!$H$70,'307'!$H$72,'307'!$H$74:$H$75,'307'!$H$77:$H$78,'307'!$H$80:$H$83,'307'!$H$85:$H$86,'307'!$H$88</definedName>
    <definedName name="OSRRefH22x_0" localSheetId="53">'308'!$H$59:$H$68,'308'!$H$70:$H$79,'308'!$H$81,'308'!$H$83:$H$84,'308'!$H$86,'308'!$H$88,'308'!$H$90:$H$91,'308'!$H$93:$H$94,'308'!$H$96,'308'!$H$98:$H$100,'308'!$H$102:$H$103,'308'!$H$105:$H$107,'308'!$H$109:$H$110,'308'!$H$112,'308'!$H$114</definedName>
    <definedName name="OSRRefH22x_0" localSheetId="64">'309'!$H$22:$H$29,'309'!$H$31:$H$40,'309'!$H$42,'309'!$H$44,'309'!$H$46,'309'!$H$48,'309'!$H$50,'309'!$H$52:$H$53,'309'!$H$55:$H$56,'309'!$H$58:$H$60,'309'!$H$62</definedName>
    <definedName name="OSRRefH22x_0" localSheetId="63">'310'!$H$31:$H$39,'310'!$H$41:$H$50,'310'!$H$52,'310'!$H$54,'310'!$H$56,'310'!$H$58:$H$59,'310'!$H$61,'310'!$H$63,'310'!$H$65,'310'!$H$67,'310'!$H$69,'310'!$H$71,'310'!$H$73,'310'!$H$75:$H$78,'310'!$H$80:$H$81,'310'!$H$83:$H$86,'310'!$H$88,'310'!$H$90:$H$96,'310'!$H$98:$H$99,'310'!$H$101,'310'!$H$103,'310'!$H$105</definedName>
    <definedName name="OSRRefH22x_0" localSheetId="71">'310 &amp; 491'!$H$36:$H$44,'310 &amp; 491'!$H$46:$H$55,'310 &amp; 491'!$H$57,'310 &amp; 491'!$H$59,'310 &amp; 491'!$H$61,'310 &amp; 491'!$H$63:$H$65,'310 &amp; 491'!$H$67,'310 &amp; 491'!$H$69,'310 &amp; 491'!$H$71:$H$72,'310 &amp; 491'!$H$74,'310 &amp; 491'!$H$76,'310 &amp; 491'!$H$78,'310 &amp; 491'!$H$80,'310 &amp; 491'!$H$82:$H$85,'310 &amp; 491'!$H$87:$H$88,'310 &amp; 491'!$H$90:$H$94,'310 &amp; 491'!$H$96:$H$97,'310 &amp; 491'!$H$99:$H$109,'310 &amp; 491'!$H$111:$H$112,'310 &amp; 491'!$H$114,'310 &amp; 491'!$H$116:$H$118,'310 &amp; 491'!$H$120</definedName>
    <definedName name="OSRRefH22x_0" localSheetId="54">'311'!$H$58:$H$67,'311'!$H$69:$H$78,'311'!$H$80,'311'!$H$82:$H$83,'311'!$H$85,'311'!$H$87,'311'!$H$89:$H$90,'311'!$H$92:$H$93,'311'!$H$95,'311'!$H$97:$H$99,'311'!$H$101:$H$102,'311'!$H$104:$H$106,'311'!$H$108:$H$109,'311'!$H$111,'311'!$H$113</definedName>
    <definedName name="OSRRefH22x_0" localSheetId="65">'313'!$H$27:$H$35,'313'!$H$37:$H$46,'313'!$H$48,'313'!$H$50,'313'!$H$52,'313'!$H$54,'313'!$H$56:$H$57,'313'!$H$59,'313'!$H$61:$H$63,'313'!$H$65:$H$66,'313'!$H$68,'313'!$H$70</definedName>
    <definedName name="OSRRefH22x_0" localSheetId="57">'315'!$H$83:$H$91,'315'!$H$93:$H$102,'315'!$H$104,'315'!$H$106,'315'!$H$108,'315'!$H$110:$H$111,'315'!$H$113,'315'!$H$115:$H$116,'315'!$H$118,'315'!$H$120:$H$121,'315'!$H$123,'315'!$H$125,'315'!$H$127:$H$129,'315'!$H$131:$H$132,'315'!$H$134:$H$140,'315'!$H$142,'315'!$H$144,'315'!$H$146:$H$147</definedName>
    <definedName name="OSRRefH22x_0" localSheetId="60">'316'!$H$32:$H$40,'316'!$H$42:$H$51,'316'!$H$53,'316'!$H$55,'316'!$H$57,'316'!$H$59,'316'!$H$61:$H$62,'316'!$H$64:$H$66,'316'!$H$68,'316'!$H$70,'316'!$H$72:$H$76,'316'!$H$78,'316'!$H$80</definedName>
    <definedName name="OSRRefH22x_0" localSheetId="62">'317'!$H$53:$H$62,'317'!$H$64:$H$73,'317'!$H$75,'317'!$H$77,'317'!$H$79,'317'!$H$81,'317'!$H$83:$H$84,'317'!$H$86,'317'!$H$88,'317'!$H$90:$H$91,'317'!$H$93,'317'!$H$95:$H$98,'317'!$H$100,'317'!$H$102</definedName>
    <definedName name="OSRRefH22x_0" localSheetId="66">'321'!$H$26:$H$34,'321'!$H$36:$H$45,'321'!$H$47,'321'!$H$49,'321'!$H$51,'321'!$H$53,'321'!$H$55,'321'!$H$57:$H$58,'321'!$H$60:$H$61,'321'!$H$63:$H$64,'321'!$H$66:$H$68,'321'!$H$70:$H$71,'321'!$H$73,'321'!$H$75</definedName>
    <definedName name="OSRRefH22x_0" localSheetId="67">'322'!$H$23:$H$30,'322'!$H$32:$H$41,'322'!$H$43,'322'!$H$45,'322'!$H$47,'322'!$H$49,'322'!$H$51,'322'!$H$53:$H$54,'322'!$H$56:$H$57,'322'!$H$59:$H$62,'322'!$H$64,'322'!$H$66</definedName>
    <definedName name="OSRRefH22x_0" localSheetId="55">'324'!$H$27:$H$34,'324'!$H$36:$H$45</definedName>
    <definedName name="OSRRefH22x_0" localSheetId="68">'325'!$H$25:$H$32,'325'!$H$34:$H$43,'325'!$H$45,'325'!$H$47,'325'!$H$49,'325'!$H$51:$H$52,'325'!$H$54,'325'!$H$56,'325'!$H$58,'325'!$H$60,'325'!$H$62,'325'!$H$64:$H$67,'325'!$H$69:$H$71,'325'!$H$73,'325'!$H$75:$H$79,'325'!$H$81:$H$82,'325'!$H$84,'325'!$H$86</definedName>
    <definedName name="OSRRefH22x_0" localSheetId="58">'326'!$H$49:$H$57,'326'!$H$59:$H$68,'326'!$H$70,'326'!$H$72,'326'!$H$74,'326'!$H$76,'326'!$H$78,'326'!$H$80,'326'!$H$82:$H$83,'326'!$H$85,'326'!$H$87,'326'!$H$89,'326'!$H$91,'326'!$H$93:$H$95,'326'!$H$97:$H$99,'326'!$H$101:$H$102,'326'!$H$104:$H$109,'326'!$H$111:$H$112,'326'!$H$114,'326'!$H$116:$H$117,'326'!$H$119</definedName>
    <definedName name="OSRRefH22x_0" localSheetId="69">'327'!$H$25,'327'!$H$27</definedName>
    <definedName name="OSRRefH22x_0" localSheetId="51">'330'!$H$42:$H$50,'330'!$H$52:$H$61,'330'!$H$63,'330'!$H$65,'330'!$H$67,'330'!$H$69:$H$70,'330'!$H$72,'330'!$H$74,'330'!$H$76,'330'!$H$78:$H$79,'330'!$H$81:$H$82,'330'!$H$84:$H$87,'330'!$H$89:$H$90,'330'!$H$92</definedName>
    <definedName name="OSRRefH22x_0" localSheetId="56">'331'!$H$84:$H$92,'331'!$H$94:$H$103,'331'!$H$105,'331'!$H$107,'331'!$H$109,'331'!$H$111:$H$112,'331'!$H$114,'331'!$H$116,'331'!$H$118:$H$119,'331'!$H$121:$H$122,'331'!$H$124,'331'!$H$126:$H$127,'331'!$H$129,'331'!$H$131,'331'!$H$133:$H$135,'331'!$H$137:$H$139,'331'!$H$141:$H$143,'331'!$H$145:$H$146,'331'!$H$148:$H$155,'331'!$H$157:$H$158,'331'!$H$160,'331'!$H$162:$H$163,'331'!$H$165</definedName>
    <definedName name="OSRRefH22x_0" localSheetId="59">'332'!$H$34:$H$42,'332'!$H$44:$H$53,'332'!$H$55,'332'!$H$57,'332'!$H$59,'332'!$H$61,'332'!$H$63:$H$64,'332'!$H$66:$H$68,'332'!$H$70,'332'!$H$72,'332'!$H$74:$H$78,'332'!$H$80,'332'!$H$82</definedName>
    <definedName name="OSRRefH22x_0" localSheetId="73">'405'!$H$24:$H$31,'405'!$H$33:$H$42,'405'!$H$44,'405'!$H$46,'405'!$H$48:$H$49,'405'!$H$51,'405'!$H$53,'405'!$H$55,'405'!$H$57,'405'!$H$59:$H$60,'405'!$H$62,'405'!$H$64:$H$67,'405'!$H$69,'405'!$H$71:$H$79,'405'!$H$81,'405'!$H$83,'405'!$H$85,'405'!$H$87</definedName>
    <definedName name="OSRRefH22x_0" localSheetId="74">'406'!$H$20,'406'!$H$22,'406'!$H$24,'406'!$H$26,'406'!$H$28</definedName>
    <definedName name="OSRRefH22x_0" localSheetId="75">'411'!$H$20:$H$28,'411'!$H$30:$H$39,'411'!$H$41,'411'!$H$43,'411'!$H$45:$H$46,'411'!$H$48,'411'!$H$50,'411'!$H$52,'411'!$H$54,'411'!$H$56:$H$59,'411'!$H$61:$H$64,'411'!$H$66:$H$67,'411'!$H$69:$H$75,'411'!$H$77,'411'!$H$79,'411'!$H$81</definedName>
    <definedName name="OSRRefH22x_0" localSheetId="76">'412'!$H$22:$H$29,'412'!$H$31:$H$40,'412'!$H$42,'412'!$H$44,'412'!$H$46:$H$47,'412'!$H$49,'412'!$H$51,'412'!$H$53,'412'!$H$55:$H$56,'412'!$H$58,'412'!$H$60:$H$63,'412'!$H$65:$H$69,'412'!$H$71:$H$72,'412'!$H$74</definedName>
    <definedName name="OSRRefH22x_0" localSheetId="77">'413'!$H$23:$H$31,'413'!$H$33:$H$42,'413'!$H$44,'413'!$H$46,'413'!$H$48,'413'!$H$50,'413'!$H$52,'413'!$H$54,'413'!$H$56:$H$59,'413'!$H$61:$H$62,'413'!$H$64:$H$71,'413'!$H$73:$H$74,'413'!$H$76</definedName>
    <definedName name="OSRRefH22x_0" localSheetId="78">'414'!$H$25:$H$33,'414'!$H$35:$H$44,'414'!$H$46,'414'!$H$48,'414'!$H$50,'414'!$H$52,'414'!$H$54,'414'!$H$56,'414'!$H$58:$H$59,'414'!$H$61,'414'!$H$63,'414'!$H$65,'414'!$H$67:$H$69,'414'!$H$71,'414'!$H$73,'414'!$H$75</definedName>
    <definedName name="OSRRefH22x_0" localSheetId="79">'415'!$H$27:$H$35,'415'!$H$37:$H$46,'415'!$H$48,'415'!$H$50,'415'!$H$52,'415'!$H$54:$H$55,'415'!$H$57,'415'!$H$59,'415'!$H$61,'415'!$H$63,'415'!$H$65,'415'!$H$67:$H$68,'415'!$H$70:$H$74,'415'!$H$76,'415'!$H$78:$H$85,'415'!$H$87:$H$88,'415'!$H$90,'415'!$H$92:$H$93,'415'!$H$95</definedName>
    <definedName name="OSRRefH22x_0" localSheetId="80">'418'!$H$24:$H$31,'418'!$H$33:$H$42,'418'!$H$44,'418'!$H$46,'418'!$H$48:$H$49,'418'!$H$51,'418'!$H$53,'418'!$H$55,'418'!$H$57:$H$59,'418'!$H$61:$H$62,'418'!$H$64:$H$65,'418'!$H$67:$H$76,'418'!$H$78:$H$79,'418'!$H$81</definedName>
    <definedName name="OSRRefH22x_0" localSheetId="81">'420'!$H$22,'420'!$H$24</definedName>
    <definedName name="OSRRefH22x_0" localSheetId="82">'423'!$H$20:$H$27,'423'!$H$29:$H$38,'423'!$H$40,'423'!$H$42:$H$43,'423'!$H$45,'423'!$H$47,'423'!$H$49</definedName>
    <definedName name="OSRRefH22x_0" localSheetId="83">'424'!$H$20,'424'!$H$22,'424'!$H$24,'424'!$H$26</definedName>
    <definedName name="OSRRefH22x_0" localSheetId="84">'425'!$H$21:$H$25,'425'!$H$27,'425'!$H$29,'425'!$H$31,'425'!$H$33:$H$34,'425'!$H$36</definedName>
    <definedName name="OSRRefH22x_0" localSheetId="87">'430'!$H$20:$H$28,'430'!$H$30:$H$39,'430'!$H$41,'430'!$H$43,'430'!$H$45:$H$47,'430'!$H$49:$H$50,'430'!$H$52,'430'!$H$54</definedName>
    <definedName name="OSRRefH22x_0" localSheetId="88">'433'!$H$27:$H$36,'433'!$H$38:$H$47,'433'!$H$49,'433'!$H$51,'433'!$H$53,'433'!$H$55,'433'!$H$57,'433'!$H$59,'433'!$H$61,'433'!$H$63,'433'!$H$65,'433'!$H$67:$H$69,'433'!$H$71:$H$74,'433'!$H$76:$H$83,'433'!$H$85,'433'!$H$87</definedName>
    <definedName name="OSRRefH22x_0" localSheetId="89">'435'!$H$20</definedName>
    <definedName name="OSRRefH22x_0" localSheetId="90">'444'!$H$27:$H$36,'444'!$H$38:$H$47,'444'!$H$49,'444'!$H$51,'444'!$H$53,'444'!$H$55,'444'!$H$57,'444'!$H$59,'444'!$H$61,'444'!$H$63,'444'!$H$65,'444'!$H$67:$H$70,'444'!$H$72:$H$75,'444'!$H$77,'444'!$H$79:$H$87,'444'!$H$89:$H$90,'444'!$H$92,'444'!$H$94</definedName>
    <definedName name="OSRRefH22x_0" localSheetId="91">'450'!$H$23:$H$32,'450'!$H$34:$H$43,'450'!$H$45,'450'!$H$47,'450'!$H$49,'450'!$H$51,'450'!$H$53,'450'!$H$55,'450'!$H$57,'450'!$H$59,'450'!$H$61,'450'!$H$63,'450'!$H$65,'450'!$H$67:$H$69,'450'!$H$71:$H$77,'450'!$H$79:$H$80,'450'!$H$82</definedName>
    <definedName name="OSRRefH22x_0" localSheetId="72">'491'!$H$30:$H$38,'491'!$H$40:$H$49,'491'!$H$51,'491'!$H$53,'491'!$H$55,'491'!$H$57:$H$59,'491'!$H$61,'491'!$H$63,'491'!$H$65,'491'!$H$67,'491'!$H$69,'491'!$H$71,'491'!$H$73,'491'!$H$75:$H$78,'491'!$H$80:$H$81,'491'!$H$83:$H$87,'491'!$H$89:$H$90,'491'!$H$92:$H$102,'491'!$H$104:$H$105,'491'!$H$107,'491'!$H$109:$H$111,'491'!$H$113</definedName>
    <definedName name="OSRRefH22x_0" localSheetId="86">'492'!$H$27:$H$36,'492'!$H$38:$H$47,'492'!$H$49,'492'!$H$51,'492'!$H$53,'492'!$H$55,'492'!$H$57,'492'!$H$59,'492'!$H$61,'492'!$H$63,'492'!$H$65,'492'!$H$67,'492'!$H$69:$H$72,'492'!$H$74:$H$77,'492'!$H$79,'492'!$H$81:$H$90,'492'!$H$92:$H$93,'492'!$H$95,'492'!$H$97:$H$98</definedName>
    <definedName name="OSRRefH22x_0" localSheetId="93">'501'!$H$21:$H$30,'501'!$H$32:$H$41,'501'!$H$43,'501'!$H$45,'501'!$H$47,'501'!$H$49:$H$50,'501'!$H$52,'501'!$H$54,'501'!$H$56,'501'!$H$58:$H$61,'501'!$H$63,'501'!$H$65:$H$66,'501'!$H$68,'501'!$H$70</definedName>
    <definedName name="OSRRefH22x_0" localSheetId="39">'Div 2'!$H$21:$H$31,'Div 2'!$H$33:$H$42,'Div 2'!$H$44,'Div 2'!$H$46,'Div 2'!$H$48,'Div 2'!$H$50:$H$51,'Div 2'!$H$53:$H$54,'Div 2'!$H$56,'Div 2'!$H$58,'Div 2'!$H$60:$H$61,'Div 2'!$H$63,'Div 2'!$H$65:$H$66,'Div 2'!$H$68:$H$71,'Div 2'!$H$73:$H$76,'Div 2'!$H$78:$H$79,'Div 2'!$H$81:$H$82,'Div 2'!$H$84:$H$88,'Div 2'!$H$90:$H$91,'Div 2'!$H$93,'Div 2'!$H$95:$H$96</definedName>
    <definedName name="OSRRefH22x_0" localSheetId="47">'Div 3'!$H$129:$H$138,'Div 3'!$H$140:$H$149,'Div 3'!$H$151,'Div 3'!$H$153:$H$154,'Div 3'!$H$156,'Div 3'!$H$158:$H$159,'Div 3'!$H$161:$H$162,'Div 3'!$H$164:$H$165,'Div 3'!$H$167,'Div 3'!$H$169,'Div 3'!$H$171:$H$172,'Div 3'!$H$174:$H$176,'Div 3'!$H$178,'Div 3'!$H$180,'Div 3'!$H$182:$H$183,'Div 3'!$H$185,'Div 3'!$H$187,'Div 3'!$H$189:$H$192,'Div 3'!$H$194:$H$197,'Div 3'!$H$199:$H$203,'Div 3'!$H$205:$H$206,'Div 3'!$H$208:$H$216,'Div 3'!$H$218:$H$219,'Div 3'!$H$221,'Div 3'!$H$223:$H$225,'Div 3'!$H$227</definedName>
    <definedName name="OSRRefH22x_0" localSheetId="70">'Div 4'!$H$32:$H$41,'Div 4'!$H$43:$H$52,'Div 4'!$H$54,'Div 4'!$H$56,'Div 4'!$H$58,'Div 4'!$H$60:$H$62,'Div 4'!$H$64,'Div 4'!$H$66,'Div 4'!$H$68,'Div 4'!$H$70,'Div 4'!$H$72,'Div 4'!$H$74,'Div 4'!$H$76,'Div 4'!$H$78,'Div 4'!$H$80,'Div 4'!$H$82:$H$85,'Div 4'!$H$87:$H$88,'Div 4'!$H$90:$H$94,'Div 4'!$H$96:$H$97,'Div 4'!$H$99:$H$109,'Div 4'!$H$111:$H$112,'Div 4'!$H$114,'Div 4'!$H$116:$H$118,'Div 4'!$H$120</definedName>
    <definedName name="OSRRefH22x_0" localSheetId="92">'Div 5'!$H$21:$H$30,'Div 5'!$H$32:$H$41,'Div 5'!$H$43,'Div 5'!$H$45,'Div 5'!$H$47,'Div 5'!$H$49:$H$50,'Div 5'!$H$52,'Div 5'!$H$54,'Div 5'!$H$56,'Div 5'!$H$58:$H$61,'Div 5'!$H$63,'Div 5'!$H$65:$H$66,'Div 5'!$H$68,'Div 5'!$H$70</definedName>
    <definedName name="OSRRefH22x_0" localSheetId="61">'Div 6'!$H$53:$H$62,'Div 6'!$H$64:$H$73,'Div 6'!$H$75,'Div 6'!$H$77,'Div 6'!$H$79,'Div 6'!$H$81,'Div 6'!$H$83:$H$84,'Div 6'!$H$86,'Div 6'!$H$88,'Div 6'!$H$90:$H$91,'Div 6'!$H$93,'Div 6'!$H$95:$H$98,'Div 6'!$H$100,'Div 6'!$H$102</definedName>
    <definedName name="OSRRefH22x_0" localSheetId="2">Summary!$H$159:$H$168,Summary!$H$170:$H$179,Summary!$H$181,Summary!$H$183:$H$184,Summary!$H$186,Summary!$H$188:$H$190,Summary!$H$192:$H$193,Summary!$H$195:$H$196,Summary!$H$198,Summary!$H$200,Summary!$H$202:$H$203,Summary!$H$205:$H$207,Summary!$H$209,Summary!$H$211,Summary!$H$213:$H$214,Summary!$H$216,Summary!$H$218,Summary!$H$220,Summary!$H$222:$H$225,Summary!$H$227:$H$230,Summary!$H$232:$H$236,Summary!$H$238:$H$239,Summary!$H$241:$H$251,Summary!$H$253:$H$254,Summary!$H$256,Summary!$H$258:$H$260,Summary!$H$262</definedName>
    <definedName name="OSRRefH25x_0" localSheetId="42">'202'!$H$70:$H$72</definedName>
    <definedName name="OSRRefH25x_0" localSheetId="48">'300'!$H$223:$H$227</definedName>
    <definedName name="OSRRefH25x_0" localSheetId="49">'300 &amp; 317'!$H$247:$H$252</definedName>
    <definedName name="OSRRefH25x_0" localSheetId="50">'301'!$H$100:$H$101</definedName>
    <definedName name="OSRRefH25x_0" localSheetId="53">'308'!$H$117:$H$119</definedName>
    <definedName name="OSRRefH25x_0" localSheetId="71">'310 &amp; 491'!$H$123:$H$126</definedName>
    <definedName name="OSRRefH25x_0" localSheetId="54">'311'!$H$116:$H$118</definedName>
    <definedName name="OSRRefH25x_0" localSheetId="57">'315'!$H$150:$H$153</definedName>
    <definedName name="OSRRefH25x_0" localSheetId="60">'316'!$H$83</definedName>
    <definedName name="OSRRefH25x_0" localSheetId="62">'317'!$H$105:$H$106</definedName>
    <definedName name="OSRRefH25x_0" localSheetId="56">'331'!$H$168:$H$171</definedName>
    <definedName name="OSRRefH25x_0" localSheetId="59">'332'!$H$85:$H$86</definedName>
    <definedName name="OSRRefH25x_0" localSheetId="75">'411'!$H$84:$H$85</definedName>
    <definedName name="OSRRefH25x_0" localSheetId="80">'418'!$H$84</definedName>
    <definedName name="OSRRefH25x_0" localSheetId="82">'423'!$H$52:$H$54</definedName>
    <definedName name="OSRRefH25x_0" localSheetId="85">'455'!$H$21:$H$22</definedName>
    <definedName name="OSRRefH25x_0" localSheetId="72">'491'!$H$116:$H$119</definedName>
    <definedName name="OSRRefH25x_0" localSheetId="93">'501'!$H$73</definedName>
    <definedName name="OSRRefH25x_0" localSheetId="39">'Div 2'!$H$99:$H$101</definedName>
    <definedName name="OSRRefH25x_0" localSheetId="47">'Div 3'!$H$230:$H$234</definedName>
    <definedName name="OSRRefH25x_0" localSheetId="70">'Div 4'!$H$123:$H$126</definedName>
    <definedName name="OSRRefH25x_0" localSheetId="92">'Div 5'!$H$73</definedName>
    <definedName name="OSRRefH25x_0" localSheetId="61">'Div 6'!$H$105:$H$106</definedName>
    <definedName name="OSRRefH25x_0" localSheetId="2">Summary!$H$265:$H$272</definedName>
    <definedName name="OSRRefP13x_0" localSheetId="41">'201'!$P$13</definedName>
    <definedName name="OSRRefP13x_0" localSheetId="42">'202'!$P$13</definedName>
    <definedName name="OSRRefP13x_0" localSheetId="48">'300'!$P$13:$P$78</definedName>
    <definedName name="OSRRefP13x_0" localSheetId="49">'300 &amp; 317'!$P$13:$P$93</definedName>
    <definedName name="OSRRefP13x_0" localSheetId="52">'307'!$P$13:$P$23</definedName>
    <definedName name="OSRRefP13x_0" localSheetId="53">'308'!$P$13:$P$35</definedName>
    <definedName name="OSRRefP13x_0" localSheetId="64">'309'!$P$13</definedName>
    <definedName name="OSRRefP13x_0" localSheetId="63">'310'!$P$13:$P$20</definedName>
    <definedName name="OSRRefP13x_0" localSheetId="71">'310 &amp; 491'!$P$13:$P$25</definedName>
    <definedName name="OSRRefP13x_0" localSheetId="54">'311'!$P$13:$P$34</definedName>
    <definedName name="OSRRefP13x_0" localSheetId="65">'313'!$P$13:$P$17</definedName>
    <definedName name="OSRRefP13x_0" localSheetId="57">'315'!$P$13:$P$51</definedName>
    <definedName name="OSRRefP13x_0" localSheetId="60">'316'!$P$13:$P$24</definedName>
    <definedName name="OSRRefP13x_0" localSheetId="62">'317'!$P$13:$P$31</definedName>
    <definedName name="OSRRefP13x_0" localSheetId="66">'321'!$P$13:$P$15</definedName>
    <definedName name="OSRRefP13x_0" localSheetId="67">'322'!$P$13</definedName>
    <definedName name="OSRRefP13x_0" localSheetId="55">'324'!$P$13:$P$16</definedName>
    <definedName name="OSRRefP13x_0" localSheetId="68">'325'!$P$13:$P$14</definedName>
    <definedName name="OSRRefP13x_0" localSheetId="58">'326'!$P$13:$P$33</definedName>
    <definedName name="OSRRefP13x_0" localSheetId="69">'327'!$P$13:$P$14</definedName>
    <definedName name="OSRRefP13x_0" localSheetId="51">'330'!$P$13:$P$26</definedName>
    <definedName name="OSRRefP13x_0" localSheetId="56">'331'!$P$13:$P$51</definedName>
    <definedName name="OSRRefP13x_0" localSheetId="59">'332'!$P$13:$P$24</definedName>
    <definedName name="OSRRefP13x_0" localSheetId="73">'405'!$P$13:$P$14</definedName>
    <definedName name="OSRRefP13x_0" localSheetId="76">'412'!$P$13</definedName>
    <definedName name="OSRRefP13x_0" localSheetId="77">'413'!$P$13:$P$14</definedName>
    <definedName name="OSRRefP13x_0" localSheetId="78">'414'!$P$13:$P$15</definedName>
    <definedName name="OSRRefP13x_0" localSheetId="79">'415'!$P$13:$P$16</definedName>
    <definedName name="OSRRefP13x_0" localSheetId="80">'418'!$P$13:$P$14</definedName>
    <definedName name="OSRRefP13x_0" localSheetId="81">'420'!$P$13:$P$14</definedName>
    <definedName name="OSRRefP13x_0" localSheetId="88">'433'!$P$13:$P$16</definedName>
    <definedName name="OSRRefP13x_0" localSheetId="90">'444'!$P$13:$P$16</definedName>
    <definedName name="OSRRefP13x_0" localSheetId="91">'450'!$P$13:$P$14</definedName>
    <definedName name="OSRRefP13x_0" localSheetId="72">'491'!$P$13:$P$19</definedName>
    <definedName name="OSRRefP13x_0" localSheetId="86">'492'!$P$13:$P$16</definedName>
    <definedName name="OSRRefP13x_0" localSheetId="93">'501'!$P$13</definedName>
    <definedName name="OSRRefP13x_0" localSheetId="39">'Div 2'!$P$13</definedName>
    <definedName name="OSRRefP13x_0" localSheetId="47">'Div 3'!$P$13:$P$80</definedName>
    <definedName name="OSRRefP13x_0" localSheetId="70">'Div 4'!$P$13:$P$21</definedName>
    <definedName name="OSRRefP13x_0" localSheetId="92">'Div 5'!$P$13</definedName>
    <definedName name="OSRRefP13x_0" localSheetId="61">'Div 6'!$P$13:$P$31</definedName>
    <definedName name="OSRRefP13x_0" localSheetId="2">Summary!$P$13:$P$101</definedName>
    <definedName name="OSRRefP16x_0" localSheetId="48">'300'!$P$81:$P$119</definedName>
    <definedName name="OSRRefP16x_0" localSheetId="49">'300 &amp; 317'!$P$96:$P$143</definedName>
    <definedName name="OSRRefP16x_0" localSheetId="50">'301'!$P$15</definedName>
    <definedName name="OSRRefP16x_0" localSheetId="52">'307'!$P$26:$P$33</definedName>
    <definedName name="OSRRefP16x_0" localSheetId="53">'308'!$P$38:$P$53</definedName>
    <definedName name="OSRRefP16x_0" localSheetId="64">'309'!$P$16</definedName>
    <definedName name="OSRRefP16x_0" localSheetId="63">'310'!$P$23:$P$25</definedName>
    <definedName name="OSRRefP16x_0" localSheetId="71">'310 &amp; 491'!$P$28:$P$30</definedName>
    <definedName name="OSRRefP16x_0" localSheetId="54">'311'!$P$37:$P$52</definedName>
    <definedName name="OSRRefP16x_0" localSheetId="65">'313'!$P$20:$P$21</definedName>
    <definedName name="OSRRefP16x_0" localSheetId="57">'315'!$P$54:$P$77</definedName>
    <definedName name="OSRRefP16x_0" localSheetId="62">'317'!$P$34:$P$47</definedName>
    <definedName name="OSRRefP16x_0" localSheetId="66">'321'!$P$18:$P$20</definedName>
    <definedName name="OSRRefP16x_0" localSheetId="67">'322'!$P$16:$P$17</definedName>
    <definedName name="OSRRefP16x_0" localSheetId="55">'324'!$P$19:$P$21</definedName>
    <definedName name="OSRRefP16x_0" localSheetId="68">'325'!$P$17:$P$19</definedName>
    <definedName name="OSRRefP16x_0" localSheetId="58">'326'!$P$36:$P$43</definedName>
    <definedName name="OSRRefP16x_0" localSheetId="69">'327'!$P$17:$P$19</definedName>
    <definedName name="OSRRefP16x_0" localSheetId="51">'330'!$P$29:$P$36</definedName>
    <definedName name="OSRRefP16x_0" localSheetId="56">'331'!$P$54:$P$78</definedName>
    <definedName name="OSRRefP16x_0" localSheetId="59">'332'!$P$27:$P$28</definedName>
    <definedName name="OSRRefP16x_0" localSheetId="73">'405'!$P$17:$P$18</definedName>
    <definedName name="OSRRefP16x_0" localSheetId="76">'412'!$P$16</definedName>
    <definedName name="OSRRefP16x_0" localSheetId="77">'413'!$P$17</definedName>
    <definedName name="OSRRefP16x_0" localSheetId="78">'414'!$P$18:$P$19</definedName>
    <definedName name="OSRRefP16x_0" localSheetId="79">'415'!$P$19:$P$21</definedName>
    <definedName name="OSRRefP16x_0" localSheetId="80">'418'!$P$17:$P$18</definedName>
    <definedName name="OSRRefP16x_0" localSheetId="84">'425'!$P$15</definedName>
    <definedName name="OSRRefP16x_0" localSheetId="88">'433'!$P$19:$P$21</definedName>
    <definedName name="OSRRefP16x_0" localSheetId="90">'444'!$P$19:$P$21</definedName>
    <definedName name="OSRRefP16x_0" localSheetId="91">'450'!$P$17</definedName>
    <definedName name="OSRRefP16x_0" localSheetId="72">'491'!$P$22:$P$24</definedName>
    <definedName name="OSRRefP16x_0" localSheetId="86">'492'!$P$19:$P$21</definedName>
    <definedName name="OSRRefP16x_0" localSheetId="47">'Div 3'!$P$83:$P$123</definedName>
    <definedName name="OSRRefP16x_0" localSheetId="70">'Div 4'!$P$24:$P$26</definedName>
    <definedName name="OSRRefP16x_0" localSheetId="61">'Div 6'!$P$34:$P$47</definedName>
    <definedName name="OSRRefP16x_0" localSheetId="2">Summary!$P$104:$P$153</definedName>
    <definedName name="OSRRefP22_0x_0" localSheetId="40">'200'!$P$20</definedName>
    <definedName name="OSRRefP22_0x_0" localSheetId="41">'201'!$P$21:$P$29</definedName>
    <definedName name="OSRRefP22_0x_0" localSheetId="42">'202'!$P$21:$P$29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'300'!$P$125:$P$134</definedName>
    <definedName name="OSRRefP22_0x_0" localSheetId="49">'300 &amp; 317'!$P$149:$P$158</definedName>
    <definedName name="OSRRefP22_0x_0" localSheetId="50">'301'!$P$21:$P$30</definedName>
    <definedName name="OSRRefP22_0x_0" localSheetId="52">'307'!$P$39:$P$46</definedName>
    <definedName name="OSRRefP22_0x_0" localSheetId="53">'308'!$P$59:$P$68</definedName>
    <definedName name="OSRRefP22_0x_0" localSheetId="64">'309'!$P$22:$P$29</definedName>
    <definedName name="OSRRefP22_0x_0" localSheetId="63">'310'!$P$31:$P$39</definedName>
    <definedName name="OSRRefP22_0x_0" localSheetId="71">'310 &amp; 491'!$P$36:$P$44</definedName>
    <definedName name="OSRRefP22_0x_0" localSheetId="54">'311'!$P$58:$P$67</definedName>
    <definedName name="OSRRefP22_0x_0" localSheetId="65">'313'!$P$27:$P$35</definedName>
    <definedName name="OSRRefP22_0x_0" localSheetId="57">'315'!$P$83:$P$91</definedName>
    <definedName name="OSRRefP22_0x_0" localSheetId="60">'316'!$P$32:$P$40</definedName>
    <definedName name="OSRRefP22_0x_0" localSheetId="62">'317'!$P$53:$P$62</definedName>
    <definedName name="OSRRefP22_0x_0" localSheetId="66">'321'!$P$26:$P$34</definedName>
    <definedName name="OSRRefP22_0x_0" localSheetId="67">'322'!$P$23:$P$30</definedName>
    <definedName name="OSRRefP22_0x_0" localSheetId="55">'324'!$P$27:$P$34</definedName>
    <definedName name="OSRRefP22_0x_0" localSheetId="68">'325'!$P$25:$P$32</definedName>
    <definedName name="OSRRefP22_0x_0" localSheetId="58">'326'!$P$49:$P$57</definedName>
    <definedName name="OSRRefP22_0x_0" localSheetId="69">'327'!$P$25</definedName>
    <definedName name="OSRRefP22_0x_0" localSheetId="51">'330'!$P$42:$P$50</definedName>
    <definedName name="OSRRefP22_0x_0" localSheetId="56">'331'!$P$84:$P$92</definedName>
    <definedName name="OSRRefP22_0x_0" localSheetId="59">'332'!$P$34:$P$42</definedName>
    <definedName name="OSRRefP22_0x_0" localSheetId="73">'405'!$P$24:$P$31</definedName>
    <definedName name="OSRRefP22_0x_0" localSheetId="74">'406'!$P$20</definedName>
    <definedName name="OSRRefP22_0x_0" localSheetId="75">'411'!$P$20:$P$28</definedName>
    <definedName name="OSRRefP22_0x_0" localSheetId="76">'412'!$P$22:$P$29</definedName>
    <definedName name="OSRRefP22_0x_0" localSheetId="77">'413'!$P$23:$P$31</definedName>
    <definedName name="OSRRefP22_0x_0" localSheetId="78">'414'!$P$25:$P$33</definedName>
    <definedName name="OSRRefP22_0x_0" localSheetId="79">'415'!$P$27:$P$35</definedName>
    <definedName name="OSRRefP22_0x_0" localSheetId="80">'418'!$P$24:$P$31</definedName>
    <definedName name="OSRRefP22_0x_0" localSheetId="81">'420'!$P$22</definedName>
    <definedName name="OSRRefP22_0x_0" localSheetId="82">'423'!$P$20:$P$27</definedName>
    <definedName name="OSRRefP22_0x_0" localSheetId="83">'424'!$P$20</definedName>
    <definedName name="OSRRefP22_0x_0" localSheetId="84">'425'!$P$21:$P$25</definedName>
    <definedName name="OSRRefP22_0x_0" localSheetId="87">'430'!$P$20:$P$28</definedName>
    <definedName name="OSRRefP22_0x_0" localSheetId="88">'433'!$P$27:$P$36</definedName>
    <definedName name="OSRRefP22_0x_0" localSheetId="89">'435'!$P$20</definedName>
    <definedName name="OSRRefP22_0x_0" localSheetId="90">'444'!$P$27:$P$36</definedName>
    <definedName name="OSRRefP22_0x_0" localSheetId="91">'450'!$P$23:$P$32</definedName>
    <definedName name="OSRRefP22_0x_0" localSheetId="72">'491'!$P$30:$P$38</definedName>
    <definedName name="OSRRefP22_0x_0" localSheetId="86">'492'!$P$27:$P$36</definedName>
    <definedName name="OSRRefP22_0x_0" localSheetId="93">'501'!$P$21:$P$30</definedName>
    <definedName name="OSRRefP22_0x_0" localSheetId="39">'Div 2'!$P$21:$P$31</definedName>
    <definedName name="OSRRefP22_0x_0" localSheetId="47">'Div 3'!$P$129:$P$138</definedName>
    <definedName name="OSRRefP22_0x_0" localSheetId="70">'Div 4'!$P$32:$P$41</definedName>
    <definedName name="OSRRefP22_0x_0" localSheetId="92">'Div 5'!$P$21:$P$30</definedName>
    <definedName name="OSRRefP22_0x_0" localSheetId="61">'Div 6'!$P$53:$P$62</definedName>
    <definedName name="OSRRefP22_0x_0" localSheetId="2">Summary!$P$159:$P$168</definedName>
    <definedName name="OSRRefP22_10x_0" localSheetId="41">'201'!$P$59:$P$61</definedName>
    <definedName name="OSRRefP22_10x_0" localSheetId="42">'202'!$P$63</definedName>
    <definedName name="OSRRefP22_10x_0" localSheetId="43">'203'!$P$62</definedName>
    <definedName name="OSRRefP22_10x_0" localSheetId="44">'204'!$P$62:$P$63</definedName>
    <definedName name="OSRRefP22_10x_0" localSheetId="48">'300'!$P$167:$P$168</definedName>
    <definedName name="OSRRefP22_10x_0" localSheetId="49">'300 &amp; 317'!$P$191:$P$192</definedName>
    <definedName name="OSRRefP22_10x_0" localSheetId="50">'301'!$P$61</definedName>
    <definedName name="OSRRefP22_10x_0" localSheetId="52">'307'!$P$77:$P$78</definedName>
    <definedName name="OSRRefP22_10x_0" localSheetId="53">'308'!$P$102:$P$103</definedName>
    <definedName name="OSRRefP22_10x_0" localSheetId="64">'309'!$P$62</definedName>
    <definedName name="OSRRefP22_10x_0" localSheetId="63">'310'!$P$69</definedName>
    <definedName name="OSRRefP22_10x_0" localSheetId="71">'310 &amp; 491'!$P$76</definedName>
    <definedName name="OSRRefP22_10x_0" localSheetId="54">'311'!$P$101:$P$102</definedName>
    <definedName name="OSRRefP22_10x_0" localSheetId="65">'313'!$P$68</definedName>
    <definedName name="OSRRefP22_10x_0" localSheetId="57">'315'!$P$123</definedName>
    <definedName name="OSRRefP22_10x_0" localSheetId="60">'316'!$P$72:$P$76</definedName>
    <definedName name="OSRRefP22_10x_0" localSheetId="62">'317'!$P$93</definedName>
    <definedName name="OSRRefP22_10x_0" localSheetId="66">'321'!$P$66:$P$68</definedName>
    <definedName name="OSRRefP22_10x_0" localSheetId="67">'322'!$P$64</definedName>
    <definedName name="OSRRefP22_10x_0" localSheetId="68">'325'!$P$62</definedName>
    <definedName name="OSRRefP22_10x_0" localSheetId="58">'326'!$P$87</definedName>
    <definedName name="OSRRefP22_10x_0" localSheetId="51">'330'!$P$81:$P$82</definedName>
    <definedName name="OSRRefP22_10x_0" localSheetId="56">'331'!$P$124</definedName>
    <definedName name="OSRRefP22_10x_0" localSheetId="59">'332'!$P$74:$P$78</definedName>
    <definedName name="OSRRefP22_10x_0" localSheetId="73">'405'!$P$62</definedName>
    <definedName name="OSRRefP22_10x_0" localSheetId="75">'411'!$P$61:$P$64</definedName>
    <definedName name="OSRRefP22_10x_0" localSheetId="76">'412'!$P$60:$P$63</definedName>
    <definedName name="OSRRefP22_10x_0" localSheetId="77">'413'!$P$64:$P$71</definedName>
    <definedName name="OSRRefP22_10x_0" localSheetId="78">'414'!$P$63</definedName>
    <definedName name="OSRRefP22_10x_0" localSheetId="79">'415'!$P$65</definedName>
    <definedName name="OSRRefP22_10x_0" localSheetId="80">'418'!$P$64:$P$65</definedName>
    <definedName name="OSRRefP22_10x_0" localSheetId="88">'433'!$P$65</definedName>
    <definedName name="OSRRefP22_10x_0" localSheetId="90">'444'!$P$65</definedName>
    <definedName name="OSRRefP22_10x_0" localSheetId="91">'450'!$P$61</definedName>
    <definedName name="OSRRefP22_10x_0" localSheetId="72">'491'!$P$69</definedName>
    <definedName name="OSRRefP22_10x_0" localSheetId="86">'492'!$P$65</definedName>
    <definedName name="OSRRefP22_10x_0" localSheetId="93">'501'!$P$63</definedName>
    <definedName name="OSRRefP22_10x_0" localSheetId="39">'Div 2'!$P$63</definedName>
    <definedName name="OSRRefP22_10x_0" localSheetId="47">'Div 3'!$P$171:$P$172</definedName>
    <definedName name="OSRRefP22_10x_0" localSheetId="70">'Div 4'!$P$72</definedName>
    <definedName name="OSRRefP22_10x_0" localSheetId="92">'Div 5'!$P$63</definedName>
    <definedName name="OSRRefP22_10x_0" localSheetId="61">'Div 6'!$P$93</definedName>
    <definedName name="OSRRefP22_10x_0" localSheetId="2">Summary!$P$202:$P$203</definedName>
    <definedName name="OSRRefP22_11x_0" localSheetId="41">'201'!$P$63:$P$64</definedName>
    <definedName name="OSRRefP22_11x_0" localSheetId="42">'202'!$P$65</definedName>
    <definedName name="OSRRefP22_11x_0" localSheetId="43">'203'!$P$64:$P$66</definedName>
    <definedName name="OSRRefP22_11x_0" localSheetId="44">'204'!$P$65</definedName>
    <definedName name="OSRRefP22_11x_0" localSheetId="48">'300'!$P$170:$P$172</definedName>
    <definedName name="OSRRefP22_11x_0" localSheetId="49">'300 &amp; 317'!$P$194:$P$196</definedName>
    <definedName name="OSRRefP22_11x_0" localSheetId="50">'301'!$P$63</definedName>
    <definedName name="OSRRefP22_11x_0" localSheetId="52">'307'!$P$80:$P$83</definedName>
    <definedName name="OSRRefP22_11x_0" localSheetId="53">'308'!$P$105:$P$107</definedName>
    <definedName name="OSRRefP22_11x_0" localSheetId="63">'310'!$P$71</definedName>
    <definedName name="OSRRefP22_11x_0" localSheetId="71">'310 &amp; 491'!$P$78</definedName>
    <definedName name="OSRRefP22_11x_0" localSheetId="54">'311'!$P$104:$P$106</definedName>
    <definedName name="OSRRefP22_11x_0" localSheetId="65">'313'!$P$70</definedName>
    <definedName name="OSRRefP22_11x_0" localSheetId="57">'315'!$P$125</definedName>
    <definedName name="OSRRefP22_11x_0" localSheetId="60">'316'!$P$78</definedName>
    <definedName name="OSRRefP22_11x_0" localSheetId="62">'317'!$P$95:$P$98</definedName>
    <definedName name="OSRRefP22_11x_0" localSheetId="66">'321'!$P$70:$P$71</definedName>
    <definedName name="OSRRefP22_11x_0" localSheetId="67">'322'!$P$66</definedName>
    <definedName name="OSRRefP22_11x_0" localSheetId="68">'325'!$P$64:$P$67</definedName>
    <definedName name="OSRRefP22_11x_0" localSheetId="58">'326'!$P$89</definedName>
    <definedName name="OSRRefP22_11x_0" localSheetId="51">'330'!$P$84:$P$87</definedName>
    <definedName name="OSRRefP22_11x_0" localSheetId="56">'331'!$P$126:$P$127</definedName>
    <definedName name="OSRRefP22_11x_0" localSheetId="59">'332'!$P$80</definedName>
    <definedName name="OSRRefP22_11x_0" localSheetId="73">'405'!$P$64:$P$67</definedName>
    <definedName name="OSRRefP22_11x_0" localSheetId="75">'411'!$P$66:$P$67</definedName>
    <definedName name="OSRRefP22_11x_0" localSheetId="76">'412'!$P$65:$P$69</definedName>
    <definedName name="OSRRefP22_11x_0" localSheetId="77">'413'!$P$73:$P$74</definedName>
    <definedName name="OSRRefP22_11x_0" localSheetId="78">'414'!$P$65</definedName>
    <definedName name="OSRRefP22_11x_0" localSheetId="79">'415'!$P$67:$P$68</definedName>
    <definedName name="OSRRefP22_11x_0" localSheetId="80">'418'!$P$67:$P$76</definedName>
    <definedName name="OSRRefP22_11x_0" localSheetId="88">'433'!$P$67:$P$69</definedName>
    <definedName name="OSRRefP22_11x_0" localSheetId="90">'444'!$P$67:$P$70</definedName>
    <definedName name="OSRRefP22_11x_0" localSheetId="91">'450'!$P$63</definedName>
    <definedName name="OSRRefP22_11x_0" localSheetId="72">'491'!$P$71</definedName>
    <definedName name="OSRRefP22_11x_0" localSheetId="86">'492'!$P$67</definedName>
    <definedName name="OSRRefP22_11x_0" localSheetId="93">'501'!$P$65:$P$66</definedName>
    <definedName name="OSRRefP22_11x_0" localSheetId="39">'Div 2'!$P$65:$P$66</definedName>
    <definedName name="OSRRefP22_11x_0" localSheetId="47">'Div 3'!$P$174:$P$176</definedName>
    <definedName name="OSRRefP22_11x_0" localSheetId="70">'Div 4'!$P$74</definedName>
    <definedName name="OSRRefP22_11x_0" localSheetId="92">'Div 5'!$P$65:$P$66</definedName>
    <definedName name="OSRRefP22_11x_0" localSheetId="61">'Div 6'!$P$95:$P$98</definedName>
    <definedName name="OSRRefP22_11x_0" localSheetId="2">Summary!$P$205:$P$207</definedName>
    <definedName name="OSRRefP22_12x_0" localSheetId="41">'201'!$P$66</definedName>
    <definedName name="OSRRefP22_12x_0" localSheetId="42">'202'!$P$67</definedName>
    <definedName name="OSRRefP22_12x_0" localSheetId="43">'203'!$P$68</definedName>
    <definedName name="OSRRefP22_12x_0" localSheetId="44">'204'!$P$67</definedName>
    <definedName name="OSRRefP22_12x_0" localSheetId="48">'300'!$P$174</definedName>
    <definedName name="OSRRefP22_12x_0" localSheetId="49">'300 &amp; 317'!$P$198</definedName>
    <definedName name="OSRRefP22_12x_0" localSheetId="50">'301'!$P$65</definedName>
    <definedName name="OSRRefP22_12x_0" localSheetId="52">'307'!$P$85:$P$86</definedName>
    <definedName name="OSRRefP22_12x_0" localSheetId="53">'308'!$P$109:$P$110</definedName>
    <definedName name="OSRRefP22_12x_0" localSheetId="63">'310'!$P$73</definedName>
    <definedName name="OSRRefP22_12x_0" localSheetId="71">'310 &amp; 491'!$P$80</definedName>
    <definedName name="OSRRefP22_12x_0" localSheetId="54">'311'!$P$108:$P$109</definedName>
    <definedName name="OSRRefP22_12x_0" localSheetId="57">'315'!$P$127:$P$129</definedName>
    <definedName name="OSRRefP22_12x_0" localSheetId="60">'316'!$P$80</definedName>
    <definedName name="OSRRefP22_12x_0" localSheetId="62">'317'!$P$100</definedName>
    <definedName name="OSRRefP22_12x_0" localSheetId="66">'321'!$P$73</definedName>
    <definedName name="OSRRefP22_12x_0" localSheetId="68">'325'!$P$69:$P$71</definedName>
    <definedName name="OSRRefP22_12x_0" localSheetId="58">'326'!$P$91</definedName>
    <definedName name="OSRRefP22_12x_0" localSheetId="51">'330'!$P$89:$P$90</definedName>
    <definedName name="OSRRefP22_12x_0" localSheetId="56">'331'!$P$129</definedName>
    <definedName name="OSRRefP22_12x_0" localSheetId="59">'332'!$P$82</definedName>
    <definedName name="OSRRefP22_12x_0" localSheetId="73">'405'!$P$69</definedName>
    <definedName name="OSRRefP22_12x_0" localSheetId="75">'411'!$P$69:$P$75</definedName>
    <definedName name="OSRRefP22_12x_0" localSheetId="76">'412'!$P$71:$P$72</definedName>
    <definedName name="OSRRefP22_12x_0" localSheetId="77">'413'!$P$76</definedName>
    <definedName name="OSRRefP22_12x_0" localSheetId="78">'414'!$P$67:$P$69</definedName>
    <definedName name="OSRRefP22_12x_0" localSheetId="79">'415'!$P$70:$P$74</definedName>
    <definedName name="OSRRefP22_12x_0" localSheetId="80">'418'!$P$78:$P$79</definedName>
    <definedName name="OSRRefP22_12x_0" localSheetId="88">'433'!$P$71:$P$74</definedName>
    <definedName name="OSRRefP22_12x_0" localSheetId="90">'444'!$P$72:$P$75</definedName>
    <definedName name="OSRRefP22_12x_0" localSheetId="91">'450'!$P$65</definedName>
    <definedName name="OSRRefP22_12x_0" localSheetId="72">'491'!$P$73</definedName>
    <definedName name="OSRRefP22_12x_0" localSheetId="86">'492'!$P$69:$P$72</definedName>
    <definedName name="OSRRefP22_12x_0" localSheetId="93">'501'!$P$68</definedName>
    <definedName name="OSRRefP22_12x_0" localSheetId="39">'Div 2'!$P$68:$P$71</definedName>
    <definedName name="OSRRefP22_12x_0" localSheetId="47">'Div 3'!$P$178</definedName>
    <definedName name="OSRRefP22_12x_0" localSheetId="70">'Div 4'!$P$76</definedName>
    <definedName name="OSRRefP22_12x_0" localSheetId="92">'Div 5'!$P$68</definedName>
    <definedName name="OSRRefP22_12x_0" localSheetId="61">'Div 6'!$P$100</definedName>
    <definedName name="OSRRefP22_12x_0" localSheetId="2">Summary!$P$209</definedName>
    <definedName name="OSRRefP22_13x_0" localSheetId="41">'201'!$P$68:$P$70</definedName>
    <definedName name="OSRRefP22_13x_0" localSheetId="43">'203'!$P$70</definedName>
    <definedName name="OSRRefP22_13x_0" localSheetId="48">'300'!$P$176:$P$177</definedName>
    <definedName name="OSRRefP22_13x_0" localSheetId="49">'300 &amp; 317'!$P$200:$P$201</definedName>
    <definedName name="OSRRefP22_13x_0" localSheetId="50">'301'!$P$67</definedName>
    <definedName name="OSRRefP22_13x_0" localSheetId="52">'307'!$P$88</definedName>
    <definedName name="OSRRefP22_13x_0" localSheetId="53">'308'!$P$112</definedName>
    <definedName name="OSRRefP22_13x_0" localSheetId="63">'310'!$P$75:$P$78</definedName>
    <definedName name="OSRRefP22_13x_0" localSheetId="71">'310 &amp; 491'!$P$82:$P$85</definedName>
    <definedName name="OSRRefP22_13x_0" localSheetId="54">'311'!$P$111</definedName>
    <definedName name="OSRRefP22_13x_0" localSheetId="57">'315'!$P$131:$P$132</definedName>
    <definedName name="OSRRefP22_13x_0" localSheetId="62">'317'!$P$102</definedName>
    <definedName name="OSRRefP22_13x_0" localSheetId="66">'321'!$P$75</definedName>
    <definedName name="OSRRefP22_13x_0" localSheetId="68">'325'!$P$73</definedName>
    <definedName name="OSRRefP22_13x_0" localSheetId="58">'326'!$P$93:$P$95</definedName>
    <definedName name="OSRRefP22_13x_0" localSheetId="51">'330'!$P$92</definedName>
    <definedName name="OSRRefP22_13x_0" localSheetId="56">'331'!$P$131</definedName>
    <definedName name="OSRRefP22_13x_0" localSheetId="73">'405'!$P$71:$P$79</definedName>
    <definedName name="OSRRefP22_13x_0" localSheetId="75">'411'!$P$77</definedName>
    <definedName name="OSRRefP22_13x_0" localSheetId="76">'412'!$P$74</definedName>
    <definedName name="OSRRefP22_13x_0" localSheetId="78">'414'!$P$71</definedName>
    <definedName name="OSRRefP22_13x_0" localSheetId="79">'415'!$P$76</definedName>
    <definedName name="OSRRefP22_13x_0" localSheetId="80">'418'!$P$81</definedName>
    <definedName name="OSRRefP22_13x_0" localSheetId="88">'433'!$P$76:$P$83</definedName>
    <definedName name="OSRRefP22_13x_0" localSheetId="90">'444'!$P$77</definedName>
    <definedName name="OSRRefP22_13x_0" localSheetId="91">'450'!$P$67:$P$69</definedName>
    <definedName name="OSRRefP22_13x_0" localSheetId="72">'491'!$P$75:$P$78</definedName>
    <definedName name="OSRRefP22_13x_0" localSheetId="86">'492'!$P$74:$P$77</definedName>
    <definedName name="OSRRefP22_13x_0" localSheetId="93">'501'!$P$70</definedName>
    <definedName name="OSRRefP22_13x_0" localSheetId="39">'Div 2'!$P$73:$P$76</definedName>
    <definedName name="OSRRefP22_13x_0" localSheetId="47">'Div 3'!$P$180</definedName>
    <definedName name="OSRRefP22_13x_0" localSheetId="70">'Div 4'!$P$78</definedName>
    <definedName name="OSRRefP22_13x_0" localSheetId="92">'Div 5'!$P$70</definedName>
    <definedName name="OSRRefP22_13x_0" localSheetId="61">'Div 6'!$P$102</definedName>
    <definedName name="OSRRefP22_13x_0" localSheetId="2">Summary!$P$211</definedName>
    <definedName name="OSRRefP22_14x_0" localSheetId="41">'201'!$P$72</definedName>
    <definedName name="OSRRefP22_14x_0" localSheetId="43">'203'!$P$72</definedName>
    <definedName name="OSRRefP22_14x_0" localSheetId="48">'300'!$P$179</definedName>
    <definedName name="OSRRefP22_14x_0" localSheetId="49">'300 &amp; 317'!$P$203</definedName>
    <definedName name="OSRRefP22_14x_0" localSheetId="50">'301'!$P$69</definedName>
    <definedName name="OSRRefP22_14x_0" localSheetId="53">'308'!$P$114</definedName>
    <definedName name="OSRRefP22_14x_0" localSheetId="63">'310'!$P$80:$P$81</definedName>
    <definedName name="OSRRefP22_14x_0" localSheetId="71">'310 &amp; 491'!$P$87:$P$88</definedName>
    <definedName name="OSRRefP22_14x_0" localSheetId="54">'311'!$P$113</definedName>
    <definedName name="OSRRefP22_14x_0" localSheetId="57">'315'!$P$134:$P$140</definedName>
    <definedName name="OSRRefP22_14x_0" localSheetId="68">'325'!$P$75:$P$79</definedName>
    <definedName name="OSRRefP22_14x_0" localSheetId="58">'326'!$P$97:$P$99</definedName>
    <definedName name="OSRRefP22_14x_0" localSheetId="56">'331'!$P$133:$P$135</definedName>
    <definedName name="OSRRefP22_14x_0" localSheetId="73">'405'!$P$81</definedName>
    <definedName name="OSRRefP22_14x_0" localSheetId="75">'411'!$P$79</definedName>
    <definedName name="OSRRefP22_14x_0" localSheetId="78">'414'!$P$73</definedName>
    <definedName name="OSRRefP22_14x_0" localSheetId="79">'415'!$P$78:$P$85</definedName>
    <definedName name="OSRRefP22_14x_0" localSheetId="88">'433'!$P$85</definedName>
    <definedName name="OSRRefP22_14x_0" localSheetId="90">'444'!$P$79:$P$87</definedName>
    <definedName name="OSRRefP22_14x_0" localSheetId="91">'450'!$P$71:$P$77</definedName>
    <definedName name="OSRRefP22_14x_0" localSheetId="72">'491'!$P$80:$P$81</definedName>
    <definedName name="OSRRefP22_14x_0" localSheetId="86">'492'!$P$79</definedName>
    <definedName name="OSRRefP22_14x_0" localSheetId="39">'Div 2'!$P$78:$P$79</definedName>
    <definedName name="OSRRefP22_14x_0" localSheetId="47">'Div 3'!$P$182:$P$183</definedName>
    <definedName name="OSRRefP22_14x_0" localSheetId="70">'Div 4'!$P$80</definedName>
    <definedName name="OSRRefP22_14x_0" localSheetId="2">Summary!$P$213:$P$214</definedName>
    <definedName name="OSRRefP22_15x_0" localSheetId="41">'201'!$P$74</definedName>
    <definedName name="OSRRefP22_15x_0" localSheetId="48">'300'!$P$181</definedName>
    <definedName name="OSRRefP22_15x_0" localSheetId="49">'300 &amp; 317'!$P$205</definedName>
    <definedName name="OSRRefP22_15x_0" localSheetId="50">'301'!$P$71:$P$74</definedName>
    <definedName name="OSRRefP22_15x_0" localSheetId="63">'310'!$P$83:$P$86</definedName>
    <definedName name="OSRRefP22_15x_0" localSheetId="71">'310 &amp; 491'!$P$90:$P$94</definedName>
    <definedName name="OSRRefP22_15x_0" localSheetId="57">'315'!$P$142</definedName>
    <definedName name="OSRRefP22_15x_0" localSheetId="68">'325'!$P$81:$P$82</definedName>
    <definedName name="OSRRefP22_15x_0" localSheetId="58">'326'!$P$101:$P$102</definedName>
    <definedName name="OSRRefP22_15x_0" localSheetId="56">'331'!$P$137:$P$139</definedName>
    <definedName name="OSRRefP22_15x_0" localSheetId="73">'405'!$P$83</definedName>
    <definedName name="OSRRefP22_15x_0" localSheetId="75">'411'!$P$81</definedName>
    <definedName name="OSRRefP22_15x_0" localSheetId="78">'414'!$P$75</definedName>
    <definedName name="OSRRefP22_15x_0" localSheetId="79">'415'!$P$87:$P$88</definedName>
    <definedName name="OSRRefP22_15x_0" localSheetId="88">'433'!$P$87</definedName>
    <definedName name="OSRRefP22_15x_0" localSheetId="90">'444'!$P$89:$P$90</definedName>
    <definedName name="OSRRefP22_15x_0" localSheetId="91">'450'!$P$79:$P$80</definedName>
    <definedName name="OSRRefP22_15x_0" localSheetId="72">'491'!$P$83:$P$87</definedName>
    <definedName name="OSRRefP22_15x_0" localSheetId="86">'492'!$P$81:$P$90</definedName>
    <definedName name="OSRRefP22_15x_0" localSheetId="39">'Div 2'!$P$81:$P$82</definedName>
    <definedName name="OSRRefP22_15x_0" localSheetId="47">'Div 3'!$P$185</definedName>
    <definedName name="OSRRefP22_15x_0" localSheetId="70">'Div 4'!$P$82:$P$85</definedName>
    <definedName name="OSRRefP22_15x_0" localSheetId="2">Summary!$P$216</definedName>
    <definedName name="OSRRefP22_16x_0" localSheetId="41">'201'!$P$76</definedName>
    <definedName name="OSRRefP22_16x_0" localSheetId="48">'300'!$P$183:$P$186</definedName>
    <definedName name="OSRRefP22_16x_0" localSheetId="49">'300 &amp; 317'!$P$207:$P$210</definedName>
    <definedName name="OSRRefP22_16x_0" localSheetId="50">'301'!$P$76:$P$78</definedName>
    <definedName name="OSRRefP22_16x_0" localSheetId="63">'310'!$P$88</definedName>
    <definedName name="OSRRefP22_16x_0" localSheetId="71">'310 &amp; 491'!$P$96:$P$97</definedName>
    <definedName name="OSRRefP22_16x_0" localSheetId="57">'315'!$P$144</definedName>
    <definedName name="OSRRefP22_16x_0" localSheetId="68">'325'!$P$84</definedName>
    <definedName name="OSRRefP22_16x_0" localSheetId="58">'326'!$P$104:$P$109</definedName>
    <definedName name="OSRRefP22_16x_0" localSheetId="56">'331'!$P$141:$P$143</definedName>
    <definedName name="OSRRefP22_16x_0" localSheetId="73">'405'!$P$85</definedName>
    <definedName name="OSRRefP22_16x_0" localSheetId="79">'415'!$P$90</definedName>
    <definedName name="OSRRefP22_16x_0" localSheetId="90">'444'!$P$92</definedName>
    <definedName name="OSRRefP22_16x_0" localSheetId="91">'450'!$P$82</definedName>
    <definedName name="OSRRefP22_16x_0" localSheetId="72">'491'!$P$89:$P$90</definedName>
    <definedName name="OSRRefP22_16x_0" localSheetId="86">'492'!$P$92:$P$93</definedName>
    <definedName name="OSRRefP22_16x_0" localSheetId="39">'Div 2'!$P$84:$P$88</definedName>
    <definedName name="OSRRefP22_16x_0" localSheetId="47">'Div 3'!$P$187</definedName>
    <definedName name="OSRRefP22_16x_0" localSheetId="70">'Div 4'!$P$87:$P$88</definedName>
    <definedName name="OSRRefP22_16x_0" localSheetId="2">Summary!$P$218</definedName>
    <definedName name="OSRRefP22_17x_0" localSheetId="48">'300'!$P$188:$P$191</definedName>
    <definedName name="OSRRefP22_17x_0" localSheetId="49">'300 &amp; 317'!$P$212:$P$215</definedName>
    <definedName name="OSRRefP22_17x_0" localSheetId="50">'301'!$P$80</definedName>
    <definedName name="OSRRefP22_17x_0" localSheetId="63">'310'!$P$90:$P$96</definedName>
    <definedName name="OSRRefP22_17x_0" localSheetId="71">'310 &amp; 491'!$P$99:$P$109</definedName>
    <definedName name="OSRRefP22_17x_0" localSheetId="57">'315'!$P$146:$P$147</definedName>
    <definedName name="OSRRefP22_17x_0" localSheetId="68">'325'!$P$86</definedName>
    <definedName name="OSRRefP22_17x_0" localSheetId="58">'326'!$P$111:$P$112</definedName>
    <definedName name="OSRRefP22_17x_0" localSheetId="56">'331'!$P$145:$P$146</definedName>
    <definedName name="OSRRefP22_17x_0" localSheetId="73">'405'!$P$87</definedName>
    <definedName name="OSRRefP22_17x_0" localSheetId="79">'415'!$P$92:$P$93</definedName>
    <definedName name="OSRRefP22_17x_0" localSheetId="90">'444'!$P$94</definedName>
    <definedName name="OSRRefP22_17x_0" localSheetId="72">'491'!$P$92:$P$102</definedName>
    <definedName name="OSRRefP22_17x_0" localSheetId="86">'492'!$P$95</definedName>
    <definedName name="OSRRefP22_17x_0" localSheetId="39">'Div 2'!$P$90:$P$91</definedName>
    <definedName name="OSRRefP22_17x_0" localSheetId="47">'Div 3'!$P$189:$P$192</definedName>
    <definedName name="OSRRefP22_17x_0" localSheetId="70">'Div 4'!$P$90:$P$94</definedName>
    <definedName name="OSRRefP22_17x_0" localSheetId="2">Summary!$P$220</definedName>
    <definedName name="OSRRefP22_18x_0" localSheetId="48">'300'!$P$193:$P$196</definedName>
    <definedName name="OSRRefP22_18x_0" localSheetId="49">'300 &amp; 317'!$P$217:$P$220</definedName>
    <definedName name="OSRRefP22_18x_0" localSheetId="50">'301'!$P$82:$P$88</definedName>
    <definedName name="OSRRefP22_18x_0" localSheetId="63">'310'!$P$98:$P$99</definedName>
    <definedName name="OSRRefP22_18x_0" localSheetId="71">'310 &amp; 491'!$P$111:$P$112</definedName>
    <definedName name="OSRRefP22_18x_0" localSheetId="58">'326'!$P$114</definedName>
    <definedName name="OSRRefP22_18x_0" localSheetId="56">'331'!$P$148:$P$155</definedName>
    <definedName name="OSRRefP22_18x_0" localSheetId="79">'415'!$P$95</definedName>
    <definedName name="OSRRefP22_18x_0" localSheetId="72">'491'!$P$104:$P$105</definedName>
    <definedName name="OSRRefP22_18x_0" localSheetId="86">'492'!$P$97:$P$98</definedName>
    <definedName name="OSRRefP22_18x_0" localSheetId="39">'Div 2'!$P$93</definedName>
    <definedName name="OSRRefP22_18x_0" localSheetId="47">'Div 3'!$P$194:$P$197</definedName>
    <definedName name="OSRRefP22_18x_0" localSheetId="70">'Div 4'!$P$96:$P$97</definedName>
    <definedName name="OSRRefP22_18x_0" localSheetId="2">Summary!$P$222:$P$225</definedName>
    <definedName name="OSRRefP22_19x_0" localSheetId="48">'300'!$P$198:$P$199</definedName>
    <definedName name="OSRRefP22_19x_0" localSheetId="49">'300 &amp; 317'!$P$222:$P$223</definedName>
    <definedName name="OSRRefP22_19x_0" localSheetId="50">'301'!$P$90</definedName>
    <definedName name="OSRRefP22_19x_0" localSheetId="63">'310'!$P$101</definedName>
    <definedName name="OSRRefP22_19x_0" localSheetId="71">'310 &amp; 491'!$P$114</definedName>
    <definedName name="OSRRefP22_19x_0" localSheetId="58">'326'!$P$116:$P$117</definedName>
    <definedName name="OSRRefP22_19x_0" localSheetId="56">'331'!$P$157:$P$158</definedName>
    <definedName name="OSRRefP22_19x_0" localSheetId="72">'491'!$P$107</definedName>
    <definedName name="OSRRefP22_19x_0" localSheetId="39">'Div 2'!$P$95:$P$96</definedName>
    <definedName name="OSRRefP22_19x_0" localSheetId="47">'Div 3'!$P$199:$P$203</definedName>
    <definedName name="OSRRefP22_19x_0" localSheetId="70">'Div 4'!$P$99:$P$109</definedName>
    <definedName name="OSRRefP22_19x_0" localSheetId="2">Summary!$P$227:$P$230</definedName>
    <definedName name="OSRRefP22_1x_0" localSheetId="40">'200'!$P$22</definedName>
    <definedName name="OSRRefP22_1x_0" localSheetId="41">'201'!$P$31:$P$40</definedName>
    <definedName name="OSRRefP22_1x_0" localSheetId="42">'202'!$P$31:$P$40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'300'!$P$136:$P$145</definedName>
    <definedName name="OSRRefP22_1x_0" localSheetId="49">'300 &amp; 317'!$P$160:$P$169</definedName>
    <definedName name="OSRRefP22_1x_0" localSheetId="50">'301'!$P$32:$P$41</definedName>
    <definedName name="OSRRefP22_1x_0" localSheetId="52">'307'!$P$48:$P$57</definedName>
    <definedName name="OSRRefP22_1x_0" localSheetId="53">'308'!$P$70:$P$79</definedName>
    <definedName name="OSRRefP22_1x_0" localSheetId="64">'309'!$P$31:$P$40</definedName>
    <definedName name="OSRRefP22_1x_0" localSheetId="63">'310'!$P$41:$P$50</definedName>
    <definedName name="OSRRefP22_1x_0" localSheetId="71">'310 &amp; 491'!$P$46:$P$55</definedName>
    <definedName name="OSRRefP22_1x_0" localSheetId="54">'311'!$P$69:$P$78</definedName>
    <definedName name="OSRRefP22_1x_0" localSheetId="65">'313'!$P$37:$P$46</definedName>
    <definedName name="OSRRefP22_1x_0" localSheetId="57">'315'!$P$93:$P$102</definedName>
    <definedName name="OSRRefP22_1x_0" localSheetId="60">'316'!$P$42:$P$51</definedName>
    <definedName name="OSRRefP22_1x_0" localSheetId="62">'317'!$P$64:$P$73</definedName>
    <definedName name="OSRRefP22_1x_0" localSheetId="66">'321'!$P$36:$P$45</definedName>
    <definedName name="OSRRefP22_1x_0" localSheetId="67">'322'!$P$32:$P$41</definedName>
    <definedName name="OSRRefP22_1x_0" localSheetId="55">'324'!$P$36:$P$45</definedName>
    <definedName name="OSRRefP22_1x_0" localSheetId="68">'325'!$P$34:$P$43</definedName>
    <definedName name="OSRRefP22_1x_0" localSheetId="58">'326'!$P$59:$P$68</definedName>
    <definedName name="OSRRefP22_1x_0" localSheetId="69">'327'!$P$27</definedName>
    <definedName name="OSRRefP22_1x_0" localSheetId="51">'330'!$P$52:$P$61</definedName>
    <definedName name="OSRRefP22_1x_0" localSheetId="56">'331'!$P$94:$P$103</definedName>
    <definedName name="OSRRefP22_1x_0" localSheetId="59">'332'!$P$44:$P$53</definedName>
    <definedName name="OSRRefP22_1x_0" localSheetId="73">'405'!$P$33:$P$42</definedName>
    <definedName name="OSRRefP22_1x_0" localSheetId="74">'406'!$P$22</definedName>
    <definedName name="OSRRefP22_1x_0" localSheetId="75">'411'!$P$30:$P$39</definedName>
    <definedName name="OSRRefP22_1x_0" localSheetId="76">'412'!$P$31:$P$40</definedName>
    <definedName name="OSRRefP22_1x_0" localSheetId="77">'413'!$P$33:$P$42</definedName>
    <definedName name="OSRRefP22_1x_0" localSheetId="78">'414'!$P$35:$P$44</definedName>
    <definedName name="OSRRefP22_1x_0" localSheetId="79">'415'!$P$37:$P$46</definedName>
    <definedName name="OSRRefP22_1x_0" localSheetId="80">'418'!$P$33:$P$42</definedName>
    <definedName name="OSRRefP22_1x_0" localSheetId="81">'420'!$P$24</definedName>
    <definedName name="OSRRefP22_1x_0" localSheetId="82">'423'!$P$29:$P$38</definedName>
    <definedName name="OSRRefP22_1x_0" localSheetId="83">'424'!$P$22</definedName>
    <definedName name="OSRRefP22_1x_0" localSheetId="84">'425'!$P$27</definedName>
    <definedName name="OSRRefP22_1x_0" localSheetId="87">'430'!$P$30:$P$39</definedName>
    <definedName name="OSRRefP22_1x_0" localSheetId="88">'433'!$P$38:$P$47</definedName>
    <definedName name="OSRRefP22_1x_0" localSheetId="90">'444'!$P$38:$P$47</definedName>
    <definedName name="OSRRefP22_1x_0" localSheetId="91">'450'!$P$34:$P$43</definedName>
    <definedName name="OSRRefP22_1x_0" localSheetId="72">'491'!$P$40:$P$49</definedName>
    <definedName name="OSRRefP22_1x_0" localSheetId="86">'492'!$P$38:$P$47</definedName>
    <definedName name="OSRRefP22_1x_0" localSheetId="93">'501'!$P$32:$P$41</definedName>
    <definedName name="OSRRefP22_1x_0" localSheetId="39">'Div 2'!$P$33:$P$42</definedName>
    <definedName name="OSRRefP22_1x_0" localSheetId="47">'Div 3'!$P$140:$P$149</definedName>
    <definedName name="OSRRefP22_1x_0" localSheetId="70">'Div 4'!$P$43:$P$52</definedName>
    <definedName name="OSRRefP22_1x_0" localSheetId="92">'Div 5'!$P$32:$P$41</definedName>
    <definedName name="OSRRefP22_1x_0" localSheetId="61">'Div 6'!$P$64:$P$73</definedName>
    <definedName name="OSRRefP22_1x_0" localSheetId="2">Summary!$P$170:$P$179</definedName>
    <definedName name="OSRRefP22_20x_0" localSheetId="48">'300'!$P$201:$P$209</definedName>
    <definedName name="OSRRefP22_20x_0" localSheetId="49">'300 &amp; 317'!$P$225:$P$233</definedName>
    <definedName name="OSRRefP22_20x_0" localSheetId="50">'301'!$P$92</definedName>
    <definedName name="OSRRefP22_20x_0" localSheetId="63">'310'!$P$103</definedName>
    <definedName name="OSRRefP22_20x_0" localSheetId="71">'310 &amp; 491'!$P$116:$P$118</definedName>
    <definedName name="OSRRefP22_20x_0" localSheetId="58">'326'!$P$119</definedName>
    <definedName name="OSRRefP22_20x_0" localSheetId="56">'331'!$P$160</definedName>
    <definedName name="OSRRefP22_20x_0" localSheetId="72">'491'!$P$109:$P$111</definedName>
    <definedName name="OSRRefP22_20x_0" localSheetId="47">'Div 3'!$P$205:$P$206</definedName>
    <definedName name="OSRRefP22_20x_0" localSheetId="70">'Div 4'!$P$111:$P$112</definedName>
    <definedName name="OSRRefP22_20x_0" localSheetId="2">Summary!$P$232:$P$236</definedName>
    <definedName name="OSRRefP22_21x_0" localSheetId="48">'300'!$P$211:$P$212</definedName>
    <definedName name="OSRRefP22_21x_0" localSheetId="49">'300 &amp; 317'!$P$235:$P$236</definedName>
    <definedName name="OSRRefP22_21x_0" localSheetId="50">'301'!$P$94:$P$95</definedName>
    <definedName name="OSRRefP22_21x_0" localSheetId="63">'310'!$P$105</definedName>
    <definedName name="OSRRefP22_21x_0" localSheetId="71">'310 &amp; 491'!$P$120</definedName>
    <definedName name="OSRRefP22_21x_0" localSheetId="56">'331'!$P$162:$P$163</definedName>
    <definedName name="OSRRefP22_21x_0" localSheetId="72">'491'!$P$113</definedName>
    <definedName name="OSRRefP22_21x_0" localSheetId="47">'Div 3'!$P$208:$P$216</definedName>
    <definedName name="OSRRefP22_21x_0" localSheetId="70">'Div 4'!$P$114</definedName>
    <definedName name="OSRRefP22_21x_0" localSheetId="2">Summary!$P$238:$P$239</definedName>
    <definedName name="OSRRefP22_22x_0" localSheetId="48">'300'!$P$214</definedName>
    <definedName name="OSRRefP22_22x_0" localSheetId="49">'300 &amp; 317'!$P$238</definedName>
    <definedName name="OSRRefP22_22x_0" localSheetId="50">'301'!$P$97</definedName>
    <definedName name="OSRRefP22_22x_0" localSheetId="56">'331'!$P$165</definedName>
    <definedName name="OSRRefP22_22x_0" localSheetId="47">'Div 3'!$P$218:$P$219</definedName>
    <definedName name="OSRRefP22_22x_0" localSheetId="70">'Div 4'!$P$116:$P$118</definedName>
    <definedName name="OSRRefP22_22x_0" localSheetId="2">Summary!$P$241:$P$251</definedName>
    <definedName name="OSRRefP22_23x_0" localSheetId="48">'300'!$P$216:$P$218</definedName>
    <definedName name="OSRRefP22_23x_0" localSheetId="49">'300 &amp; 317'!$P$240:$P$242</definedName>
    <definedName name="OSRRefP22_23x_0" localSheetId="47">'Div 3'!$P$221</definedName>
    <definedName name="OSRRefP22_23x_0" localSheetId="70">'Div 4'!$P$120</definedName>
    <definedName name="OSRRefP22_23x_0" localSheetId="2">Summary!$P$253:$P$254</definedName>
    <definedName name="OSRRefP22_24x_0" localSheetId="48">'300'!$P$220</definedName>
    <definedName name="OSRRefP22_24x_0" localSheetId="49">'300 &amp; 317'!$P$244</definedName>
    <definedName name="OSRRefP22_24x_0" localSheetId="47">'Div 3'!$P$223:$P$225</definedName>
    <definedName name="OSRRefP22_24x_0" localSheetId="2">Summary!$P$256</definedName>
    <definedName name="OSRRefP22_25x_0" localSheetId="47">'Div 3'!$P$227</definedName>
    <definedName name="OSRRefP22_25x_0" localSheetId="2">Summary!$P$258:$P$260</definedName>
    <definedName name="OSRRefP22_26x_0" localSheetId="2">Summary!$P$262</definedName>
    <definedName name="OSRRefP22_2x_0" localSheetId="40">'200'!$P$24</definedName>
    <definedName name="OSRRefP22_2x_0" localSheetId="41">'201'!$P$42</definedName>
    <definedName name="OSRRefP22_2x_0" localSheetId="42">'202'!$P$42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'300'!$P$147</definedName>
    <definedName name="OSRRefP22_2x_0" localSheetId="49">'300 &amp; 317'!$P$171</definedName>
    <definedName name="OSRRefP22_2x_0" localSheetId="50">'301'!$P$43</definedName>
    <definedName name="OSRRefP22_2x_0" localSheetId="52">'307'!$P$59</definedName>
    <definedName name="OSRRefP22_2x_0" localSheetId="53">'308'!$P$81</definedName>
    <definedName name="OSRRefP22_2x_0" localSheetId="64">'309'!$P$42</definedName>
    <definedName name="OSRRefP22_2x_0" localSheetId="63">'310'!$P$52</definedName>
    <definedName name="OSRRefP22_2x_0" localSheetId="71">'310 &amp; 491'!$P$57</definedName>
    <definedName name="OSRRefP22_2x_0" localSheetId="54">'311'!$P$80</definedName>
    <definedName name="OSRRefP22_2x_0" localSheetId="65">'313'!$P$48</definedName>
    <definedName name="OSRRefP22_2x_0" localSheetId="57">'315'!$P$104</definedName>
    <definedName name="OSRRefP22_2x_0" localSheetId="60">'316'!$P$53</definedName>
    <definedName name="OSRRefP22_2x_0" localSheetId="62">'317'!$P$75</definedName>
    <definedName name="OSRRefP22_2x_0" localSheetId="66">'321'!$P$47</definedName>
    <definedName name="OSRRefP22_2x_0" localSheetId="67">'322'!$P$43</definedName>
    <definedName name="OSRRefP22_2x_0" localSheetId="68">'325'!$P$45</definedName>
    <definedName name="OSRRefP22_2x_0" localSheetId="58">'326'!$P$70</definedName>
    <definedName name="OSRRefP22_2x_0" localSheetId="51">'330'!$P$63</definedName>
    <definedName name="OSRRefP22_2x_0" localSheetId="56">'331'!$P$105</definedName>
    <definedName name="OSRRefP22_2x_0" localSheetId="59">'332'!$P$55</definedName>
    <definedName name="OSRRefP22_2x_0" localSheetId="73">'405'!$P$44</definedName>
    <definedName name="OSRRefP22_2x_0" localSheetId="74">'406'!$P$24</definedName>
    <definedName name="OSRRefP22_2x_0" localSheetId="75">'411'!$P$41</definedName>
    <definedName name="OSRRefP22_2x_0" localSheetId="76">'412'!$P$42</definedName>
    <definedName name="OSRRefP22_2x_0" localSheetId="77">'413'!$P$44</definedName>
    <definedName name="OSRRefP22_2x_0" localSheetId="78">'414'!$P$46</definedName>
    <definedName name="OSRRefP22_2x_0" localSheetId="79">'415'!$P$48</definedName>
    <definedName name="OSRRefP22_2x_0" localSheetId="80">'418'!$P$44</definedName>
    <definedName name="OSRRefP22_2x_0" localSheetId="82">'423'!$P$40</definedName>
    <definedName name="OSRRefP22_2x_0" localSheetId="83">'424'!$P$24</definedName>
    <definedName name="OSRRefP22_2x_0" localSheetId="84">'425'!$P$29</definedName>
    <definedName name="OSRRefP22_2x_0" localSheetId="87">'430'!$P$41</definedName>
    <definedName name="OSRRefP22_2x_0" localSheetId="88">'433'!$P$49</definedName>
    <definedName name="OSRRefP22_2x_0" localSheetId="90">'444'!$P$49</definedName>
    <definedName name="OSRRefP22_2x_0" localSheetId="91">'450'!$P$45</definedName>
    <definedName name="OSRRefP22_2x_0" localSheetId="72">'491'!$P$51</definedName>
    <definedName name="OSRRefP22_2x_0" localSheetId="86">'492'!$P$49</definedName>
    <definedName name="OSRRefP22_2x_0" localSheetId="93">'501'!$P$43</definedName>
    <definedName name="OSRRefP22_2x_0" localSheetId="39">'Div 2'!$P$44</definedName>
    <definedName name="OSRRefP22_2x_0" localSheetId="47">'Div 3'!$P$151</definedName>
    <definedName name="OSRRefP22_2x_0" localSheetId="70">'Div 4'!$P$54</definedName>
    <definedName name="OSRRefP22_2x_0" localSheetId="92">'Div 5'!$P$43</definedName>
    <definedName name="OSRRefP22_2x_0" localSheetId="61">'Div 6'!$P$75</definedName>
    <definedName name="OSRRefP22_2x_0" localSheetId="2">Summary!$P$181</definedName>
    <definedName name="OSRRefP22_3x_0" localSheetId="40">'200'!$P$26</definedName>
    <definedName name="OSRRefP22_3x_0" localSheetId="41">'201'!$P$44</definedName>
    <definedName name="OSRRefP22_3x_0" localSheetId="42">'202'!$P$44</definedName>
    <definedName name="OSRRefP22_3x_0" localSheetId="43">'203'!$P$44</definedName>
    <definedName name="OSRRefP22_3x_0" localSheetId="44">'204'!$P$44:$P$45</definedName>
    <definedName name="OSRRefP22_3x_0" localSheetId="45">'205'!$P$43</definedName>
    <definedName name="OSRRefP22_3x_0" localSheetId="46">'206'!$P$43</definedName>
    <definedName name="OSRRefP22_3x_0" localSheetId="48">'300'!$P$149:$P$150</definedName>
    <definedName name="OSRRefP22_3x_0" localSheetId="49">'300 &amp; 317'!$P$173:$P$174</definedName>
    <definedName name="OSRRefP22_3x_0" localSheetId="50">'301'!$P$45:$P$46</definedName>
    <definedName name="OSRRefP22_3x_0" localSheetId="52">'307'!$P$61</definedName>
    <definedName name="OSRRefP22_3x_0" localSheetId="53">'308'!$P$83:$P$84</definedName>
    <definedName name="OSRRefP22_3x_0" localSheetId="64">'309'!$P$44</definedName>
    <definedName name="OSRRefP22_3x_0" localSheetId="63">'310'!$P$54</definedName>
    <definedName name="OSRRefP22_3x_0" localSheetId="71">'310 &amp; 491'!$P$59</definedName>
    <definedName name="OSRRefP22_3x_0" localSheetId="54">'311'!$P$82:$P$83</definedName>
    <definedName name="OSRRefP22_3x_0" localSheetId="65">'313'!$P$50</definedName>
    <definedName name="OSRRefP22_3x_0" localSheetId="57">'315'!$P$106</definedName>
    <definedName name="OSRRefP22_3x_0" localSheetId="60">'316'!$P$55</definedName>
    <definedName name="OSRRefP22_3x_0" localSheetId="62">'317'!$P$77</definedName>
    <definedName name="OSRRefP22_3x_0" localSheetId="66">'321'!$P$49</definedName>
    <definedName name="OSRRefP22_3x_0" localSheetId="67">'322'!$P$45</definedName>
    <definedName name="OSRRefP22_3x_0" localSheetId="68">'325'!$P$47</definedName>
    <definedName name="OSRRefP22_3x_0" localSheetId="58">'326'!$P$72</definedName>
    <definedName name="OSRRefP22_3x_0" localSheetId="51">'330'!$P$65</definedName>
    <definedName name="OSRRefP22_3x_0" localSheetId="56">'331'!$P$107</definedName>
    <definedName name="OSRRefP22_3x_0" localSheetId="59">'332'!$P$57</definedName>
    <definedName name="OSRRefP22_3x_0" localSheetId="73">'405'!$P$46</definedName>
    <definedName name="OSRRefP22_3x_0" localSheetId="74">'406'!$P$26</definedName>
    <definedName name="OSRRefP22_3x_0" localSheetId="75">'411'!$P$43</definedName>
    <definedName name="OSRRefP22_3x_0" localSheetId="76">'412'!$P$44</definedName>
    <definedName name="OSRRefP22_3x_0" localSheetId="77">'413'!$P$46</definedName>
    <definedName name="OSRRefP22_3x_0" localSheetId="78">'414'!$P$48</definedName>
    <definedName name="OSRRefP22_3x_0" localSheetId="79">'415'!$P$50</definedName>
    <definedName name="OSRRefP22_3x_0" localSheetId="80">'418'!$P$46</definedName>
    <definedName name="OSRRefP22_3x_0" localSheetId="82">'423'!$P$42:$P$43</definedName>
    <definedName name="OSRRefP22_3x_0" localSheetId="83">'424'!$P$26</definedName>
    <definedName name="OSRRefP22_3x_0" localSheetId="84">'425'!$P$31</definedName>
    <definedName name="OSRRefP22_3x_0" localSheetId="87">'430'!$P$43</definedName>
    <definedName name="OSRRefP22_3x_0" localSheetId="88">'433'!$P$51</definedName>
    <definedName name="OSRRefP22_3x_0" localSheetId="90">'444'!$P$51</definedName>
    <definedName name="OSRRefP22_3x_0" localSheetId="91">'450'!$P$47</definedName>
    <definedName name="OSRRefP22_3x_0" localSheetId="72">'491'!$P$53</definedName>
    <definedName name="OSRRefP22_3x_0" localSheetId="86">'492'!$P$51</definedName>
    <definedName name="OSRRefP22_3x_0" localSheetId="93">'501'!$P$45</definedName>
    <definedName name="OSRRefP22_3x_0" localSheetId="39">'Div 2'!$P$46</definedName>
    <definedName name="OSRRefP22_3x_0" localSheetId="47">'Div 3'!$P$153:$P$154</definedName>
    <definedName name="OSRRefP22_3x_0" localSheetId="70">'Div 4'!$P$56</definedName>
    <definedName name="OSRRefP22_3x_0" localSheetId="92">'Div 5'!$P$45</definedName>
    <definedName name="OSRRefP22_3x_0" localSheetId="61">'Div 6'!$P$77</definedName>
    <definedName name="OSRRefP22_3x_0" localSheetId="2">Summary!$P$183:$P$184</definedName>
    <definedName name="OSRRefP22_4x_0" localSheetId="40">'200'!$P$28:$P$29</definedName>
    <definedName name="OSRRefP22_4x_0" localSheetId="41">'201'!$P$46:$P$47</definedName>
    <definedName name="OSRRefP22_4x_0" localSheetId="42">'202'!$P$46:$P$47</definedName>
    <definedName name="OSRRefP22_4x_0" localSheetId="43">'203'!$P$46</definedName>
    <definedName name="OSRRefP22_4x_0" localSheetId="44">'204'!$P$47</definedName>
    <definedName name="OSRRefP22_4x_0" localSheetId="45">'205'!$P$45:$P$47</definedName>
    <definedName name="OSRRefP22_4x_0" localSheetId="46">'206'!$P$45</definedName>
    <definedName name="OSRRefP22_4x_0" localSheetId="48">'300'!$P$152</definedName>
    <definedName name="OSRRefP22_4x_0" localSheetId="49">'300 &amp; 317'!$P$176</definedName>
    <definedName name="OSRRefP22_4x_0" localSheetId="50">'301'!$P$48</definedName>
    <definedName name="OSRRefP22_4x_0" localSheetId="52">'307'!$P$63</definedName>
    <definedName name="OSRRefP22_4x_0" localSheetId="53">'308'!$P$86</definedName>
    <definedName name="OSRRefP22_4x_0" localSheetId="64">'309'!$P$46</definedName>
    <definedName name="OSRRefP22_4x_0" localSheetId="63">'310'!$P$56</definedName>
    <definedName name="OSRRefP22_4x_0" localSheetId="71">'310 &amp; 491'!$P$61</definedName>
    <definedName name="OSRRefP22_4x_0" localSheetId="54">'311'!$P$85</definedName>
    <definedName name="OSRRefP22_4x_0" localSheetId="65">'313'!$P$52</definedName>
    <definedName name="OSRRefP22_4x_0" localSheetId="57">'315'!$P$108</definedName>
    <definedName name="OSRRefP22_4x_0" localSheetId="60">'316'!$P$57</definedName>
    <definedName name="OSRRefP22_4x_0" localSheetId="62">'317'!$P$79</definedName>
    <definedName name="OSRRefP22_4x_0" localSheetId="66">'321'!$P$51</definedName>
    <definedName name="OSRRefP22_4x_0" localSheetId="67">'322'!$P$47</definedName>
    <definedName name="OSRRefP22_4x_0" localSheetId="68">'325'!$P$49</definedName>
    <definedName name="OSRRefP22_4x_0" localSheetId="58">'326'!$P$74</definedName>
    <definedName name="OSRRefP22_4x_0" localSheetId="51">'330'!$P$67</definedName>
    <definedName name="OSRRefP22_4x_0" localSheetId="56">'331'!$P$109</definedName>
    <definedName name="OSRRefP22_4x_0" localSheetId="59">'332'!$P$59</definedName>
    <definedName name="OSRRefP22_4x_0" localSheetId="73">'405'!$P$48:$P$49</definedName>
    <definedName name="OSRRefP22_4x_0" localSheetId="74">'406'!$P$28</definedName>
    <definedName name="OSRRefP22_4x_0" localSheetId="75">'411'!$P$45:$P$46</definedName>
    <definedName name="OSRRefP22_4x_0" localSheetId="76">'412'!$P$46:$P$47</definedName>
    <definedName name="OSRRefP22_4x_0" localSheetId="77">'413'!$P$48</definedName>
    <definedName name="OSRRefP22_4x_0" localSheetId="78">'414'!$P$50</definedName>
    <definedName name="OSRRefP22_4x_0" localSheetId="79">'415'!$P$52</definedName>
    <definedName name="OSRRefP22_4x_0" localSheetId="80">'418'!$P$48:$P$49</definedName>
    <definedName name="OSRRefP22_4x_0" localSheetId="82">'423'!$P$45</definedName>
    <definedName name="OSRRefP22_4x_0" localSheetId="84">'425'!$P$33:$P$34</definedName>
    <definedName name="OSRRefP22_4x_0" localSheetId="87">'430'!$P$45:$P$47</definedName>
    <definedName name="OSRRefP22_4x_0" localSheetId="88">'433'!$P$53</definedName>
    <definedName name="OSRRefP22_4x_0" localSheetId="90">'444'!$P$53</definedName>
    <definedName name="OSRRefP22_4x_0" localSheetId="91">'450'!$P$49</definedName>
    <definedName name="OSRRefP22_4x_0" localSheetId="72">'491'!$P$55</definedName>
    <definedName name="OSRRefP22_4x_0" localSheetId="86">'492'!$P$53</definedName>
    <definedName name="OSRRefP22_4x_0" localSheetId="93">'501'!$P$47</definedName>
    <definedName name="OSRRefP22_4x_0" localSheetId="39">'Div 2'!$P$48</definedName>
    <definedName name="OSRRefP22_4x_0" localSheetId="47">'Div 3'!$P$156</definedName>
    <definedName name="OSRRefP22_4x_0" localSheetId="70">'Div 4'!$P$58</definedName>
    <definedName name="OSRRefP22_4x_0" localSheetId="92">'Div 5'!$P$47</definedName>
    <definedName name="OSRRefP22_4x_0" localSheetId="61">'Div 6'!$P$79</definedName>
    <definedName name="OSRRefP22_4x_0" localSheetId="2">Summary!$P$186</definedName>
    <definedName name="OSRRefP22_5x_0" localSheetId="41">'201'!$P$49</definedName>
    <definedName name="OSRRefP22_5x_0" localSheetId="42">'202'!$P$49</definedName>
    <definedName name="OSRRefP22_5x_0" localSheetId="43">'203'!$P$48</definedName>
    <definedName name="OSRRefP22_5x_0" localSheetId="44">'204'!$P$49</definedName>
    <definedName name="OSRRefP22_5x_0" localSheetId="45">'205'!$P$49</definedName>
    <definedName name="OSRRefP22_5x_0" localSheetId="46">'206'!$P$47</definedName>
    <definedName name="OSRRefP22_5x_0" localSheetId="48">'300'!$P$154:$P$155</definedName>
    <definedName name="OSRRefP22_5x_0" localSheetId="49">'300 &amp; 317'!$P$178:$P$179</definedName>
    <definedName name="OSRRefP22_5x_0" localSheetId="50">'301'!$P$50:$P$51</definedName>
    <definedName name="OSRRefP22_5x_0" localSheetId="52">'307'!$P$65:$P$66</definedName>
    <definedName name="OSRRefP22_5x_0" localSheetId="53">'308'!$P$88</definedName>
    <definedName name="OSRRefP22_5x_0" localSheetId="64">'309'!$P$48</definedName>
    <definedName name="OSRRefP22_5x_0" localSheetId="63">'310'!$P$58:$P$59</definedName>
    <definedName name="OSRRefP22_5x_0" localSheetId="71">'310 &amp; 491'!$P$63:$P$65</definedName>
    <definedName name="OSRRefP22_5x_0" localSheetId="54">'311'!$P$87</definedName>
    <definedName name="OSRRefP22_5x_0" localSheetId="65">'313'!$P$54</definedName>
    <definedName name="OSRRefP22_5x_0" localSheetId="57">'315'!$P$110:$P$111</definedName>
    <definedName name="OSRRefP22_5x_0" localSheetId="60">'316'!$P$59</definedName>
    <definedName name="OSRRefP22_5x_0" localSheetId="62">'317'!$P$81</definedName>
    <definedName name="OSRRefP22_5x_0" localSheetId="66">'321'!$P$53</definedName>
    <definedName name="OSRRefP22_5x_0" localSheetId="67">'322'!$P$49</definedName>
    <definedName name="OSRRefP22_5x_0" localSheetId="68">'325'!$P$51:$P$52</definedName>
    <definedName name="OSRRefP22_5x_0" localSheetId="58">'326'!$P$76</definedName>
    <definedName name="OSRRefP22_5x_0" localSheetId="51">'330'!$P$69:$P$70</definedName>
    <definedName name="OSRRefP22_5x_0" localSheetId="56">'331'!$P$111:$P$112</definedName>
    <definedName name="OSRRefP22_5x_0" localSheetId="59">'332'!$P$61</definedName>
    <definedName name="OSRRefP22_5x_0" localSheetId="73">'405'!$P$51</definedName>
    <definedName name="OSRRefP22_5x_0" localSheetId="75">'411'!$P$48</definedName>
    <definedName name="OSRRefP22_5x_0" localSheetId="76">'412'!$P$49</definedName>
    <definedName name="OSRRefP22_5x_0" localSheetId="77">'413'!$P$50</definedName>
    <definedName name="OSRRefP22_5x_0" localSheetId="78">'414'!$P$52</definedName>
    <definedName name="OSRRefP22_5x_0" localSheetId="79">'415'!$P$54:$P$55</definedName>
    <definedName name="OSRRefP22_5x_0" localSheetId="80">'418'!$P$51</definedName>
    <definedName name="OSRRefP22_5x_0" localSheetId="82">'423'!$P$47</definedName>
    <definedName name="OSRRefP22_5x_0" localSheetId="84">'425'!$P$36</definedName>
    <definedName name="OSRRefP22_5x_0" localSheetId="87">'430'!$P$49:$P$50</definedName>
    <definedName name="OSRRefP22_5x_0" localSheetId="88">'433'!$P$55</definedName>
    <definedName name="OSRRefP22_5x_0" localSheetId="90">'444'!$P$55</definedName>
    <definedName name="OSRRefP22_5x_0" localSheetId="91">'450'!$P$51</definedName>
    <definedName name="OSRRefP22_5x_0" localSheetId="72">'491'!$P$57:$P$59</definedName>
    <definedName name="OSRRefP22_5x_0" localSheetId="86">'492'!$P$55</definedName>
    <definedName name="OSRRefP22_5x_0" localSheetId="93">'501'!$P$49:$P$50</definedName>
    <definedName name="OSRRefP22_5x_0" localSheetId="39">'Div 2'!$P$50:$P$51</definedName>
    <definedName name="OSRRefP22_5x_0" localSheetId="47">'Div 3'!$P$158:$P$159</definedName>
    <definedName name="OSRRefP22_5x_0" localSheetId="70">'Div 4'!$P$60:$P$62</definedName>
    <definedName name="OSRRefP22_5x_0" localSheetId="92">'Div 5'!$P$49:$P$50</definedName>
    <definedName name="OSRRefP22_5x_0" localSheetId="61">'Div 6'!$P$81</definedName>
    <definedName name="OSRRefP22_5x_0" localSheetId="2">Summary!$P$188:$P$190</definedName>
    <definedName name="OSRRefP22_6x_0" localSheetId="41">'201'!$P$51</definedName>
    <definedName name="OSRRefP22_6x_0" localSheetId="42">'202'!$P$51</definedName>
    <definedName name="OSRRefP22_6x_0" localSheetId="43">'203'!$P$50</definedName>
    <definedName name="OSRRefP22_6x_0" localSheetId="44">'204'!$P$51</definedName>
    <definedName name="OSRRefP22_6x_0" localSheetId="45">'205'!$P$51:$P$53</definedName>
    <definedName name="OSRRefP22_6x_0" localSheetId="46">'206'!$P$49</definedName>
    <definedName name="OSRRefP22_6x_0" localSheetId="48">'300'!$P$157:$P$158</definedName>
    <definedName name="OSRRefP22_6x_0" localSheetId="49">'300 &amp; 317'!$P$181:$P$182</definedName>
    <definedName name="OSRRefP22_6x_0" localSheetId="50">'301'!$P$53</definedName>
    <definedName name="OSRRefP22_6x_0" localSheetId="52">'307'!$P$68</definedName>
    <definedName name="OSRRefP22_6x_0" localSheetId="53">'308'!$P$90:$P$91</definedName>
    <definedName name="OSRRefP22_6x_0" localSheetId="64">'309'!$P$50</definedName>
    <definedName name="OSRRefP22_6x_0" localSheetId="63">'310'!$P$61</definedName>
    <definedName name="OSRRefP22_6x_0" localSheetId="71">'310 &amp; 491'!$P$67</definedName>
    <definedName name="OSRRefP22_6x_0" localSheetId="54">'311'!$P$89:$P$90</definedName>
    <definedName name="OSRRefP22_6x_0" localSheetId="65">'313'!$P$56:$P$57</definedName>
    <definedName name="OSRRefP22_6x_0" localSheetId="57">'315'!$P$113</definedName>
    <definedName name="OSRRefP22_6x_0" localSheetId="60">'316'!$P$61:$P$62</definedName>
    <definedName name="OSRRefP22_6x_0" localSheetId="62">'317'!$P$83:$P$84</definedName>
    <definedName name="OSRRefP22_6x_0" localSheetId="66">'321'!$P$55</definedName>
    <definedName name="OSRRefP22_6x_0" localSheetId="67">'322'!$P$51</definedName>
    <definedName name="OSRRefP22_6x_0" localSheetId="68">'325'!$P$54</definedName>
    <definedName name="OSRRefP22_6x_0" localSheetId="58">'326'!$P$78</definedName>
    <definedName name="OSRRefP22_6x_0" localSheetId="51">'330'!$P$72</definedName>
    <definedName name="OSRRefP22_6x_0" localSheetId="56">'331'!$P$114</definedName>
    <definedName name="OSRRefP22_6x_0" localSheetId="59">'332'!$P$63:$P$64</definedName>
    <definedName name="OSRRefP22_6x_0" localSheetId="73">'405'!$P$53</definedName>
    <definedName name="OSRRefP22_6x_0" localSheetId="75">'411'!$P$50</definedName>
    <definedName name="OSRRefP22_6x_0" localSheetId="76">'412'!$P$51</definedName>
    <definedName name="OSRRefP22_6x_0" localSheetId="77">'413'!$P$52</definedName>
    <definedName name="OSRRefP22_6x_0" localSheetId="78">'414'!$P$54</definedName>
    <definedName name="OSRRefP22_6x_0" localSheetId="79">'415'!$P$57</definedName>
    <definedName name="OSRRefP22_6x_0" localSheetId="80">'418'!$P$53</definedName>
    <definedName name="OSRRefP22_6x_0" localSheetId="82">'423'!$P$49</definedName>
    <definedName name="OSRRefP22_6x_0" localSheetId="87">'430'!$P$52</definedName>
    <definedName name="OSRRefP22_6x_0" localSheetId="88">'433'!$P$57</definedName>
    <definedName name="OSRRefP22_6x_0" localSheetId="90">'444'!$P$57</definedName>
    <definedName name="OSRRefP22_6x_0" localSheetId="91">'450'!$P$53</definedName>
    <definedName name="OSRRefP22_6x_0" localSheetId="72">'491'!$P$61</definedName>
    <definedName name="OSRRefP22_6x_0" localSheetId="86">'492'!$P$57</definedName>
    <definedName name="OSRRefP22_6x_0" localSheetId="93">'501'!$P$52</definedName>
    <definedName name="OSRRefP22_6x_0" localSheetId="39">'Div 2'!$P$53:$P$54</definedName>
    <definedName name="OSRRefP22_6x_0" localSheetId="47">'Div 3'!$P$161:$P$162</definedName>
    <definedName name="OSRRefP22_6x_0" localSheetId="70">'Div 4'!$P$64</definedName>
    <definedName name="OSRRefP22_6x_0" localSheetId="92">'Div 5'!$P$52</definedName>
    <definedName name="OSRRefP22_6x_0" localSheetId="61">'Div 6'!$P$83:$P$84</definedName>
    <definedName name="OSRRefP22_6x_0" localSheetId="2">Summary!$P$192:$P$193</definedName>
    <definedName name="OSRRefP22_7x_0" localSheetId="41">'201'!$P$53</definedName>
    <definedName name="OSRRefP22_7x_0" localSheetId="42">'202'!$P$53:$P$55</definedName>
    <definedName name="OSRRefP22_7x_0" localSheetId="43">'203'!$P$52:$P$53</definedName>
    <definedName name="OSRRefP22_7x_0" localSheetId="44">'204'!$P$53:$P$55</definedName>
    <definedName name="OSRRefP22_7x_0" localSheetId="45">'205'!$P$55</definedName>
    <definedName name="OSRRefP22_7x_0" localSheetId="46">'206'!$P$51</definedName>
    <definedName name="OSRRefP22_7x_0" localSheetId="48">'300'!$P$160:$P$161</definedName>
    <definedName name="OSRRefP22_7x_0" localSheetId="49">'300 &amp; 317'!$P$184:$P$185</definedName>
    <definedName name="OSRRefP22_7x_0" localSheetId="50">'301'!$P$55</definedName>
    <definedName name="OSRRefP22_7x_0" localSheetId="52">'307'!$P$70</definedName>
    <definedName name="OSRRefP22_7x_0" localSheetId="53">'308'!$P$93:$P$94</definedName>
    <definedName name="OSRRefP22_7x_0" localSheetId="64">'309'!$P$52:$P$53</definedName>
    <definedName name="OSRRefP22_7x_0" localSheetId="63">'310'!$P$63</definedName>
    <definedName name="OSRRefP22_7x_0" localSheetId="71">'310 &amp; 491'!$P$69</definedName>
    <definedName name="OSRRefP22_7x_0" localSheetId="54">'311'!$P$92:$P$93</definedName>
    <definedName name="OSRRefP22_7x_0" localSheetId="65">'313'!$P$59</definedName>
    <definedName name="OSRRefP22_7x_0" localSheetId="57">'315'!$P$115:$P$116</definedName>
    <definedName name="OSRRefP22_7x_0" localSheetId="60">'316'!$P$64:$P$66</definedName>
    <definedName name="OSRRefP22_7x_0" localSheetId="62">'317'!$P$86</definedName>
    <definedName name="OSRRefP22_7x_0" localSheetId="66">'321'!$P$57:$P$58</definedName>
    <definedName name="OSRRefP22_7x_0" localSheetId="67">'322'!$P$53:$P$54</definedName>
    <definedName name="OSRRefP22_7x_0" localSheetId="68">'325'!$P$56</definedName>
    <definedName name="OSRRefP22_7x_0" localSheetId="58">'326'!$P$80</definedName>
    <definedName name="OSRRefP22_7x_0" localSheetId="51">'330'!$P$74</definedName>
    <definedName name="OSRRefP22_7x_0" localSheetId="56">'331'!$P$116</definedName>
    <definedName name="OSRRefP22_7x_0" localSheetId="59">'332'!$P$66:$P$68</definedName>
    <definedName name="OSRRefP22_7x_0" localSheetId="73">'405'!$P$55</definedName>
    <definedName name="OSRRefP22_7x_0" localSheetId="75">'411'!$P$52</definedName>
    <definedName name="OSRRefP22_7x_0" localSheetId="76">'412'!$P$53</definedName>
    <definedName name="OSRRefP22_7x_0" localSheetId="77">'413'!$P$54</definedName>
    <definedName name="OSRRefP22_7x_0" localSheetId="78">'414'!$P$56</definedName>
    <definedName name="OSRRefP22_7x_0" localSheetId="79">'415'!$P$59</definedName>
    <definedName name="OSRRefP22_7x_0" localSheetId="80">'418'!$P$55</definedName>
    <definedName name="OSRRefP22_7x_0" localSheetId="87">'430'!$P$54</definedName>
    <definedName name="OSRRefP22_7x_0" localSheetId="88">'433'!$P$59</definedName>
    <definedName name="OSRRefP22_7x_0" localSheetId="90">'444'!$P$59</definedName>
    <definedName name="OSRRefP22_7x_0" localSheetId="91">'450'!$P$55</definedName>
    <definedName name="OSRRefP22_7x_0" localSheetId="72">'491'!$P$63</definedName>
    <definedName name="OSRRefP22_7x_0" localSheetId="86">'492'!$P$59</definedName>
    <definedName name="OSRRefP22_7x_0" localSheetId="93">'501'!$P$54</definedName>
    <definedName name="OSRRefP22_7x_0" localSheetId="39">'Div 2'!$P$56</definedName>
    <definedName name="OSRRefP22_7x_0" localSheetId="47">'Div 3'!$P$164:$P$165</definedName>
    <definedName name="OSRRefP22_7x_0" localSheetId="70">'Div 4'!$P$66</definedName>
    <definedName name="OSRRefP22_7x_0" localSheetId="92">'Div 5'!$P$54</definedName>
    <definedName name="OSRRefP22_7x_0" localSheetId="61">'Div 6'!$P$86</definedName>
    <definedName name="OSRRefP22_7x_0" localSheetId="2">Summary!$P$195:$P$196</definedName>
    <definedName name="OSRRefP22_8x_0" localSheetId="41">'201'!$P$55</definedName>
    <definedName name="OSRRefP22_8x_0" localSheetId="42">'202'!$P$57</definedName>
    <definedName name="OSRRefP22_8x_0" localSheetId="43">'203'!$P$55:$P$57</definedName>
    <definedName name="OSRRefP22_8x_0" localSheetId="44">'204'!$P$57:$P$58</definedName>
    <definedName name="OSRRefP22_8x_0" localSheetId="46">'206'!$P$53:$P$54</definedName>
    <definedName name="OSRRefP22_8x_0" localSheetId="48">'300'!$P$163</definedName>
    <definedName name="OSRRefP22_8x_0" localSheetId="49">'300 &amp; 317'!$P$187</definedName>
    <definedName name="OSRRefP22_8x_0" localSheetId="50">'301'!$P$57</definedName>
    <definedName name="OSRRefP22_8x_0" localSheetId="52">'307'!$P$72</definedName>
    <definedName name="OSRRefP22_8x_0" localSheetId="53">'308'!$P$96</definedName>
    <definedName name="OSRRefP22_8x_0" localSheetId="64">'309'!$P$55:$P$56</definedName>
    <definedName name="OSRRefP22_8x_0" localSheetId="63">'310'!$P$65</definedName>
    <definedName name="OSRRefP22_8x_0" localSheetId="71">'310 &amp; 491'!$P$71:$P$72</definedName>
    <definedName name="OSRRefP22_8x_0" localSheetId="54">'311'!$P$95</definedName>
    <definedName name="OSRRefP22_8x_0" localSheetId="65">'313'!$P$61:$P$63</definedName>
    <definedName name="OSRRefP22_8x_0" localSheetId="57">'315'!$P$118</definedName>
    <definedName name="OSRRefP22_8x_0" localSheetId="60">'316'!$P$68</definedName>
    <definedName name="OSRRefP22_8x_0" localSheetId="62">'317'!$P$88</definedName>
    <definedName name="OSRRefP22_8x_0" localSheetId="66">'321'!$P$60:$P$61</definedName>
    <definedName name="OSRRefP22_8x_0" localSheetId="67">'322'!$P$56:$P$57</definedName>
    <definedName name="OSRRefP22_8x_0" localSheetId="68">'325'!$P$58</definedName>
    <definedName name="OSRRefP22_8x_0" localSheetId="58">'326'!$P$82:$P$83</definedName>
    <definedName name="OSRRefP22_8x_0" localSheetId="51">'330'!$P$76</definedName>
    <definedName name="OSRRefP22_8x_0" localSheetId="56">'331'!$P$118:$P$119</definedName>
    <definedName name="OSRRefP22_8x_0" localSheetId="59">'332'!$P$70</definedName>
    <definedName name="OSRRefP22_8x_0" localSheetId="73">'405'!$P$57</definedName>
    <definedName name="OSRRefP22_8x_0" localSheetId="75">'411'!$P$54</definedName>
    <definedName name="OSRRefP22_8x_0" localSheetId="76">'412'!$P$55:$P$56</definedName>
    <definedName name="OSRRefP22_8x_0" localSheetId="77">'413'!$P$56:$P$59</definedName>
    <definedName name="OSRRefP22_8x_0" localSheetId="78">'414'!$P$58:$P$59</definedName>
    <definedName name="OSRRefP22_8x_0" localSheetId="79">'415'!$P$61</definedName>
    <definedName name="OSRRefP22_8x_0" localSheetId="80">'418'!$P$57:$P$59</definedName>
    <definedName name="OSRRefP22_8x_0" localSheetId="88">'433'!$P$61</definedName>
    <definedName name="OSRRefP22_8x_0" localSheetId="90">'444'!$P$61</definedName>
    <definedName name="OSRRefP22_8x_0" localSheetId="91">'450'!$P$57</definedName>
    <definedName name="OSRRefP22_8x_0" localSheetId="72">'491'!$P$65</definedName>
    <definedName name="OSRRefP22_8x_0" localSheetId="86">'492'!$P$61</definedName>
    <definedName name="OSRRefP22_8x_0" localSheetId="93">'501'!$P$56</definedName>
    <definedName name="OSRRefP22_8x_0" localSheetId="39">'Div 2'!$P$58</definedName>
    <definedName name="OSRRefP22_8x_0" localSheetId="47">'Div 3'!$P$167</definedName>
    <definedName name="OSRRefP22_8x_0" localSheetId="70">'Div 4'!$P$68</definedName>
    <definedName name="OSRRefP22_8x_0" localSheetId="92">'Div 5'!$P$56</definedName>
    <definedName name="OSRRefP22_8x_0" localSheetId="61">'Div 6'!$P$88</definedName>
    <definedName name="OSRRefP22_8x_0" localSheetId="2">Summary!$P$198</definedName>
    <definedName name="OSRRefP22_9x_0" localSheetId="41">'201'!$P$57</definedName>
    <definedName name="OSRRefP22_9x_0" localSheetId="42">'202'!$P$59:$P$61</definedName>
    <definedName name="OSRRefP22_9x_0" localSheetId="43">'203'!$P$59:$P$60</definedName>
    <definedName name="OSRRefP22_9x_0" localSheetId="44">'204'!$P$60</definedName>
    <definedName name="OSRRefP22_9x_0" localSheetId="46">'206'!$P$56</definedName>
    <definedName name="OSRRefP22_9x_0" localSheetId="48">'300'!$P$165</definedName>
    <definedName name="OSRRefP22_9x_0" localSheetId="49">'300 &amp; 317'!$P$189</definedName>
    <definedName name="OSRRefP22_9x_0" localSheetId="50">'301'!$P$59</definedName>
    <definedName name="OSRRefP22_9x_0" localSheetId="52">'307'!$P$74:$P$75</definedName>
    <definedName name="OSRRefP22_9x_0" localSheetId="53">'308'!$P$98:$P$100</definedName>
    <definedName name="OSRRefP22_9x_0" localSheetId="64">'309'!$P$58:$P$60</definedName>
    <definedName name="OSRRefP22_9x_0" localSheetId="63">'310'!$P$67</definedName>
    <definedName name="OSRRefP22_9x_0" localSheetId="71">'310 &amp; 491'!$P$74</definedName>
    <definedName name="OSRRefP22_9x_0" localSheetId="54">'311'!$P$97:$P$99</definedName>
    <definedName name="OSRRefP22_9x_0" localSheetId="65">'313'!$P$65:$P$66</definedName>
    <definedName name="OSRRefP22_9x_0" localSheetId="57">'315'!$P$120:$P$121</definedName>
    <definedName name="OSRRefP22_9x_0" localSheetId="60">'316'!$P$70</definedName>
    <definedName name="OSRRefP22_9x_0" localSheetId="62">'317'!$P$90:$P$91</definedName>
    <definedName name="OSRRefP22_9x_0" localSheetId="66">'321'!$P$63:$P$64</definedName>
    <definedName name="OSRRefP22_9x_0" localSheetId="67">'322'!$P$59:$P$62</definedName>
    <definedName name="OSRRefP22_9x_0" localSheetId="68">'325'!$P$60</definedName>
    <definedName name="OSRRefP22_9x_0" localSheetId="58">'326'!$P$85</definedName>
    <definedName name="OSRRefP22_9x_0" localSheetId="51">'330'!$P$78:$P$79</definedName>
    <definedName name="OSRRefP22_9x_0" localSheetId="56">'331'!$P$121:$P$122</definedName>
    <definedName name="OSRRefP22_9x_0" localSheetId="59">'332'!$P$72</definedName>
    <definedName name="OSRRefP22_9x_0" localSheetId="73">'405'!$P$59:$P$60</definedName>
    <definedName name="OSRRefP22_9x_0" localSheetId="75">'411'!$P$56:$P$59</definedName>
    <definedName name="OSRRefP22_9x_0" localSheetId="76">'412'!$P$58</definedName>
    <definedName name="OSRRefP22_9x_0" localSheetId="77">'413'!$P$61:$P$62</definedName>
    <definedName name="OSRRefP22_9x_0" localSheetId="78">'414'!$P$61</definedName>
    <definedName name="OSRRefP22_9x_0" localSheetId="79">'415'!$P$63</definedName>
    <definedName name="OSRRefP22_9x_0" localSheetId="80">'418'!$P$61:$P$62</definedName>
    <definedName name="OSRRefP22_9x_0" localSheetId="88">'433'!$P$63</definedName>
    <definedName name="OSRRefP22_9x_0" localSheetId="90">'444'!$P$63</definedName>
    <definedName name="OSRRefP22_9x_0" localSheetId="91">'450'!$P$59</definedName>
    <definedName name="OSRRefP22_9x_0" localSheetId="72">'491'!$P$67</definedName>
    <definedName name="OSRRefP22_9x_0" localSheetId="86">'492'!$P$63</definedName>
    <definedName name="OSRRefP22_9x_0" localSheetId="93">'501'!$P$58:$P$61</definedName>
    <definedName name="OSRRefP22_9x_0" localSheetId="39">'Div 2'!$P$60:$P$61</definedName>
    <definedName name="OSRRefP22_9x_0" localSheetId="47">'Div 3'!$P$169</definedName>
    <definedName name="OSRRefP22_9x_0" localSheetId="70">'Div 4'!$P$70</definedName>
    <definedName name="OSRRefP22_9x_0" localSheetId="92">'Div 5'!$P$58:$P$61</definedName>
    <definedName name="OSRRefP22_9x_0" localSheetId="61">'Div 6'!$P$90:$P$91</definedName>
    <definedName name="OSRRefP22_9x_0" localSheetId="2">Summary!$P$200</definedName>
    <definedName name="OSRRefP22x_0" localSheetId="40">'200'!$P$20,'200'!$P$22,'200'!$P$24,'200'!$P$26,'200'!$P$28:$P$29</definedName>
    <definedName name="OSRRefP22x_0" localSheetId="41">'201'!$P$21:$P$29,'201'!$P$31:$P$40,'201'!$P$42,'201'!$P$44,'201'!$P$46:$P$47,'201'!$P$49,'201'!$P$51,'201'!$P$53,'201'!$P$55,'201'!$P$57,'201'!$P$59:$P$61,'201'!$P$63:$P$64,'201'!$P$66,'201'!$P$68:$P$70,'201'!$P$72,'201'!$P$74,'201'!$P$76</definedName>
    <definedName name="OSRRefP22x_0" localSheetId="42">'202'!$P$21:$P$29,'202'!$P$31:$P$40,'202'!$P$42,'202'!$P$44,'202'!$P$46:$P$47,'202'!$P$49,'202'!$P$51,'202'!$P$53:$P$55,'202'!$P$57,'202'!$P$59:$P$61,'202'!$P$63,'202'!$P$65,'202'!$P$67</definedName>
    <definedName name="OSRRefP22x_0" localSheetId="43">'203'!$P$20:$P$29,'203'!$P$31:$P$40,'203'!$P$42,'203'!$P$44,'203'!$P$46,'203'!$P$48,'203'!$P$50,'203'!$P$52:$P$53,'203'!$P$55:$P$57,'203'!$P$59:$P$60,'203'!$P$62,'203'!$P$64:$P$66,'203'!$P$68,'203'!$P$70,'203'!$P$72</definedName>
    <definedName name="OSRRefP22x_0" localSheetId="44">'204'!$P$20:$P$29,'204'!$P$31:$P$40,'204'!$P$42,'204'!$P$44:$P$45,'204'!$P$47,'204'!$P$49,'204'!$P$51,'204'!$P$53:$P$55,'204'!$P$57:$P$58,'204'!$P$60,'204'!$P$62:$P$63,'204'!$P$65,'204'!$P$67</definedName>
    <definedName name="OSRRefP22x_0" localSheetId="45">'205'!$P$20:$P$28,'205'!$P$30:$P$39,'205'!$P$41,'205'!$P$43,'205'!$P$45:$P$47,'205'!$P$49,'205'!$P$51:$P$53,'205'!$P$55</definedName>
    <definedName name="OSRRefP22x_0" localSheetId="46">'206'!$P$20:$P$28,'206'!$P$30:$P$39,'206'!$P$41,'206'!$P$43,'206'!$P$45,'206'!$P$47,'206'!$P$49,'206'!$P$51,'206'!$P$53:$P$54,'206'!$P$56</definedName>
    <definedName name="OSRRefP22x_0" localSheetId="48">'300'!$P$125:$P$134,'300'!$P$136:$P$145,'300'!$P$147,'300'!$P$149:$P$150,'300'!$P$152,'300'!$P$154:$P$155,'300'!$P$157:$P$158,'300'!$P$160:$P$161,'300'!$P$163,'300'!$P$165,'300'!$P$167:$P$168,'300'!$P$170:$P$172,'300'!$P$174,'300'!$P$176:$P$177,'300'!$P$179,'300'!$P$181,'300'!$P$183:$P$186,'300'!$P$188:$P$191,'300'!$P$193:$P$196,'300'!$P$198:$P$199,'300'!$P$201:$P$209,'300'!$P$211:$P$212,'300'!$P$214,'300'!$P$216:$P$218,'300'!$P$220</definedName>
    <definedName name="OSRRefP22x_0" localSheetId="49">'300 &amp; 317'!$P$149:$P$158,'300 &amp; 317'!$P$160:$P$169,'300 &amp; 317'!$P$171,'300 &amp; 317'!$P$173:$P$174,'300 &amp; 317'!$P$176,'300 &amp; 317'!$P$178:$P$179,'300 &amp; 317'!$P$181:$P$182,'300 &amp; 317'!$P$184:$P$185,'300 &amp; 317'!$P$187,'300 &amp; 317'!$P$189,'300 &amp; 317'!$P$191:$P$192,'300 &amp; 317'!$P$194:$P$196,'300 &amp; 317'!$P$198,'300 &amp; 317'!$P$200:$P$201,'300 &amp; 317'!$P$203,'300 &amp; 317'!$P$205,'300 &amp; 317'!$P$207:$P$210,'300 &amp; 317'!$P$212:$P$215,'300 &amp; 317'!$P$217:$P$220,'300 &amp; 317'!$P$222:$P$223,'300 &amp; 317'!$P$225:$P$233,'300 &amp; 317'!$P$235:$P$236,'300 &amp; 317'!$P$238,'300 &amp; 317'!$P$240:$P$242,'300 &amp; 317'!$P$244</definedName>
    <definedName name="OSRRefP22x_0" localSheetId="50">'301'!$P$21:$P$30,'301'!$P$32:$P$41,'301'!$P$43,'301'!$P$45:$P$46,'301'!$P$48,'301'!$P$50:$P$51,'301'!$P$53,'301'!$P$55,'301'!$P$57,'301'!$P$59,'301'!$P$61,'301'!$P$63,'301'!$P$65,'301'!$P$67,'301'!$P$69,'301'!$P$71:$P$74,'301'!$P$76:$P$78,'301'!$P$80,'301'!$P$82:$P$88,'301'!$P$90,'301'!$P$92,'301'!$P$94:$P$95,'301'!$P$97</definedName>
    <definedName name="OSRRefP22x_0" localSheetId="52">'307'!$P$39:$P$46,'307'!$P$48:$P$57,'307'!$P$59,'307'!$P$61,'307'!$P$63,'307'!$P$65:$P$66,'307'!$P$68,'307'!$P$70,'307'!$P$72,'307'!$P$74:$P$75,'307'!$P$77:$P$78,'307'!$P$80:$P$83,'307'!$P$85:$P$86,'307'!$P$88</definedName>
    <definedName name="OSRRefP22x_0" localSheetId="53">'308'!$P$59:$P$68,'308'!$P$70:$P$79,'308'!$P$81,'308'!$P$83:$P$84,'308'!$P$86,'308'!$P$88,'308'!$P$90:$P$91,'308'!$P$93:$P$94,'308'!$P$96,'308'!$P$98:$P$100,'308'!$P$102:$P$103,'308'!$P$105:$P$107,'308'!$P$109:$P$110,'308'!$P$112,'308'!$P$114</definedName>
    <definedName name="OSRRefP22x_0" localSheetId="64">'309'!$P$22:$P$29,'309'!$P$31:$P$40,'309'!$P$42,'309'!$P$44,'309'!$P$46,'309'!$P$48,'309'!$P$50,'309'!$P$52:$P$53,'309'!$P$55:$P$56,'309'!$P$58:$P$60,'309'!$P$62</definedName>
    <definedName name="OSRRefP22x_0" localSheetId="63">'310'!$P$31:$P$39,'310'!$P$41:$P$50,'310'!$P$52,'310'!$P$54,'310'!$P$56,'310'!$P$58:$P$59,'310'!$P$61,'310'!$P$63,'310'!$P$65,'310'!$P$67,'310'!$P$69,'310'!$P$71,'310'!$P$73,'310'!$P$75:$P$78,'310'!$P$80:$P$81,'310'!$P$83:$P$86,'310'!$P$88,'310'!$P$90:$P$96,'310'!$P$98:$P$99,'310'!$P$101,'310'!$P$103,'310'!$P$105</definedName>
    <definedName name="OSRRefP22x_0" localSheetId="71">'310 &amp; 491'!$P$36:$P$44,'310 &amp; 491'!$P$46:$P$55,'310 &amp; 491'!$P$57,'310 &amp; 491'!$P$59,'310 &amp; 491'!$P$61,'310 &amp; 491'!$P$63:$P$65,'310 &amp; 491'!$P$67,'310 &amp; 491'!$P$69,'310 &amp; 491'!$P$71:$P$72,'310 &amp; 491'!$P$74,'310 &amp; 491'!$P$76,'310 &amp; 491'!$P$78,'310 &amp; 491'!$P$80,'310 &amp; 491'!$P$82:$P$85,'310 &amp; 491'!$P$87:$P$88,'310 &amp; 491'!$P$90:$P$94,'310 &amp; 491'!$P$96:$P$97,'310 &amp; 491'!$P$99:$P$109,'310 &amp; 491'!$P$111:$P$112,'310 &amp; 491'!$P$114,'310 &amp; 491'!$P$116:$P$118,'310 &amp; 491'!$P$120</definedName>
    <definedName name="OSRRefP22x_0" localSheetId="54">'311'!$P$58:$P$67,'311'!$P$69:$P$78,'311'!$P$80,'311'!$P$82:$P$83,'311'!$P$85,'311'!$P$87,'311'!$P$89:$P$90,'311'!$P$92:$P$93,'311'!$P$95,'311'!$P$97:$P$99,'311'!$P$101:$P$102,'311'!$P$104:$P$106,'311'!$P$108:$P$109,'311'!$P$111,'311'!$P$113</definedName>
    <definedName name="OSRRefP22x_0" localSheetId="65">'313'!$P$27:$P$35,'313'!$P$37:$P$46,'313'!$P$48,'313'!$P$50,'313'!$P$52,'313'!$P$54,'313'!$P$56:$P$57,'313'!$P$59,'313'!$P$61:$P$63,'313'!$P$65:$P$66,'313'!$P$68,'313'!$P$70</definedName>
    <definedName name="OSRRefP22x_0" localSheetId="57">'315'!$P$83:$P$91,'315'!$P$93:$P$102,'315'!$P$104,'315'!$P$106,'315'!$P$108,'315'!$P$110:$P$111,'315'!$P$113,'315'!$P$115:$P$116,'315'!$P$118,'315'!$P$120:$P$121,'315'!$P$123,'315'!$P$125,'315'!$P$127:$P$129,'315'!$P$131:$P$132,'315'!$P$134:$P$140,'315'!$P$142,'315'!$P$144,'315'!$P$146:$P$147</definedName>
    <definedName name="OSRRefP22x_0" localSheetId="60">'316'!$P$32:$P$40,'316'!$P$42:$P$51,'316'!$P$53,'316'!$P$55,'316'!$P$57,'316'!$P$59,'316'!$P$61:$P$62,'316'!$P$64:$P$66,'316'!$P$68,'316'!$P$70,'316'!$P$72:$P$76,'316'!$P$78,'316'!$P$80</definedName>
    <definedName name="OSRRefP22x_0" localSheetId="62">'317'!$P$53:$P$62,'317'!$P$64:$P$73,'317'!$P$75,'317'!$P$77,'317'!$P$79,'317'!$P$81,'317'!$P$83:$P$84,'317'!$P$86,'317'!$P$88,'317'!$P$90:$P$91,'317'!$P$93,'317'!$P$95:$P$98,'317'!$P$100,'317'!$P$102</definedName>
    <definedName name="OSRRefP22x_0" localSheetId="66">'321'!$P$26:$P$34,'321'!$P$36:$P$45,'321'!$P$47,'321'!$P$49,'321'!$P$51,'321'!$P$53,'321'!$P$55,'321'!$P$57:$P$58,'321'!$P$60:$P$61,'321'!$P$63:$P$64,'321'!$P$66:$P$68,'321'!$P$70:$P$71,'321'!$P$73,'321'!$P$75</definedName>
    <definedName name="OSRRefP22x_0" localSheetId="67">'322'!$P$23:$P$30,'322'!$P$32:$P$41,'322'!$P$43,'322'!$P$45,'322'!$P$47,'322'!$P$49,'322'!$P$51,'322'!$P$53:$P$54,'322'!$P$56:$P$57,'322'!$P$59:$P$62,'322'!$P$64,'322'!$P$66</definedName>
    <definedName name="OSRRefP22x_0" localSheetId="55">'324'!$P$27:$P$34,'324'!$P$36:$P$45</definedName>
    <definedName name="OSRRefP22x_0" localSheetId="68">'325'!$P$25:$P$32,'325'!$P$34:$P$43,'325'!$P$45,'325'!$P$47,'325'!$P$49,'325'!$P$51:$P$52,'325'!$P$54,'325'!$P$56,'325'!$P$58,'325'!$P$60,'325'!$P$62,'325'!$P$64:$P$67,'325'!$P$69:$P$71,'325'!$P$73,'325'!$P$75:$P$79,'325'!$P$81:$P$82,'325'!$P$84,'325'!$P$86</definedName>
    <definedName name="OSRRefP22x_0" localSheetId="58">'326'!$P$49:$P$57,'326'!$P$59:$P$68,'326'!$P$70,'326'!$P$72,'326'!$P$74,'326'!$P$76,'326'!$P$78,'326'!$P$80,'326'!$P$82:$P$83,'326'!$P$85,'326'!$P$87,'326'!$P$89,'326'!$P$91,'326'!$P$93:$P$95,'326'!$P$97:$P$99,'326'!$P$101:$P$102,'326'!$P$104:$P$109,'326'!$P$111:$P$112,'326'!$P$114,'326'!$P$116:$P$117,'326'!$P$119</definedName>
    <definedName name="OSRRefP22x_0" localSheetId="69">'327'!$P$25,'327'!$P$27</definedName>
    <definedName name="OSRRefP22x_0" localSheetId="51">'330'!$P$42:$P$50,'330'!$P$52:$P$61,'330'!$P$63,'330'!$P$65,'330'!$P$67,'330'!$P$69:$P$70,'330'!$P$72,'330'!$P$74,'330'!$P$76,'330'!$P$78:$P$79,'330'!$P$81:$P$82,'330'!$P$84:$P$87,'330'!$P$89:$P$90,'330'!$P$92</definedName>
    <definedName name="OSRRefP22x_0" localSheetId="56">'331'!$P$84:$P$92,'331'!$P$94:$P$103,'331'!$P$105,'331'!$P$107,'331'!$P$109,'331'!$P$111:$P$112,'331'!$P$114,'331'!$P$116,'331'!$P$118:$P$119,'331'!$P$121:$P$122,'331'!$P$124,'331'!$P$126:$P$127,'331'!$P$129,'331'!$P$131,'331'!$P$133:$P$135,'331'!$P$137:$P$139,'331'!$P$141:$P$143,'331'!$P$145:$P$146,'331'!$P$148:$P$155,'331'!$P$157:$P$158,'331'!$P$160,'331'!$P$162:$P$163,'331'!$P$165</definedName>
    <definedName name="OSRRefP22x_0" localSheetId="59">'332'!$P$34:$P$42,'332'!$P$44:$P$53,'332'!$P$55,'332'!$P$57,'332'!$P$59,'332'!$P$61,'332'!$P$63:$P$64,'332'!$P$66:$P$68,'332'!$P$70,'332'!$P$72,'332'!$P$74:$P$78,'332'!$P$80,'332'!$P$82</definedName>
    <definedName name="OSRRefP22x_0" localSheetId="73">'405'!$P$24:$P$31,'405'!$P$33:$P$42,'405'!$P$44,'405'!$P$46,'405'!$P$48:$P$49,'405'!$P$51,'405'!$P$53,'405'!$P$55,'405'!$P$57,'405'!$P$59:$P$60,'405'!$P$62,'405'!$P$64:$P$67,'405'!$P$69,'405'!$P$71:$P$79,'405'!$P$81,'405'!$P$83,'405'!$P$85,'405'!$P$87</definedName>
    <definedName name="OSRRefP22x_0" localSheetId="74">'406'!$P$20,'406'!$P$22,'406'!$P$24,'406'!$P$26,'406'!$P$28</definedName>
    <definedName name="OSRRefP22x_0" localSheetId="75">'411'!$P$20:$P$28,'411'!$P$30:$P$39,'411'!$P$41,'411'!$P$43,'411'!$P$45:$P$46,'411'!$P$48,'411'!$P$50,'411'!$P$52,'411'!$P$54,'411'!$P$56:$P$59,'411'!$P$61:$P$64,'411'!$P$66:$P$67,'411'!$P$69:$P$75,'411'!$P$77,'411'!$P$79,'411'!$P$81</definedName>
    <definedName name="OSRRefP22x_0" localSheetId="76">'412'!$P$22:$P$29,'412'!$P$31:$P$40,'412'!$P$42,'412'!$P$44,'412'!$P$46:$P$47,'412'!$P$49,'412'!$P$51,'412'!$P$53,'412'!$P$55:$P$56,'412'!$P$58,'412'!$P$60:$P$63,'412'!$P$65:$P$69,'412'!$P$71:$P$72,'412'!$P$74</definedName>
    <definedName name="OSRRefP22x_0" localSheetId="77">'413'!$P$23:$P$31,'413'!$P$33:$P$42,'413'!$P$44,'413'!$P$46,'413'!$P$48,'413'!$P$50,'413'!$P$52,'413'!$P$54,'413'!$P$56:$P$59,'413'!$P$61:$P$62,'413'!$P$64:$P$71,'413'!$P$73:$P$74,'413'!$P$76</definedName>
    <definedName name="OSRRefP22x_0" localSheetId="78">'414'!$P$25:$P$33,'414'!$P$35:$P$44,'414'!$P$46,'414'!$P$48,'414'!$P$50,'414'!$P$52,'414'!$P$54,'414'!$P$56,'414'!$P$58:$P$59,'414'!$P$61,'414'!$P$63,'414'!$P$65,'414'!$P$67:$P$69,'414'!$P$71,'414'!$P$73,'414'!$P$75</definedName>
    <definedName name="OSRRefP22x_0" localSheetId="79">'415'!$P$27:$P$35,'415'!$P$37:$P$46,'415'!$P$48,'415'!$P$50,'415'!$P$52,'415'!$P$54:$P$55,'415'!$P$57,'415'!$P$59,'415'!$P$61,'415'!$P$63,'415'!$P$65,'415'!$P$67:$P$68,'415'!$P$70:$P$74,'415'!$P$76,'415'!$P$78:$P$85,'415'!$P$87:$P$88,'415'!$P$90,'415'!$P$92:$P$93,'415'!$P$95</definedName>
    <definedName name="OSRRefP22x_0" localSheetId="80">'418'!$P$24:$P$31,'418'!$P$33:$P$42,'418'!$P$44,'418'!$P$46,'418'!$P$48:$P$49,'418'!$P$51,'418'!$P$53,'418'!$P$55,'418'!$P$57:$P$59,'418'!$P$61:$P$62,'418'!$P$64:$P$65,'418'!$P$67:$P$76,'418'!$P$78:$P$79,'418'!$P$81</definedName>
    <definedName name="OSRRefP22x_0" localSheetId="81">'420'!$P$22,'420'!$P$24</definedName>
    <definedName name="OSRRefP22x_0" localSheetId="82">'423'!$P$20:$P$27,'423'!$P$29:$P$38,'423'!$P$40,'423'!$P$42:$P$43,'423'!$P$45,'423'!$P$47,'423'!$P$49</definedName>
    <definedName name="OSRRefP22x_0" localSheetId="83">'424'!$P$20,'424'!$P$22,'424'!$P$24,'424'!$P$26</definedName>
    <definedName name="OSRRefP22x_0" localSheetId="84">'425'!$P$21:$P$25,'425'!$P$27,'425'!$P$29,'425'!$P$31,'425'!$P$33:$P$34,'425'!$P$36</definedName>
    <definedName name="OSRRefP22x_0" localSheetId="87">'430'!$P$20:$P$28,'430'!$P$30:$P$39,'430'!$P$41,'430'!$P$43,'430'!$P$45:$P$47,'430'!$P$49:$P$50,'430'!$P$52,'430'!$P$54</definedName>
    <definedName name="OSRRefP22x_0" localSheetId="88">'433'!$P$27:$P$36,'433'!$P$38:$P$47,'433'!$P$49,'433'!$P$51,'433'!$P$53,'433'!$P$55,'433'!$P$57,'433'!$P$59,'433'!$P$61,'433'!$P$63,'433'!$P$65,'433'!$P$67:$P$69,'433'!$P$71:$P$74,'433'!$P$76:$P$83,'433'!$P$85,'433'!$P$87</definedName>
    <definedName name="OSRRefP22x_0" localSheetId="89">'435'!$P$20</definedName>
    <definedName name="OSRRefP22x_0" localSheetId="90">'444'!$P$27:$P$36,'444'!$P$38:$P$47,'444'!$P$49,'444'!$P$51,'444'!$P$53,'444'!$P$55,'444'!$P$57,'444'!$P$59,'444'!$P$61,'444'!$P$63,'444'!$P$65,'444'!$P$67:$P$70,'444'!$P$72:$P$75,'444'!$P$77,'444'!$P$79:$P$87,'444'!$P$89:$P$90,'444'!$P$92,'444'!$P$94</definedName>
    <definedName name="OSRRefP22x_0" localSheetId="91">'450'!$P$23:$P$32,'450'!$P$34:$P$43,'450'!$P$45,'450'!$P$47,'450'!$P$49,'450'!$P$51,'450'!$P$53,'450'!$P$55,'450'!$P$57,'450'!$P$59,'450'!$P$61,'450'!$P$63,'450'!$P$65,'450'!$P$67:$P$69,'450'!$P$71:$P$77,'450'!$P$79:$P$80,'450'!$P$82</definedName>
    <definedName name="OSRRefP22x_0" localSheetId="72">'491'!$P$30:$P$38,'491'!$P$40:$P$49,'491'!$P$51,'491'!$P$53,'491'!$P$55,'491'!$P$57:$P$59,'491'!$P$61,'491'!$P$63,'491'!$P$65,'491'!$P$67,'491'!$P$69,'491'!$P$71,'491'!$P$73,'491'!$P$75:$P$78,'491'!$P$80:$P$81,'491'!$P$83:$P$87,'491'!$P$89:$P$90,'491'!$P$92:$P$102,'491'!$P$104:$P$105,'491'!$P$107,'491'!$P$109:$P$111,'491'!$P$113</definedName>
    <definedName name="OSRRefP22x_0" localSheetId="86">'492'!$P$27:$P$36,'492'!$P$38:$P$47,'492'!$P$49,'492'!$P$51,'492'!$P$53,'492'!$P$55,'492'!$P$57,'492'!$P$59,'492'!$P$61,'492'!$P$63,'492'!$P$65,'492'!$P$67,'492'!$P$69:$P$72,'492'!$P$74:$P$77,'492'!$P$79,'492'!$P$81:$P$90,'492'!$P$92:$P$93,'492'!$P$95,'492'!$P$97:$P$98</definedName>
    <definedName name="OSRRefP22x_0" localSheetId="93">'501'!$P$21:$P$30,'501'!$P$32:$P$41,'501'!$P$43,'501'!$P$45,'501'!$P$47,'501'!$P$49:$P$50,'501'!$P$52,'501'!$P$54,'501'!$P$56,'501'!$P$58:$P$61,'501'!$P$63,'501'!$P$65:$P$66,'501'!$P$68,'501'!$P$70</definedName>
    <definedName name="OSRRefP22x_0" localSheetId="39">'Div 2'!$P$21:$P$31,'Div 2'!$P$33:$P$42,'Div 2'!$P$44,'Div 2'!$P$46,'Div 2'!$P$48,'Div 2'!$P$50:$P$51,'Div 2'!$P$53:$P$54,'Div 2'!$P$56,'Div 2'!$P$58,'Div 2'!$P$60:$P$61,'Div 2'!$P$63,'Div 2'!$P$65:$P$66,'Div 2'!$P$68:$P$71,'Div 2'!$P$73:$P$76,'Div 2'!$P$78:$P$79,'Div 2'!$P$81:$P$82,'Div 2'!$P$84:$P$88,'Div 2'!$P$90:$P$91,'Div 2'!$P$93,'Div 2'!$P$95:$P$96</definedName>
    <definedName name="OSRRefP22x_0" localSheetId="47">'Div 3'!$P$129:$P$138,'Div 3'!$P$140:$P$149,'Div 3'!$P$151,'Div 3'!$P$153:$P$154,'Div 3'!$P$156,'Div 3'!$P$158:$P$159,'Div 3'!$P$161:$P$162,'Div 3'!$P$164:$P$165,'Div 3'!$P$167,'Div 3'!$P$169,'Div 3'!$P$171:$P$172,'Div 3'!$P$174:$P$176,'Div 3'!$P$178,'Div 3'!$P$180,'Div 3'!$P$182:$P$183,'Div 3'!$P$185,'Div 3'!$P$187,'Div 3'!$P$189:$P$192,'Div 3'!$P$194:$P$197,'Div 3'!$P$199:$P$203,'Div 3'!$P$205:$P$206,'Div 3'!$P$208:$P$216,'Div 3'!$P$218:$P$219,'Div 3'!$P$221,'Div 3'!$P$223:$P$225,'Div 3'!$P$227</definedName>
    <definedName name="OSRRefP22x_0" localSheetId="70">'Div 4'!$P$32:$P$41,'Div 4'!$P$43:$P$52,'Div 4'!$P$54,'Div 4'!$P$56,'Div 4'!$P$58,'Div 4'!$P$60:$P$62,'Div 4'!$P$64,'Div 4'!$P$66,'Div 4'!$P$68,'Div 4'!$P$70,'Div 4'!$P$72,'Div 4'!$P$74,'Div 4'!$P$76,'Div 4'!$P$78,'Div 4'!$P$80,'Div 4'!$P$82:$P$85,'Div 4'!$P$87:$P$88,'Div 4'!$P$90:$P$94,'Div 4'!$P$96:$P$97,'Div 4'!$P$99:$P$109,'Div 4'!$P$111:$P$112,'Div 4'!$P$114,'Div 4'!$P$116:$P$118,'Div 4'!$P$120</definedName>
    <definedName name="OSRRefP22x_0" localSheetId="92">'Div 5'!$P$21:$P$30,'Div 5'!$P$32:$P$41,'Div 5'!$P$43,'Div 5'!$P$45,'Div 5'!$P$47,'Div 5'!$P$49:$P$50,'Div 5'!$P$52,'Div 5'!$P$54,'Div 5'!$P$56,'Div 5'!$P$58:$P$61,'Div 5'!$P$63,'Div 5'!$P$65:$P$66,'Div 5'!$P$68,'Div 5'!$P$70</definedName>
    <definedName name="OSRRefP22x_0" localSheetId="61">'Div 6'!$P$53:$P$62,'Div 6'!$P$64:$P$73,'Div 6'!$P$75,'Div 6'!$P$77,'Div 6'!$P$79,'Div 6'!$P$81,'Div 6'!$P$83:$P$84,'Div 6'!$P$86,'Div 6'!$P$88,'Div 6'!$P$90:$P$91,'Div 6'!$P$93,'Div 6'!$P$95:$P$98,'Div 6'!$P$100,'Div 6'!$P$102</definedName>
    <definedName name="OSRRefP22x_0" localSheetId="2">Summary!$P$159:$P$168,Summary!$P$170:$P$179,Summary!$P$181,Summary!$P$183:$P$184,Summary!$P$186,Summary!$P$188:$P$190,Summary!$P$192:$P$193,Summary!$P$195:$P$196,Summary!$P$198,Summary!$P$200,Summary!$P$202:$P$203,Summary!$P$205:$P$207,Summary!$P$209,Summary!$P$211,Summary!$P$213:$P$214,Summary!$P$216,Summary!$P$218,Summary!$P$220,Summary!$P$222:$P$225,Summary!$P$227:$P$230,Summary!$P$232:$P$236,Summary!$P$238:$P$239,Summary!$P$241:$P$251,Summary!$P$253:$P$254,Summary!$P$256,Summary!$P$258:$P$260,Summary!$P$262</definedName>
    <definedName name="OSRRefP25x_0" localSheetId="42">'202'!$P$70:$P$72</definedName>
    <definedName name="OSRRefP25x_0" localSheetId="48">'300'!$P$223:$P$227</definedName>
    <definedName name="OSRRefP25x_0" localSheetId="49">'300 &amp; 317'!$P$247:$P$252</definedName>
    <definedName name="OSRRefP25x_0" localSheetId="50">'301'!$P$100:$P$101</definedName>
    <definedName name="OSRRefP25x_0" localSheetId="53">'308'!$P$117:$P$119</definedName>
    <definedName name="OSRRefP25x_0" localSheetId="71">'310 &amp; 491'!$P$123:$P$126</definedName>
    <definedName name="OSRRefP25x_0" localSheetId="54">'311'!$P$116:$P$118</definedName>
    <definedName name="OSRRefP25x_0" localSheetId="57">'315'!$P$150:$P$153</definedName>
    <definedName name="OSRRefP25x_0" localSheetId="60">'316'!$P$83</definedName>
    <definedName name="OSRRefP25x_0" localSheetId="62">'317'!$P$105:$P$106</definedName>
    <definedName name="OSRRefP25x_0" localSheetId="56">'331'!$P$168:$P$171</definedName>
    <definedName name="OSRRefP25x_0" localSheetId="59">'332'!$P$85:$P$86</definedName>
    <definedName name="OSRRefP25x_0" localSheetId="75">'411'!$P$84:$P$85</definedName>
    <definedName name="OSRRefP25x_0" localSheetId="80">'418'!$P$84</definedName>
    <definedName name="OSRRefP25x_0" localSheetId="82">'423'!$P$52:$P$54</definedName>
    <definedName name="OSRRefP25x_0" localSheetId="85">'455'!$P$21:$P$22</definedName>
    <definedName name="OSRRefP25x_0" localSheetId="72">'491'!$P$116:$P$119</definedName>
    <definedName name="OSRRefP25x_0" localSheetId="93">'501'!$P$73</definedName>
    <definedName name="OSRRefP25x_0" localSheetId="39">'Div 2'!$P$99:$P$101</definedName>
    <definedName name="OSRRefP25x_0" localSheetId="47">'Div 3'!$P$230:$P$234</definedName>
    <definedName name="OSRRefP25x_0" localSheetId="70">'Div 4'!$P$123:$P$126</definedName>
    <definedName name="OSRRefP25x_0" localSheetId="92">'Div 5'!$P$73</definedName>
    <definedName name="OSRRefP25x_0" localSheetId="61">'Div 6'!$P$105:$P$106</definedName>
    <definedName name="OSRRefP25x_0" localSheetId="2">Summary!$P$265:$P$272</definedName>
    <definedName name="OSRRefT13x_0" localSheetId="41">'201'!$T$13</definedName>
    <definedName name="OSRRefT13x_0" localSheetId="42">'202'!$T$13</definedName>
    <definedName name="OSRRefT13x_0" localSheetId="48">'300'!$T$13:$T$78</definedName>
    <definedName name="OSRRefT13x_0" localSheetId="49">'300 &amp; 317'!$T$13:$T$93</definedName>
    <definedName name="OSRRefT13x_0" localSheetId="52">'307'!$T$13:$T$23</definedName>
    <definedName name="OSRRefT13x_0" localSheetId="53">'308'!$T$13:$T$35</definedName>
    <definedName name="OSRRefT13x_0" localSheetId="64">'309'!$T$13</definedName>
    <definedName name="OSRRefT13x_0" localSheetId="63">'310'!$T$13:$T$20</definedName>
    <definedName name="OSRRefT13x_0" localSheetId="71">'310 &amp; 491'!$T$13:$T$25</definedName>
    <definedName name="OSRRefT13x_0" localSheetId="54">'311'!$T$13:$T$34</definedName>
    <definedName name="OSRRefT13x_0" localSheetId="65">'313'!$T$13:$T$17</definedName>
    <definedName name="OSRRefT13x_0" localSheetId="57">'315'!$T$13:$T$51</definedName>
    <definedName name="OSRRefT13x_0" localSheetId="60">'316'!$T$13:$T$24</definedName>
    <definedName name="OSRRefT13x_0" localSheetId="62">'317'!$T$13:$T$31</definedName>
    <definedName name="OSRRefT13x_0" localSheetId="66">'321'!$T$13:$T$15</definedName>
    <definedName name="OSRRefT13x_0" localSheetId="67">'322'!$T$13</definedName>
    <definedName name="OSRRefT13x_0" localSheetId="55">'324'!$T$13:$T$16</definedName>
    <definedName name="OSRRefT13x_0" localSheetId="68">'325'!$T$13:$T$14</definedName>
    <definedName name="OSRRefT13x_0" localSheetId="58">'326'!$T$13:$T$33</definedName>
    <definedName name="OSRRefT13x_0" localSheetId="69">'327'!$T$13:$T$14</definedName>
    <definedName name="OSRRefT13x_0" localSheetId="51">'330'!$T$13:$T$26</definedName>
    <definedName name="OSRRefT13x_0" localSheetId="56">'331'!$T$13:$T$51</definedName>
    <definedName name="OSRRefT13x_0" localSheetId="59">'332'!$T$13:$T$24</definedName>
    <definedName name="OSRRefT13x_0" localSheetId="73">'405'!$T$13:$T$14</definedName>
    <definedName name="OSRRefT13x_0" localSheetId="76">'412'!$T$13</definedName>
    <definedName name="OSRRefT13x_0" localSheetId="77">'413'!$T$13:$T$14</definedName>
    <definedName name="OSRRefT13x_0" localSheetId="78">'414'!$T$13:$T$15</definedName>
    <definedName name="OSRRefT13x_0" localSheetId="79">'415'!$T$13:$T$16</definedName>
    <definedName name="OSRRefT13x_0" localSheetId="80">'418'!$T$13:$T$14</definedName>
    <definedName name="OSRRefT13x_0" localSheetId="81">'420'!$T$13:$T$14</definedName>
    <definedName name="OSRRefT13x_0" localSheetId="88">'433'!$T$13:$T$16</definedName>
    <definedName name="OSRRefT13x_0" localSheetId="90">'444'!$T$13:$T$16</definedName>
    <definedName name="OSRRefT13x_0" localSheetId="91">'450'!$T$13:$T$14</definedName>
    <definedName name="OSRRefT13x_0" localSheetId="72">'491'!$T$13:$T$19</definedName>
    <definedName name="OSRRefT13x_0" localSheetId="86">'492'!$T$13:$T$16</definedName>
    <definedName name="OSRRefT13x_0" localSheetId="93">'501'!$T$13</definedName>
    <definedName name="OSRRefT13x_0" localSheetId="39">'Div 2'!$T$13</definedName>
    <definedName name="OSRRefT13x_0" localSheetId="47">'Div 3'!$T$13:$T$80</definedName>
    <definedName name="OSRRefT13x_0" localSheetId="70">'Div 4'!$T$13:$T$21</definedName>
    <definedName name="OSRRefT13x_0" localSheetId="92">'Div 5'!$T$13</definedName>
    <definedName name="OSRRefT13x_0" localSheetId="61">'Div 6'!$T$13:$T$31</definedName>
    <definedName name="OSRRefT13x_0" localSheetId="2">Summary!$T$13:$T$101</definedName>
    <definedName name="OSRRefT16x_0" localSheetId="48">'300'!$T$81:$T$119</definedName>
    <definedName name="OSRRefT16x_0" localSheetId="49">'300 &amp; 317'!$T$96:$T$143</definedName>
    <definedName name="OSRRefT16x_0" localSheetId="50">'301'!$T$15</definedName>
    <definedName name="OSRRefT16x_0" localSheetId="52">'307'!$T$26:$T$33</definedName>
    <definedName name="OSRRefT16x_0" localSheetId="53">'308'!$T$38:$T$53</definedName>
    <definedName name="OSRRefT16x_0" localSheetId="64">'309'!$T$16</definedName>
    <definedName name="OSRRefT16x_0" localSheetId="63">'310'!$T$23:$T$25</definedName>
    <definedName name="OSRRefT16x_0" localSheetId="71">'310 &amp; 491'!$T$28:$T$30</definedName>
    <definedName name="OSRRefT16x_0" localSheetId="54">'311'!$T$37:$T$52</definedName>
    <definedName name="OSRRefT16x_0" localSheetId="65">'313'!$T$20:$T$21</definedName>
    <definedName name="OSRRefT16x_0" localSheetId="57">'315'!$T$54:$T$77</definedName>
    <definedName name="OSRRefT16x_0" localSheetId="62">'317'!$T$34:$T$47</definedName>
    <definedName name="OSRRefT16x_0" localSheetId="66">'321'!$T$18:$T$20</definedName>
    <definedName name="OSRRefT16x_0" localSheetId="67">'322'!$T$16:$T$17</definedName>
    <definedName name="OSRRefT16x_0" localSheetId="55">'324'!$T$19:$T$21</definedName>
    <definedName name="OSRRefT16x_0" localSheetId="68">'325'!$T$17:$T$19</definedName>
    <definedName name="OSRRefT16x_0" localSheetId="58">'326'!$T$36:$T$43</definedName>
    <definedName name="OSRRefT16x_0" localSheetId="69">'327'!$T$17:$T$19</definedName>
    <definedName name="OSRRefT16x_0" localSheetId="51">'330'!$T$29:$T$36</definedName>
    <definedName name="OSRRefT16x_0" localSheetId="56">'331'!$T$54:$T$78</definedName>
    <definedName name="OSRRefT16x_0" localSheetId="59">'332'!$T$27:$T$28</definedName>
    <definedName name="OSRRefT16x_0" localSheetId="73">'405'!$T$17:$T$18</definedName>
    <definedName name="OSRRefT16x_0" localSheetId="76">'412'!$T$16</definedName>
    <definedName name="OSRRefT16x_0" localSheetId="77">'413'!$T$17</definedName>
    <definedName name="OSRRefT16x_0" localSheetId="78">'414'!$T$18:$T$19</definedName>
    <definedName name="OSRRefT16x_0" localSheetId="79">'415'!$T$19:$T$21</definedName>
    <definedName name="OSRRefT16x_0" localSheetId="80">'418'!$T$17:$T$18</definedName>
    <definedName name="OSRRefT16x_0" localSheetId="84">'425'!$T$15</definedName>
    <definedName name="OSRRefT16x_0" localSheetId="88">'433'!$T$19:$T$21</definedName>
    <definedName name="OSRRefT16x_0" localSheetId="90">'444'!$T$19:$T$21</definedName>
    <definedName name="OSRRefT16x_0" localSheetId="91">'450'!$T$17</definedName>
    <definedName name="OSRRefT16x_0" localSheetId="72">'491'!$T$22:$T$24</definedName>
    <definedName name="OSRRefT16x_0" localSheetId="86">'492'!$T$19:$T$21</definedName>
    <definedName name="OSRRefT16x_0" localSheetId="47">'Div 3'!$T$83:$T$123</definedName>
    <definedName name="OSRRefT16x_0" localSheetId="70">'Div 4'!$T$24:$T$26</definedName>
    <definedName name="OSRRefT16x_0" localSheetId="61">'Div 6'!$T$34:$T$47</definedName>
    <definedName name="OSRRefT16x_0" localSheetId="2">Summary!$T$104:$T$153</definedName>
    <definedName name="OSRRefT22_0x_0" localSheetId="40">'200'!$T$20</definedName>
    <definedName name="OSRRefT22_0x_0" localSheetId="41">'201'!$T$21:$T$29</definedName>
    <definedName name="OSRRefT22_0x_0" localSheetId="42">'202'!$T$21:$T$29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'300'!$T$125:$T$134</definedName>
    <definedName name="OSRRefT22_0x_0" localSheetId="49">'300 &amp; 317'!$T$149:$T$158</definedName>
    <definedName name="OSRRefT22_0x_0" localSheetId="50">'301'!$T$21:$T$30</definedName>
    <definedName name="OSRRefT22_0x_0" localSheetId="52">'307'!$T$39:$T$46</definedName>
    <definedName name="OSRRefT22_0x_0" localSheetId="53">'308'!$T$59:$T$68</definedName>
    <definedName name="OSRRefT22_0x_0" localSheetId="64">'309'!$T$22:$T$29</definedName>
    <definedName name="OSRRefT22_0x_0" localSheetId="63">'310'!$T$31:$T$39</definedName>
    <definedName name="OSRRefT22_0x_0" localSheetId="71">'310 &amp; 491'!$T$36:$T$44</definedName>
    <definedName name="OSRRefT22_0x_0" localSheetId="54">'311'!$T$58:$T$67</definedName>
    <definedName name="OSRRefT22_0x_0" localSheetId="65">'313'!$T$27:$T$35</definedName>
    <definedName name="OSRRefT22_0x_0" localSheetId="57">'315'!$T$83:$T$91</definedName>
    <definedName name="OSRRefT22_0x_0" localSheetId="60">'316'!$T$32:$T$40</definedName>
    <definedName name="OSRRefT22_0x_0" localSheetId="62">'317'!$T$53:$T$62</definedName>
    <definedName name="OSRRefT22_0x_0" localSheetId="66">'321'!$T$26:$T$34</definedName>
    <definedName name="OSRRefT22_0x_0" localSheetId="67">'322'!$T$23:$T$30</definedName>
    <definedName name="OSRRefT22_0x_0" localSheetId="55">'324'!$T$27:$T$34</definedName>
    <definedName name="OSRRefT22_0x_0" localSheetId="68">'325'!$T$25:$T$32</definedName>
    <definedName name="OSRRefT22_0x_0" localSheetId="58">'326'!$T$49:$T$57</definedName>
    <definedName name="OSRRefT22_0x_0" localSheetId="69">'327'!$T$25</definedName>
    <definedName name="OSRRefT22_0x_0" localSheetId="51">'330'!$T$42:$T$50</definedName>
    <definedName name="OSRRefT22_0x_0" localSheetId="56">'331'!$T$84:$T$92</definedName>
    <definedName name="OSRRefT22_0x_0" localSheetId="59">'332'!$T$34:$T$42</definedName>
    <definedName name="OSRRefT22_0x_0" localSheetId="73">'405'!$T$24:$T$31</definedName>
    <definedName name="OSRRefT22_0x_0" localSheetId="74">'406'!$T$20</definedName>
    <definedName name="OSRRefT22_0x_0" localSheetId="75">'411'!$T$20:$T$28</definedName>
    <definedName name="OSRRefT22_0x_0" localSheetId="76">'412'!$T$22:$T$29</definedName>
    <definedName name="OSRRefT22_0x_0" localSheetId="77">'413'!$T$23:$T$31</definedName>
    <definedName name="OSRRefT22_0x_0" localSheetId="78">'414'!$T$25:$T$33</definedName>
    <definedName name="OSRRefT22_0x_0" localSheetId="79">'415'!$T$27:$T$35</definedName>
    <definedName name="OSRRefT22_0x_0" localSheetId="80">'418'!$T$24:$T$31</definedName>
    <definedName name="OSRRefT22_0x_0" localSheetId="81">'420'!$T$22</definedName>
    <definedName name="OSRRefT22_0x_0" localSheetId="82">'423'!$T$20:$T$27</definedName>
    <definedName name="OSRRefT22_0x_0" localSheetId="83">'424'!$T$20</definedName>
    <definedName name="OSRRefT22_0x_0" localSheetId="84">'425'!$T$21:$T$25</definedName>
    <definedName name="OSRRefT22_0x_0" localSheetId="87">'430'!$T$20:$T$28</definedName>
    <definedName name="OSRRefT22_0x_0" localSheetId="88">'433'!$T$27:$T$36</definedName>
    <definedName name="OSRRefT22_0x_0" localSheetId="89">'435'!$T$20</definedName>
    <definedName name="OSRRefT22_0x_0" localSheetId="90">'444'!$T$27:$T$36</definedName>
    <definedName name="OSRRefT22_0x_0" localSheetId="91">'450'!$T$23:$T$32</definedName>
    <definedName name="OSRRefT22_0x_0" localSheetId="72">'491'!$T$30:$T$38</definedName>
    <definedName name="OSRRefT22_0x_0" localSheetId="86">'492'!$T$27:$T$36</definedName>
    <definedName name="OSRRefT22_0x_0" localSheetId="93">'501'!$T$21:$T$30</definedName>
    <definedName name="OSRRefT22_0x_0" localSheetId="39">'Div 2'!$T$21:$T$31</definedName>
    <definedName name="OSRRefT22_0x_0" localSheetId="47">'Div 3'!$T$129:$T$138</definedName>
    <definedName name="OSRRefT22_0x_0" localSheetId="70">'Div 4'!$T$32:$T$41</definedName>
    <definedName name="OSRRefT22_0x_0" localSheetId="92">'Div 5'!$T$21:$T$30</definedName>
    <definedName name="OSRRefT22_0x_0" localSheetId="61">'Div 6'!$T$53:$T$62</definedName>
    <definedName name="OSRRefT22_0x_0" localSheetId="2">Summary!$T$159:$T$168</definedName>
    <definedName name="OSRRefT22_10x_0" localSheetId="41">'201'!$T$59:$T$61</definedName>
    <definedName name="OSRRefT22_10x_0" localSheetId="42">'202'!$T$63</definedName>
    <definedName name="OSRRefT22_10x_0" localSheetId="43">'203'!$T$62</definedName>
    <definedName name="OSRRefT22_10x_0" localSheetId="44">'204'!$T$62:$T$63</definedName>
    <definedName name="OSRRefT22_10x_0" localSheetId="48">'300'!$T$167:$T$168</definedName>
    <definedName name="OSRRefT22_10x_0" localSheetId="49">'300 &amp; 317'!$T$191:$T$192</definedName>
    <definedName name="OSRRefT22_10x_0" localSheetId="50">'301'!$T$61</definedName>
    <definedName name="OSRRefT22_10x_0" localSheetId="52">'307'!$T$77:$T$78</definedName>
    <definedName name="OSRRefT22_10x_0" localSheetId="53">'308'!$T$102:$T$103</definedName>
    <definedName name="OSRRefT22_10x_0" localSheetId="64">'309'!$T$62</definedName>
    <definedName name="OSRRefT22_10x_0" localSheetId="63">'310'!$T$69</definedName>
    <definedName name="OSRRefT22_10x_0" localSheetId="71">'310 &amp; 491'!$T$76</definedName>
    <definedName name="OSRRefT22_10x_0" localSheetId="54">'311'!$T$101:$T$102</definedName>
    <definedName name="OSRRefT22_10x_0" localSheetId="65">'313'!$T$68</definedName>
    <definedName name="OSRRefT22_10x_0" localSheetId="57">'315'!$T$123</definedName>
    <definedName name="OSRRefT22_10x_0" localSheetId="60">'316'!$T$72:$T$76</definedName>
    <definedName name="OSRRefT22_10x_0" localSheetId="62">'317'!$T$93</definedName>
    <definedName name="OSRRefT22_10x_0" localSheetId="66">'321'!$T$66:$T$68</definedName>
    <definedName name="OSRRefT22_10x_0" localSheetId="67">'322'!$T$64</definedName>
    <definedName name="OSRRefT22_10x_0" localSheetId="68">'325'!$T$62</definedName>
    <definedName name="OSRRefT22_10x_0" localSheetId="58">'326'!$T$87</definedName>
    <definedName name="OSRRefT22_10x_0" localSheetId="51">'330'!$T$81:$T$82</definedName>
    <definedName name="OSRRefT22_10x_0" localSheetId="56">'331'!$T$124</definedName>
    <definedName name="OSRRefT22_10x_0" localSheetId="59">'332'!$T$74:$T$78</definedName>
    <definedName name="OSRRefT22_10x_0" localSheetId="73">'405'!$T$62</definedName>
    <definedName name="OSRRefT22_10x_0" localSheetId="75">'411'!$T$61:$T$64</definedName>
    <definedName name="OSRRefT22_10x_0" localSheetId="76">'412'!$T$60:$T$63</definedName>
    <definedName name="OSRRefT22_10x_0" localSheetId="77">'413'!$T$64:$T$71</definedName>
    <definedName name="OSRRefT22_10x_0" localSheetId="78">'414'!$T$63</definedName>
    <definedName name="OSRRefT22_10x_0" localSheetId="79">'415'!$T$65</definedName>
    <definedName name="OSRRefT22_10x_0" localSheetId="80">'418'!$T$64:$T$65</definedName>
    <definedName name="OSRRefT22_10x_0" localSheetId="88">'433'!$T$65</definedName>
    <definedName name="OSRRefT22_10x_0" localSheetId="90">'444'!$T$65</definedName>
    <definedName name="OSRRefT22_10x_0" localSheetId="91">'450'!$T$61</definedName>
    <definedName name="OSRRefT22_10x_0" localSheetId="72">'491'!$T$69</definedName>
    <definedName name="OSRRefT22_10x_0" localSheetId="86">'492'!$T$65</definedName>
    <definedName name="OSRRefT22_10x_0" localSheetId="93">'501'!$T$63</definedName>
    <definedName name="OSRRefT22_10x_0" localSheetId="39">'Div 2'!$T$63</definedName>
    <definedName name="OSRRefT22_10x_0" localSheetId="47">'Div 3'!$T$171:$T$172</definedName>
    <definedName name="OSRRefT22_10x_0" localSheetId="70">'Div 4'!$T$72</definedName>
    <definedName name="OSRRefT22_10x_0" localSheetId="92">'Div 5'!$T$63</definedName>
    <definedName name="OSRRefT22_10x_0" localSheetId="61">'Div 6'!$T$93</definedName>
    <definedName name="OSRRefT22_10x_0" localSheetId="2">Summary!$T$202:$T$203</definedName>
    <definedName name="OSRRefT22_11x_0" localSheetId="41">'201'!$T$63:$T$64</definedName>
    <definedName name="OSRRefT22_11x_0" localSheetId="42">'202'!$T$65</definedName>
    <definedName name="OSRRefT22_11x_0" localSheetId="43">'203'!$T$64:$T$66</definedName>
    <definedName name="OSRRefT22_11x_0" localSheetId="44">'204'!$T$65</definedName>
    <definedName name="OSRRefT22_11x_0" localSheetId="48">'300'!$T$170:$T$172</definedName>
    <definedName name="OSRRefT22_11x_0" localSheetId="49">'300 &amp; 317'!$T$194:$T$196</definedName>
    <definedName name="OSRRefT22_11x_0" localSheetId="50">'301'!$T$63</definedName>
    <definedName name="OSRRefT22_11x_0" localSheetId="52">'307'!$T$80:$T$83</definedName>
    <definedName name="OSRRefT22_11x_0" localSheetId="53">'308'!$T$105:$T$107</definedName>
    <definedName name="OSRRefT22_11x_0" localSheetId="63">'310'!$T$71</definedName>
    <definedName name="OSRRefT22_11x_0" localSheetId="71">'310 &amp; 491'!$T$78</definedName>
    <definedName name="OSRRefT22_11x_0" localSheetId="54">'311'!$T$104:$T$106</definedName>
    <definedName name="OSRRefT22_11x_0" localSheetId="65">'313'!$T$70</definedName>
    <definedName name="OSRRefT22_11x_0" localSheetId="57">'315'!$T$125</definedName>
    <definedName name="OSRRefT22_11x_0" localSheetId="60">'316'!$T$78</definedName>
    <definedName name="OSRRefT22_11x_0" localSheetId="62">'317'!$T$95:$T$98</definedName>
    <definedName name="OSRRefT22_11x_0" localSheetId="66">'321'!$T$70:$T$71</definedName>
    <definedName name="OSRRefT22_11x_0" localSheetId="67">'322'!$T$66</definedName>
    <definedName name="OSRRefT22_11x_0" localSheetId="68">'325'!$T$64:$T$67</definedName>
    <definedName name="OSRRefT22_11x_0" localSheetId="58">'326'!$T$89</definedName>
    <definedName name="OSRRefT22_11x_0" localSheetId="51">'330'!$T$84:$T$87</definedName>
    <definedName name="OSRRefT22_11x_0" localSheetId="56">'331'!$T$126:$T$127</definedName>
    <definedName name="OSRRefT22_11x_0" localSheetId="59">'332'!$T$80</definedName>
    <definedName name="OSRRefT22_11x_0" localSheetId="73">'405'!$T$64:$T$67</definedName>
    <definedName name="OSRRefT22_11x_0" localSheetId="75">'411'!$T$66:$T$67</definedName>
    <definedName name="OSRRefT22_11x_0" localSheetId="76">'412'!$T$65:$T$69</definedName>
    <definedName name="OSRRefT22_11x_0" localSheetId="77">'413'!$T$73:$T$74</definedName>
    <definedName name="OSRRefT22_11x_0" localSheetId="78">'414'!$T$65</definedName>
    <definedName name="OSRRefT22_11x_0" localSheetId="79">'415'!$T$67:$T$68</definedName>
    <definedName name="OSRRefT22_11x_0" localSheetId="80">'418'!$T$67:$T$76</definedName>
    <definedName name="OSRRefT22_11x_0" localSheetId="88">'433'!$T$67:$T$69</definedName>
    <definedName name="OSRRefT22_11x_0" localSheetId="90">'444'!$T$67:$T$70</definedName>
    <definedName name="OSRRefT22_11x_0" localSheetId="91">'450'!$T$63</definedName>
    <definedName name="OSRRefT22_11x_0" localSheetId="72">'491'!$T$71</definedName>
    <definedName name="OSRRefT22_11x_0" localSheetId="86">'492'!$T$67</definedName>
    <definedName name="OSRRefT22_11x_0" localSheetId="93">'501'!$T$65:$T$66</definedName>
    <definedName name="OSRRefT22_11x_0" localSheetId="39">'Div 2'!$T$65:$T$66</definedName>
    <definedName name="OSRRefT22_11x_0" localSheetId="47">'Div 3'!$T$174:$T$176</definedName>
    <definedName name="OSRRefT22_11x_0" localSheetId="70">'Div 4'!$T$74</definedName>
    <definedName name="OSRRefT22_11x_0" localSheetId="92">'Div 5'!$T$65:$T$66</definedName>
    <definedName name="OSRRefT22_11x_0" localSheetId="61">'Div 6'!$T$95:$T$98</definedName>
    <definedName name="OSRRefT22_11x_0" localSheetId="2">Summary!$T$205:$T$207</definedName>
    <definedName name="OSRRefT22_12x_0" localSheetId="41">'201'!$T$66</definedName>
    <definedName name="OSRRefT22_12x_0" localSheetId="42">'202'!$T$67</definedName>
    <definedName name="OSRRefT22_12x_0" localSheetId="43">'203'!$T$68</definedName>
    <definedName name="OSRRefT22_12x_0" localSheetId="44">'204'!$T$67</definedName>
    <definedName name="OSRRefT22_12x_0" localSheetId="48">'300'!$T$174</definedName>
    <definedName name="OSRRefT22_12x_0" localSheetId="49">'300 &amp; 317'!$T$198</definedName>
    <definedName name="OSRRefT22_12x_0" localSheetId="50">'301'!$T$65</definedName>
    <definedName name="OSRRefT22_12x_0" localSheetId="52">'307'!$T$85:$T$86</definedName>
    <definedName name="OSRRefT22_12x_0" localSheetId="53">'308'!$T$109:$T$110</definedName>
    <definedName name="OSRRefT22_12x_0" localSheetId="63">'310'!$T$73</definedName>
    <definedName name="OSRRefT22_12x_0" localSheetId="71">'310 &amp; 491'!$T$80</definedName>
    <definedName name="OSRRefT22_12x_0" localSheetId="54">'311'!$T$108:$T$109</definedName>
    <definedName name="OSRRefT22_12x_0" localSheetId="57">'315'!$T$127:$T$129</definedName>
    <definedName name="OSRRefT22_12x_0" localSheetId="60">'316'!$T$80</definedName>
    <definedName name="OSRRefT22_12x_0" localSheetId="62">'317'!$T$100</definedName>
    <definedName name="OSRRefT22_12x_0" localSheetId="66">'321'!$T$73</definedName>
    <definedName name="OSRRefT22_12x_0" localSheetId="68">'325'!$T$69:$T$71</definedName>
    <definedName name="OSRRefT22_12x_0" localSheetId="58">'326'!$T$91</definedName>
    <definedName name="OSRRefT22_12x_0" localSheetId="51">'330'!$T$89:$T$90</definedName>
    <definedName name="OSRRefT22_12x_0" localSheetId="56">'331'!$T$129</definedName>
    <definedName name="OSRRefT22_12x_0" localSheetId="59">'332'!$T$82</definedName>
    <definedName name="OSRRefT22_12x_0" localSheetId="73">'405'!$T$69</definedName>
    <definedName name="OSRRefT22_12x_0" localSheetId="75">'411'!$T$69:$T$75</definedName>
    <definedName name="OSRRefT22_12x_0" localSheetId="76">'412'!$T$71:$T$72</definedName>
    <definedName name="OSRRefT22_12x_0" localSheetId="77">'413'!$T$76</definedName>
    <definedName name="OSRRefT22_12x_0" localSheetId="78">'414'!$T$67:$T$69</definedName>
    <definedName name="OSRRefT22_12x_0" localSheetId="79">'415'!$T$70:$T$74</definedName>
    <definedName name="OSRRefT22_12x_0" localSheetId="80">'418'!$T$78:$T$79</definedName>
    <definedName name="OSRRefT22_12x_0" localSheetId="88">'433'!$T$71:$T$74</definedName>
    <definedName name="OSRRefT22_12x_0" localSheetId="90">'444'!$T$72:$T$75</definedName>
    <definedName name="OSRRefT22_12x_0" localSheetId="91">'450'!$T$65</definedName>
    <definedName name="OSRRefT22_12x_0" localSheetId="72">'491'!$T$73</definedName>
    <definedName name="OSRRefT22_12x_0" localSheetId="86">'492'!$T$69:$T$72</definedName>
    <definedName name="OSRRefT22_12x_0" localSheetId="93">'501'!$T$68</definedName>
    <definedName name="OSRRefT22_12x_0" localSheetId="39">'Div 2'!$T$68:$T$71</definedName>
    <definedName name="OSRRefT22_12x_0" localSheetId="47">'Div 3'!$T$178</definedName>
    <definedName name="OSRRefT22_12x_0" localSheetId="70">'Div 4'!$T$76</definedName>
    <definedName name="OSRRefT22_12x_0" localSheetId="92">'Div 5'!$T$68</definedName>
    <definedName name="OSRRefT22_12x_0" localSheetId="61">'Div 6'!$T$100</definedName>
    <definedName name="OSRRefT22_12x_0" localSheetId="2">Summary!$T$209</definedName>
    <definedName name="OSRRefT22_13x_0" localSheetId="41">'201'!$T$68:$T$70</definedName>
    <definedName name="OSRRefT22_13x_0" localSheetId="43">'203'!$T$70</definedName>
    <definedName name="OSRRefT22_13x_0" localSheetId="48">'300'!$T$176:$T$177</definedName>
    <definedName name="OSRRefT22_13x_0" localSheetId="49">'300 &amp; 317'!$T$200:$T$201</definedName>
    <definedName name="OSRRefT22_13x_0" localSheetId="50">'301'!$T$67</definedName>
    <definedName name="OSRRefT22_13x_0" localSheetId="52">'307'!$T$88</definedName>
    <definedName name="OSRRefT22_13x_0" localSheetId="53">'308'!$T$112</definedName>
    <definedName name="OSRRefT22_13x_0" localSheetId="63">'310'!$T$75:$T$78</definedName>
    <definedName name="OSRRefT22_13x_0" localSheetId="71">'310 &amp; 491'!$T$82:$T$85</definedName>
    <definedName name="OSRRefT22_13x_0" localSheetId="54">'311'!$T$111</definedName>
    <definedName name="OSRRefT22_13x_0" localSheetId="57">'315'!$T$131:$T$132</definedName>
    <definedName name="OSRRefT22_13x_0" localSheetId="62">'317'!$T$102</definedName>
    <definedName name="OSRRefT22_13x_0" localSheetId="66">'321'!$T$75</definedName>
    <definedName name="OSRRefT22_13x_0" localSheetId="68">'325'!$T$73</definedName>
    <definedName name="OSRRefT22_13x_0" localSheetId="58">'326'!$T$93:$T$95</definedName>
    <definedName name="OSRRefT22_13x_0" localSheetId="51">'330'!$T$92</definedName>
    <definedName name="OSRRefT22_13x_0" localSheetId="56">'331'!$T$131</definedName>
    <definedName name="OSRRefT22_13x_0" localSheetId="73">'405'!$T$71:$T$79</definedName>
    <definedName name="OSRRefT22_13x_0" localSheetId="75">'411'!$T$77</definedName>
    <definedName name="OSRRefT22_13x_0" localSheetId="76">'412'!$T$74</definedName>
    <definedName name="OSRRefT22_13x_0" localSheetId="78">'414'!$T$71</definedName>
    <definedName name="OSRRefT22_13x_0" localSheetId="79">'415'!$T$76</definedName>
    <definedName name="OSRRefT22_13x_0" localSheetId="80">'418'!$T$81</definedName>
    <definedName name="OSRRefT22_13x_0" localSheetId="88">'433'!$T$76:$T$83</definedName>
    <definedName name="OSRRefT22_13x_0" localSheetId="90">'444'!$T$77</definedName>
    <definedName name="OSRRefT22_13x_0" localSheetId="91">'450'!$T$67:$T$69</definedName>
    <definedName name="OSRRefT22_13x_0" localSheetId="72">'491'!$T$75:$T$78</definedName>
    <definedName name="OSRRefT22_13x_0" localSheetId="86">'492'!$T$74:$T$77</definedName>
    <definedName name="OSRRefT22_13x_0" localSheetId="93">'501'!$T$70</definedName>
    <definedName name="OSRRefT22_13x_0" localSheetId="39">'Div 2'!$T$73:$T$76</definedName>
    <definedName name="OSRRefT22_13x_0" localSheetId="47">'Div 3'!$T$180</definedName>
    <definedName name="OSRRefT22_13x_0" localSheetId="70">'Div 4'!$T$78</definedName>
    <definedName name="OSRRefT22_13x_0" localSheetId="92">'Div 5'!$T$70</definedName>
    <definedName name="OSRRefT22_13x_0" localSheetId="61">'Div 6'!$T$102</definedName>
    <definedName name="OSRRefT22_13x_0" localSheetId="2">Summary!$T$211</definedName>
    <definedName name="OSRRefT22_14x_0" localSheetId="41">'201'!$T$72</definedName>
    <definedName name="OSRRefT22_14x_0" localSheetId="43">'203'!$T$72</definedName>
    <definedName name="OSRRefT22_14x_0" localSheetId="48">'300'!$T$179</definedName>
    <definedName name="OSRRefT22_14x_0" localSheetId="49">'300 &amp; 317'!$T$203</definedName>
    <definedName name="OSRRefT22_14x_0" localSheetId="50">'301'!$T$69</definedName>
    <definedName name="OSRRefT22_14x_0" localSheetId="53">'308'!$T$114</definedName>
    <definedName name="OSRRefT22_14x_0" localSheetId="63">'310'!$T$80:$T$81</definedName>
    <definedName name="OSRRefT22_14x_0" localSheetId="71">'310 &amp; 491'!$T$87:$T$88</definedName>
    <definedName name="OSRRefT22_14x_0" localSheetId="54">'311'!$T$113</definedName>
    <definedName name="OSRRefT22_14x_0" localSheetId="57">'315'!$T$134:$T$140</definedName>
    <definedName name="OSRRefT22_14x_0" localSheetId="68">'325'!$T$75:$T$79</definedName>
    <definedName name="OSRRefT22_14x_0" localSheetId="58">'326'!$T$97:$T$99</definedName>
    <definedName name="OSRRefT22_14x_0" localSheetId="56">'331'!$T$133:$T$135</definedName>
    <definedName name="OSRRefT22_14x_0" localSheetId="73">'405'!$T$81</definedName>
    <definedName name="OSRRefT22_14x_0" localSheetId="75">'411'!$T$79</definedName>
    <definedName name="OSRRefT22_14x_0" localSheetId="78">'414'!$T$73</definedName>
    <definedName name="OSRRefT22_14x_0" localSheetId="79">'415'!$T$78:$T$85</definedName>
    <definedName name="OSRRefT22_14x_0" localSheetId="88">'433'!$T$85</definedName>
    <definedName name="OSRRefT22_14x_0" localSheetId="90">'444'!$T$79:$T$87</definedName>
    <definedName name="OSRRefT22_14x_0" localSheetId="91">'450'!$T$71:$T$77</definedName>
    <definedName name="OSRRefT22_14x_0" localSheetId="72">'491'!$T$80:$T$81</definedName>
    <definedName name="OSRRefT22_14x_0" localSheetId="86">'492'!$T$79</definedName>
    <definedName name="OSRRefT22_14x_0" localSheetId="39">'Div 2'!$T$78:$T$79</definedName>
    <definedName name="OSRRefT22_14x_0" localSheetId="47">'Div 3'!$T$182:$T$183</definedName>
    <definedName name="OSRRefT22_14x_0" localSheetId="70">'Div 4'!$T$80</definedName>
    <definedName name="OSRRefT22_14x_0" localSheetId="2">Summary!$T$213:$T$214</definedName>
    <definedName name="OSRRefT22_15x_0" localSheetId="41">'201'!$T$74</definedName>
    <definedName name="OSRRefT22_15x_0" localSheetId="48">'300'!$T$181</definedName>
    <definedName name="OSRRefT22_15x_0" localSheetId="49">'300 &amp; 317'!$T$205</definedName>
    <definedName name="OSRRefT22_15x_0" localSheetId="50">'301'!$T$71:$T$74</definedName>
    <definedName name="OSRRefT22_15x_0" localSheetId="63">'310'!$T$83:$T$86</definedName>
    <definedName name="OSRRefT22_15x_0" localSheetId="71">'310 &amp; 491'!$T$90:$T$94</definedName>
    <definedName name="OSRRefT22_15x_0" localSheetId="57">'315'!$T$142</definedName>
    <definedName name="OSRRefT22_15x_0" localSheetId="68">'325'!$T$81:$T$82</definedName>
    <definedName name="OSRRefT22_15x_0" localSheetId="58">'326'!$T$101:$T$102</definedName>
    <definedName name="OSRRefT22_15x_0" localSheetId="56">'331'!$T$137:$T$139</definedName>
    <definedName name="OSRRefT22_15x_0" localSheetId="73">'405'!$T$83</definedName>
    <definedName name="OSRRefT22_15x_0" localSheetId="75">'411'!$T$81</definedName>
    <definedName name="OSRRefT22_15x_0" localSheetId="78">'414'!$T$75</definedName>
    <definedName name="OSRRefT22_15x_0" localSheetId="79">'415'!$T$87:$T$88</definedName>
    <definedName name="OSRRefT22_15x_0" localSheetId="88">'433'!$T$87</definedName>
    <definedName name="OSRRefT22_15x_0" localSheetId="90">'444'!$T$89:$T$90</definedName>
    <definedName name="OSRRefT22_15x_0" localSheetId="91">'450'!$T$79:$T$80</definedName>
    <definedName name="OSRRefT22_15x_0" localSheetId="72">'491'!$T$83:$T$87</definedName>
    <definedName name="OSRRefT22_15x_0" localSheetId="86">'492'!$T$81:$T$90</definedName>
    <definedName name="OSRRefT22_15x_0" localSheetId="39">'Div 2'!$T$81:$T$82</definedName>
    <definedName name="OSRRefT22_15x_0" localSheetId="47">'Div 3'!$T$185</definedName>
    <definedName name="OSRRefT22_15x_0" localSheetId="70">'Div 4'!$T$82:$T$85</definedName>
    <definedName name="OSRRefT22_15x_0" localSheetId="2">Summary!$T$216</definedName>
    <definedName name="OSRRefT22_16x_0" localSheetId="41">'201'!$T$76</definedName>
    <definedName name="OSRRefT22_16x_0" localSheetId="48">'300'!$T$183:$T$186</definedName>
    <definedName name="OSRRefT22_16x_0" localSheetId="49">'300 &amp; 317'!$T$207:$T$210</definedName>
    <definedName name="OSRRefT22_16x_0" localSheetId="50">'301'!$T$76:$T$78</definedName>
    <definedName name="OSRRefT22_16x_0" localSheetId="63">'310'!$T$88</definedName>
    <definedName name="OSRRefT22_16x_0" localSheetId="71">'310 &amp; 491'!$T$96:$T$97</definedName>
    <definedName name="OSRRefT22_16x_0" localSheetId="57">'315'!$T$144</definedName>
    <definedName name="OSRRefT22_16x_0" localSheetId="68">'325'!$T$84</definedName>
    <definedName name="OSRRefT22_16x_0" localSheetId="58">'326'!$T$104:$T$109</definedName>
    <definedName name="OSRRefT22_16x_0" localSheetId="56">'331'!$T$141:$T$143</definedName>
    <definedName name="OSRRefT22_16x_0" localSheetId="73">'405'!$T$85</definedName>
    <definedName name="OSRRefT22_16x_0" localSheetId="79">'415'!$T$90</definedName>
    <definedName name="OSRRefT22_16x_0" localSheetId="90">'444'!$T$92</definedName>
    <definedName name="OSRRefT22_16x_0" localSheetId="91">'450'!$T$82</definedName>
    <definedName name="OSRRefT22_16x_0" localSheetId="72">'491'!$T$89:$T$90</definedName>
    <definedName name="OSRRefT22_16x_0" localSheetId="86">'492'!$T$92:$T$93</definedName>
    <definedName name="OSRRefT22_16x_0" localSheetId="39">'Div 2'!$T$84:$T$88</definedName>
    <definedName name="OSRRefT22_16x_0" localSheetId="47">'Div 3'!$T$187</definedName>
    <definedName name="OSRRefT22_16x_0" localSheetId="70">'Div 4'!$T$87:$T$88</definedName>
    <definedName name="OSRRefT22_16x_0" localSheetId="2">Summary!$T$218</definedName>
    <definedName name="OSRRefT22_17x_0" localSheetId="48">'300'!$T$188:$T$191</definedName>
    <definedName name="OSRRefT22_17x_0" localSheetId="49">'300 &amp; 317'!$T$212:$T$215</definedName>
    <definedName name="OSRRefT22_17x_0" localSheetId="50">'301'!$T$80</definedName>
    <definedName name="OSRRefT22_17x_0" localSheetId="63">'310'!$T$90:$T$96</definedName>
    <definedName name="OSRRefT22_17x_0" localSheetId="71">'310 &amp; 491'!$T$99:$T$109</definedName>
    <definedName name="OSRRefT22_17x_0" localSheetId="57">'315'!$T$146:$T$147</definedName>
    <definedName name="OSRRefT22_17x_0" localSheetId="68">'325'!$T$86</definedName>
    <definedName name="OSRRefT22_17x_0" localSheetId="58">'326'!$T$111:$T$112</definedName>
    <definedName name="OSRRefT22_17x_0" localSheetId="56">'331'!$T$145:$T$146</definedName>
    <definedName name="OSRRefT22_17x_0" localSheetId="73">'405'!$T$87</definedName>
    <definedName name="OSRRefT22_17x_0" localSheetId="79">'415'!$T$92:$T$93</definedName>
    <definedName name="OSRRefT22_17x_0" localSheetId="90">'444'!$T$94</definedName>
    <definedName name="OSRRefT22_17x_0" localSheetId="72">'491'!$T$92:$T$102</definedName>
    <definedName name="OSRRefT22_17x_0" localSheetId="86">'492'!$T$95</definedName>
    <definedName name="OSRRefT22_17x_0" localSheetId="39">'Div 2'!$T$90:$T$91</definedName>
    <definedName name="OSRRefT22_17x_0" localSheetId="47">'Div 3'!$T$189:$T$192</definedName>
    <definedName name="OSRRefT22_17x_0" localSheetId="70">'Div 4'!$T$90:$T$94</definedName>
    <definedName name="OSRRefT22_17x_0" localSheetId="2">Summary!$T$220</definedName>
    <definedName name="OSRRefT22_18x_0" localSheetId="48">'300'!$T$193:$T$196</definedName>
    <definedName name="OSRRefT22_18x_0" localSheetId="49">'300 &amp; 317'!$T$217:$T$220</definedName>
    <definedName name="OSRRefT22_18x_0" localSheetId="50">'301'!$T$82:$T$88</definedName>
    <definedName name="OSRRefT22_18x_0" localSheetId="63">'310'!$T$98:$T$99</definedName>
    <definedName name="OSRRefT22_18x_0" localSheetId="71">'310 &amp; 491'!$T$111:$T$112</definedName>
    <definedName name="OSRRefT22_18x_0" localSheetId="58">'326'!$T$114</definedName>
    <definedName name="OSRRefT22_18x_0" localSheetId="56">'331'!$T$148:$T$155</definedName>
    <definedName name="OSRRefT22_18x_0" localSheetId="79">'415'!$T$95</definedName>
    <definedName name="OSRRefT22_18x_0" localSheetId="72">'491'!$T$104:$T$105</definedName>
    <definedName name="OSRRefT22_18x_0" localSheetId="86">'492'!$T$97:$T$98</definedName>
    <definedName name="OSRRefT22_18x_0" localSheetId="39">'Div 2'!$T$93</definedName>
    <definedName name="OSRRefT22_18x_0" localSheetId="47">'Div 3'!$T$194:$T$197</definedName>
    <definedName name="OSRRefT22_18x_0" localSheetId="70">'Div 4'!$T$96:$T$97</definedName>
    <definedName name="OSRRefT22_18x_0" localSheetId="2">Summary!$T$222:$T$225</definedName>
    <definedName name="OSRRefT22_19x_0" localSheetId="48">'300'!$T$198:$T$199</definedName>
    <definedName name="OSRRefT22_19x_0" localSheetId="49">'300 &amp; 317'!$T$222:$T$223</definedName>
    <definedName name="OSRRefT22_19x_0" localSheetId="50">'301'!$T$90</definedName>
    <definedName name="OSRRefT22_19x_0" localSheetId="63">'310'!$T$101</definedName>
    <definedName name="OSRRefT22_19x_0" localSheetId="71">'310 &amp; 491'!$T$114</definedName>
    <definedName name="OSRRefT22_19x_0" localSheetId="58">'326'!$T$116:$T$117</definedName>
    <definedName name="OSRRefT22_19x_0" localSheetId="56">'331'!$T$157:$T$158</definedName>
    <definedName name="OSRRefT22_19x_0" localSheetId="72">'491'!$T$107</definedName>
    <definedName name="OSRRefT22_19x_0" localSheetId="39">'Div 2'!$T$95:$T$96</definedName>
    <definedName name="OSRRefT22_19x_0" localSheetId="47">'Div 3'!$T$199:$T$203</definedName>
    <definedName name="OSRRefT22_19x_0" localSheetId="70">'Div 4'!$T$99:$T$109</definedName>
    <definedName name="OSRRefT22_19x_0" localSheetId="2">Summary!$T$227:$T$230</definedName>
    <definedName name="OSRRefT22_1x_0" localSheetId="40">'200'!$T$22</definedName>
    <definedName name="OSRRefT22_1x_0" localSheetId="41">'201'!$T$31:$T$40</definedName>
    <definedName name="OSRRefT22_1x_0" localSheetId="42">'202'!$T$31:$T$40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'300'!$T$136:$T$145</definedName>
    <definedName name="OSRRefT22_1x_0" localSheetId="49">'300 &amp; 317'!$T$160:$T$169</definedName>
    <definedName name="OSRRefT22_1x_0" localSheetId="50">'301'!$T$32:$T$41</definedName>
    <definedName name="OSRRefT22_1x_0" localSheetId="52">'307'!$T$48:$T$57</definedName>
    <definedName name="OSRRefT22_1x_0" localSheetId="53">'308'!$T$70:$T$79</definedName>
    <definedName name="OSRRefT22_1x_0" localSheetId="64">'309'!$T$31:$T$40</definedName>
    <definedName name="OSRRefT22_1x_0" localSheetId="63">'310'!$T$41:$T$50</definedName>
    <definedName name="OSRRefT22_1x_0" localSheetId="71">'310 &amp; 491'!$T$46:$T$55</definedName>
    <definedName name="OSRRefT22_1x_0" localSheetId="54">'311'!$T$69:$T$78</definedName>
    <definedName name="OSRRefT22_1x_0" localSheetId="65">'313'!$T$37:$T$46</definedName>
    <definedName name="OSRRefT22_1x_0" localSheetId="57">'315'!$T$93:$T$102</definedName>
    <definedName name="OSRRefT22_1x_0" localSheetId="60">'316'!$T$42:$T$51</definedName>
    <definedName name="OSRRefT22_1x_0" localSheetId="62">'317'!$T$64:$T$73</definedName>
    <definedName name="OSRRefT22_1x_0" localSheetId="66">'321'!$T$36:$T$45</definedName>
    <definedName name="OSRRefT22_1x_0" localSheetId="67">'322'!$T$32:$T$41</definedName>
    <definedName name="OSRRefT22_1x_0" localSheetId="55">'324'!$T$36:$T$45</definedName>
    <definedName name="OSRRefT22_1x_0" localSheetId="68">'325'!$T$34:$T$43</definedName>
    <definedName name="OSRRefT22_1x_0" localSheetId="58">'326'!$T$59:$T$68</definedName>
    <definedName name="OSRRefT22_1x_0" localSheetId="69">'327'!$T$27</definedName>
    <definedName name="OSRRefT22_1x_0" localSheetId="51">'330'!$T$52:$T$61</definedName>
    <definedName name="OSRRefT22_1x_0" localSheetId="56">'331'!$T$94:$T$103</definedName>
    <definedName name="OSRRefT22_1x_0" localSheetId="59">'332'!$T$44:$T$53</definedName>
    <definedName name="OSRRefT22_1x_0" localSheetId="73">'405'!$T$33:$T$42</definedName>
    <definedName name="OSRRefT22_1x_0" localSheetId="74">'406'!$T$22</definedName>
    <definedName name="OSRRefT22_1x_0" localSheetId="75">'411'!$T$30:$T$39</definedName>
    <definedName name="OSRRefT22_1x_0" localSheetId="76">'412'!$T$31:$T$40</definedName>
    <definedName name="OSRRefT22_1x_0" localSheetId="77">'413'!$T$33:$T$42</definedName>
    <definedName name="OSRRefT22_1x_0" localSheetId="78">'414'!$T$35:$T$44</definedName>
    <definedName name="OSRRefT22_1x_0" localSheetId="79">'415'!$T$37:$T$46</definedName>
    <definedName name="OSRRefT22_1x_0" localSheetId="80">'418'!$T$33:$T$42</definedName>
    <definedName name="OSRRefT22_1x_0" localSheetId="81">'420'!$T$24</definedName>
    <definedName name="OSRRefT22_1x_0" localSheetId="82">'423'!$T$29:$T$38</definedName>
    <definedName name="OSRRefT22_1x_0" localSheetId="83">'424'!$T$22</definedName>
    <definedName name="OSRRefT22_1x_0" localSheetId="84">'425'!$T$27</definedName>
    <definedName name="OSRRefT22_1x_0" localSheetId="87">'430'!$T$30:$T$39</definedName>
    <definedName name="OSRRefT22_1x_0" localSheetId="88">'433'!$T$38:$T$47</definedName>
    <definedName name="OSRRefT22_1x_0" localSheetId="90">'444'!$T$38:$T$47</definedName>
    <definedName name="OSRRefT22_1x_0" localSheetId="91">'450'!$T$34:$T$43</definedName>
    <definedName name="OSRRefT22_1x_0" localSheetId="72">'491'!$T$40:$T$49</definedName>
    <definedName name="OSRRefT22_1x_0" localSheetId="86">'492'!$T$38:$T$47</definedName>
    <definedName name="OSRRefT22_1x_0" localSheetId="93">'501'!$T$32:$T$41</definedName>
    <definedName name="OSRRefT22_1x_0" localSheetId="39">'Div 2'!$T$33:$T$42</definedName>
    <definedName name="OSRRefT22_1x_0" localSheetId="47">'Div 3'!$T$140:$T$149</definedName>
    <definedName name="OSRRefT22_1x_0" localSheetId="70">'Div 4'!$T$43:$T$52</definedName>
    <definedName name="OSRRefT22_1x_0" localSheetId="92">'Div 5'!$T$32:$T$41</definedName>
    <definedName name="OSRRefT22_1x_0" localSheetId="61">'Div 6'!$T$64:$T$73</definedName>
    <definedName name="OSRRefT22_1x_0" localSheetId="2">Summary!$T$170:$T$179</definedName>
    <definedName name="OSRRefT22_20x_0" localSheetId="48">'300'!$T$201:$T$209</definedName>
    <definedName name="OSRRefT22_20x_0" localSheetId="49">'300 &amp; 317'!$T$225:$T$233</definedName>
    <definedName name="OSRRefT22_20x_0" localSheetId="50">'301'!$T$92</definedName>
    <definedName name="OSRRefT22_20x_0" localSheetId="63">'310'!$T$103</definedName>
    <definedName name="OSRRefT22_20x_0" localSheetId="71">'310 &amp; 491'!$T$116:$T$118</definedName>
    <definedName name="OSRRefT22_20x_0" localSheetId="58">'326'!$T$119</definedName>
    <definedName name="OSRRefT22_20x_0" localSheetId="56">'331'!$T$160</definedName>
    <definedName name="OSRRefT22_20x_0" localSheetId="72">'491'!$T$109:$T$111</definedName>
    <definedName name="OSRRefT22_20x_0" localSheetId="47">'Div 3'!$T$205:$T$206</definedName>
    <definedName name="OSRRefT22_20x_0" localSheetId="70">'Div 4'!$T$111:$T$112</definedName>
    <definedName name="OSRRefT22_20x_0" localSheetId="2">Summary!$T$232:$T$236</definedName>
    <definedName name="OSRRefT22_21x_0" localSheetId="48">'300'!$T$211:$T$212</definedName>
    <definedName name="OSRRefT22_21x_0" localSheetId="49">'300 &amp; 317'!$T$235:$T$236</definedName>
    <definedName name="OSRRefT22_21x_0" localSheetId="50">'301'!$T$94:$T$95</definedName>
    <definedName name="OSRRefT22_21x_0" localSheetId="63">'310'!$T$105</definedName>
    <definedName name="OSRRefT22_21x_0" localSheetId="71">'310 &amp; 491'!$T$120</definedName>
    <definedName name="OSRRefT22_21x_0" localSheetId="56">'331'!$T$162:$T$163</definedName>
    <definedName name="OSRRefT22_21x_0" localSheetId="72">'491'!$T$113</definedName>
    <definedName name="OSRRefT22_21x_0" localSheetId="47">'Div 3'!$T$208:$T$216</definedName>
    <definedName name="OSRRefT22_21x_0" localSheetId="70">'Div 4'!$T$114</definedName>
    <definedName name="OSRRefT22_21x_0" localSheetId="2">Summary!$T$238:$T$239</definedName>
    <definedName name="OSRRefT22_22x_0" localSheetId="48">'300'!$T$214</definedName>
    <definedName name="OSRRefT22_22x_0" localSheetId="49">'300 &amp; 317'!$T$238</definedName>
    <definedName name="OSRRefT22_22x_0" localSheetId="50">'301'!$T$97</definedName>
    <definedName name="OSRRefT22_22x_0" localSheetId="56">'331'!$T$165</definedName>
    <definedName name="OSRRefT22_22x_0" localSheetId="47">'Div 3'!$T$218:$T$219</definedName>
    <definedName name="OSRRefT22_22x_0" localSheetId="70">'Div 4'!$T$116:$T$118</definedName>
    <definedName name="OSRRefT22_22x_0" localSheetId="2">Summary!$T$241:$T$251</definedName>
    <definedName name="OSRRefT22_23x_0" localSheetId="48">'300'!$T$216:$T$218</definedName>
    <definedName name="OSRRefT22_23x_0" localSheetId="49">'300 &amp; 317'!$T$240:$T$242</definedName>
    <definedName name="OSRRefT22_23x_0" localSheetId="47">'Div 3'!$T$221</definedName>
    <definedName name="OSRRefT22_23x_0" localSheetId="70">'Div 4'!$T$120</definedName>
    <definedName name="OSRRefT22_23x_0" localSheetId="2">Summary!$T$253:$T$254</definedName>
    <definedName name="OSRRefT22_24x_0" localSheetId="48">'300'!$T$220</definedName>
    <definedName name="OSRRefT22_24x_0" localSheetId="49">'300 &amp; 317'!$T$244</definedName>
    <definedName name="OSRRefT22_24x_0" localSheetId="47">'Div 3'!$T$223:$T$225</definedName>
    <definedName name="OSRRefT22_24x_0" localSheetId="2">Summary!$T$256</definedName>
    <definedName name="OSRRefT22_25x_0" localSheetId="47">'Div 3'!$T$227</definedName>
    <definedName name="OSRRefT22_25x_0" localSheetId="2">Summary!$T$258:$T$260</definedName>
    <definedName name="OSRRefT22_26x_0" localSheetId="2">Summary!$T$262</definedName>
    <definedName name="OSRRefT22_2x_0" localSheetId="40">'200'!$T$24</definedName>
    <definedName name="OSRRefT22_2x_0" localSheetId="41">'201'!$T$42</definedName>
    <definedName name="OSRRefT22_2x_0" localSheetId="42">'202'!$T$42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'300'!$T$147</definedName>
    <definedName name="OSRRefT22_2x_0" localSheetId="49">'300 &amp; 317'!$T$171</definedName>
    <definedName name="OSRRefT22_2x_0" localSheetId="50">'301'!$T$43</definedName>
    <definedName name="OSRRefT22_2x_0" localSheetId="52">'307'!$T$59</definedName>
    <definedName name="OSRRefT22_2x_0" localSheetId="53">'308'!$T$81</definedName>
    <definedName name="OSRRefT22_2x_0" localSheetId="64">'309'!$T$42</definedName>
    <definedName name="OSRRefT22_2x_0" localSheetId="63">'310'!$T$52</definedName>
    <definedName name="OSRRefT22_2x_0" localSheetId="71">'310 &amp; 491'!$T$57</definedName>
    <definedName name="OSRRefT22_2x_0" localSheetId="54">'311'!$T$80</definedName>
    <definedName name="OSRRefT22_2x_0" localSheetId="65">'313'!$T$48</definedName>
    <definedName name="OSRRefT22_2x_0" localSheetId="57">'315'!$T$104</definedName>
    <definedName name="OSRRefT22_2x_0" localSheetId="60">'316'!$T$53</definedName>
    <definedName name="OSRRefT22_2x_0" localSheetId="62">'317'!$T$75</definedName>
    <definedName name="OSRRefT22_2x_0" localSheetId="66">'321'!$T$47</definedName>
    <definedName name="OSRRefT22_2x_0" localSheetId="67">'322'!$T$43</definedName>
    <definedName name="OSRRefT22_2x_0" localSheetId="68">'325'!$T$45</definedName>
    <definedName name="OSRRefT22_2x_0" localSheetId="58">'326'!$T$70</definedName>
    <definedName name="OSRRefT22_2x_0" localSheetId="51">'330'!$T$63</definedName>
    <definedName name="OSRRefT22_2x_0" localSheetId="56">'331'!$T$105</definedName>
    <definedName name="OSRRefT22_2x_0" localSheetId="59">'332'!$T$55</definedName>
    <definedName name="OSRRefT22_2x_0" localSheetId="73">'405'!$T$44</definedName>
    <definedName name="OSRRefT22_2x_0" localSheetId="74">'406'!$T$24</definedName>
    <definedName name="OSRRefT22_2x_0" localSheetId="75">'411'!$T$41</definedName>
    <definedName name="OSRRefT22_2x_0" localSheetId="76">'412'!$T$42</definedName>
    <definedName name="OSRRefT22_2x_0" localSheetId="77">'413'!$T$44</definedName>
    <definedName name="OSRRefT22_2x_0" localSheetId="78">'414'!$T$46</definedName>
    <definedName name="OSRRefT22_2x_0" localSheetId="79">'415'!$T$48</definedName>
    <definedName name="OSRRefT22_2x_0" localSheetId="80">'418'!$T$44</definedName>
    <definedName name="OSRRefT22_2x_0" localSheetId="82">'423'!$T$40</definedName>
    <definedName name="OSRRefT22_2x_0" localSheetId="83">'424'!$T$24</definedName>
    <definedName name="OSRRefT22_2x_0" localSheetId="84">'425'!$T$29</definedName>
    <definedName name="OSRRefT22_2x_0" localSheetId="87">'430'!$T$41</definedName>
    <definedName name="OSRRefT22_2x_0" localSheetId="88">'433'!$T$49</definedName>
    <definedName name="OSRRefT22_2x_0" localSheetId="90">'444'!$T$49</definedName>
    <definedName name="OSRRefT22_2x_0" localSheetId="91">'450'!$T$45</definedName>
    <definedName name="OSRRefT22_2x_0" localSheetId="72">'491'!$T$51</definedName>
    <definedName name="OSRRefT22_2x_0" localSheetId="86">'492'!$T$49</definedName>
    <definedName name="OSRRefT22_2x_0" localSheetId="93">'501'!$T$43</definedName>
    <definedName name="OSRRefT22_2x_0" localSheetId="39">'Div 2'!$T$44</definedName>
    <definedName name="OSRRefT22_2x_0" localSheetId="47">'Div 3'!$T$151</definedName>
    <definedName name="OSRRefT22_2x_0" localSheetId="70">'Div 4'!$T$54</definedName>
    <definedName name="OSRRefT22_2x_0" localSheetId="92">'Div 5'!$T$43</definedName>
    <definedName name="OSRRefT22_2x_0" localSheetId="61">'Div 6'!$T$75</definedName>
    <definedName name="OSRRefT22_2x_0" localSheetId="2">Summary!$T$181</definedName>
    <definedName name="OSRRefT22_3x_0" localSheetId="40">'200'!$T$26</definedName>
    <definedName name="OSRRefT22_3x_0" localSheetId="41">'201'!$T$44</definedName>
    <definedName name="OSRRefT22_3x_0" localSheetId="42">'202'!$T$44</definedName>
    <definedName name="OSRRefT22_3x_0" localSheetId="43">'203'!$T$44</definedName>
    <definedName name="OSRRefT22_3x_0" localSheetId="44">'204'!$T$44:$T$45</definedName>
    <definedName name="OSRRefT22_3x_0" localSheetId="45">'205'!$T$43</definedName>
    <definedName name="OSRRefT22_3x_0" localSheetId="46">'206'!$T$43</definedName>
    <definedName name="OSRRefT22_3x_0" localSheetId="48">'300'!$T$149:$T$150</definedName>
    <definedName name="OSRRefT22_3x_0" localSheetId="49">'300 &amp; 317'!$T$173:$T$174</definedName>
    <definedName name="OSRRefT22_3x_0" localSheetId="50">'301'!$T$45:$T$46</definedName>
    <definedName name="OSRRefT22_3x_0" localSheetId="52">'307'!$T$61</definedName>
    <definedName name="OSRRefT22_3x_0" localSheetId="53">'308'!$T$83:$T$84</definedName>
    <definedName name="OSRRefT22_3x_0" localSheetId="64">'309'!$T$44</definedName>
    <definedName name="OSRRefT22_3x_0" localSheetId="63">'310'!$T$54</definedName>
    <definedName name="OSRRefT22_3x_0" localSheetId="71">'310 &amp; 491'!$T$59</definedName>
    <definedName name="OSRRefT22_3x_0" localSheetId="54">'311'!$T$82:$T$83</definedName>
    <definedName name="OSRRefT22_3x_0" localSheetId="65">'313'!$T$50</definedName>
    <definedName name="OSRRefT22_3x_0" localSheetId="57">'315'!$T$106</definedName>
    <definedName name="OSRRefT22_3x_0" localSheetId="60">'316'!$T$55</definedName>
    <definedName name="OSRRefT22_3x_0" localSheetId="62">'317'!$T$77</definedName>
    <definedName name="OSRRefT22_3x_0" localSheetId="66">'321'!$T$49</definedName>
    <definedName name="OSRRefT22_3x_0" localSheetId="67">'322'!$T$45</definedName>
    <definedName name="OSRRefT22_3x_0" localSheetId="68">'325'!$T$47</definedName>
    <definedName name="OSRRefT22_3x_0" localSheetId="58">'326'!$T$72</definedName>
    <definedName name="OSRRefT22_3x_0" localSheetId="51">'330'!$T$65</definedName>
    <definedName name="OSRRefT22_3x_0" localSheetId="56">'331'!$T$107</definedName>
    <definedName name="OSRRefT22_3x_0" localSheetId="59">'332'!$T$57</definedName>
    <definedName name="OSRRefT22_3x_0" localSheetId="73">'405'!$T$46</definedName>
    <definedName name="OSRRefT22_3x_0" localSheetId="74">'406'!$T$26</definedName>
    <definedName name="OSRRefT22_3x_0" localSheetId="75">'411'!$T$43</definedName>
    <definedName name="OSRRefT22_3x_0" localSheetId="76">'412'!$T$44</definedName>
    <definedName name="OSRRefT22_3x_0" localSheetId="77">'413'!$T$46</definedName>
    <definedName name="OSRRefT22_3x_0" localSheetId="78">'414'!$T$48</definedName>
    <definedName name="OSRRefT22_3x_0" localSheetId="79">'415'!$T$50</definedName>
    <definedName name="OSRRefT22_3x_0" localSheetId="80">'418'!$T$46</definedName>
    <definedName name="OSRRefT22_3x_0" localSheetId="82">'423'!$T$42:$T$43</definedName>
    <definedName name="OSRRefT22_3x_0" localSheetId="83">'424'!$T$26</definedName>
    <definedName name="OSRRefT22_3x_0" localSheetId="84">'425'!$T$31</definedName>
    <definedName name="OSRRefT22_3x_0" localSheetId="87">'430'!$T$43</definedName>
    <definedName name="OSRRefT22_3x_0" localSheetId="88">'433'!$T$51</definedName>
    <definedName name="OSRRefT22_3x_0" localSheetId="90">'444'!$T$51</definedName>
    <definedName name="OSRRefT22_3x_0" localSheetId="91">'450'!$T$47</definedName>
    <definedName name="OSRRefT22_3x_0" localSheetId="72">'491'!$T$53</definedName>
    <definedName name="OSRRefT22_3x_0" localSheetId="86">'492'!$T$51</definedName>
    <definedName name="OSRRefT22_3x_0" localSheetId="93">'501'!$T$45</definedName>
    <definedName name="OSRRefT22_3x_0" localSheetId="39">'Div 2'!$T$46</definedName>
    <definedName name="OSRRefT22_3x_0" localSheetId="47">'Div 3'!$T$153:$T$154</definedName>
    <definedName name="OSRRefT22_3x_0" localSheetId="70">'Div 4'!$T$56</definedName>
    <definedName name="OSRRefT22_3x_0" localSheetId="92">'Div 5'!$T$45</definedName>
    <definedName name="OSRRefT22_3x_0" localSheetId="61">'Div 6'!$T$77</definedName>
    <definedName name="OSRRefT22_3x_0" localSheetId="2">Summary!$T$183:$T$184</definedName>
    <definedName name="OSRRefT22_4x_0" localSheetId="40">'200'!$T$28:$T$29</definedName>
    <definedName name="OSRRefT22_4x_0" localSheetId="41">'201'!$T$46:$T$47</definedName>
    <definedName name="OSRRefT22_4x_0" localSheetId="42">'202'!$T$46:$T$47</definedName>
    <definedName name="OSRRefT22_4x_0" localSheetId="43">'203'!$T$46</definedName>
    <definedName name="OSRRefT22_4x_0" localSheetId="44">'204'!$T$47</definedName>
    <definedName name="OSRRefT22_4x_0" localSheetId="45">'205'!$T$45:$T$47</definedName>
    <definedName name="OSRRefT22_4x_0" localSheetId="46">'206'!$T$45</definedName>
    <definedName name="OSRRefT22_4x_0" localSheetId="48">'300'!$T$152</definedName>
    <definedName name="OSRRefT22_4x_0" localSheetId="49">'300 &amp; 317'!$T$176</definedName>
    <definedName name="OSRRefT22_4x_0" localSheetId="50">'301'!$T$48</definedName>
    <definedName name="OSRRefT22_4x_0" localSheetId="52">'307'!$T$63</definedName>
    <definedName name="OSRRefT22_4x_0" localSheetId="53">'308'!$T$86</definedName>
    <definedName name="OSRRefT22_4x_0" localSheetId="64">'309'!$T$46</definedName>
    <definedName name="OSRRefT22_4x_0" localSheetId="63">'310'!$T$56</definedName>
    <definedName name="OSRRefT22_4x_0" localSheetId="71">'310 &amp; 491'!$T$61</definedName>
    <definedName name="OSRRefT22_4x_0" localSheetId="54">'311'!$T$85</definedName>
    <definedName name="OSRRefT22_4x_0" localSheetId="65">'313'!$T$52</definedName>
    <definedName name="OSRRefT22_4x_0" localSheetId="57">'315'!$T$108</definedName>
    <definedName name="OSRRefT22_4x_0" localSheetId="60">'316'!$T$57</definedName>
    <definedName name="OSRRefT22_4x_0" localSheetId="62">'317'!$T$79</definedName>
    <definedName name="OSRRefT22_4x_0" localSheetId="66">'321'!$T$51</definedName>
    <definedName name="OSRRefT22_4x_0" localSheetId="67">'322'!$T$47</definedName>
    <definedName name="OSRRefT22_4x_0" localSheetId="68">'325'!$T$49</definedName>
    <definedName name="OSRRefT22_4x_0" localSheetId="58">'326'!$T$74</definedName>
    <definedName name="OSRRefT22_4x_0" localSheetId="51">'330'!$T$67</definedName>
    <definedName name="OSRRefT22_4x_0" localSheetId="56">'331'!$T$109</definedName>
    <definedName name="OSRRefT22_4x_0" localSheetId="59">'332'!$T$59</definedName>
    <definedName name="OSRRefT22_4x_0" localSheetId="73">'405'!$T$48:$T$49</definedName>
    <definedName name="OSRRefT22_4x_0" localSheetId="74">'406'!$T$28</definedName>
    <definedName name="OSRRefT22_4x_0" localSheetId="75">'411'!$T$45:$T$46</definedName>
    <definedName name="OSRRefT22_4x_0" localSheetId="76">'412'!$T$46:$T$47</definedName>
    <definedName name="OSRRefT22_4x_0" localSheetId="77">'413'!$T$48</definedName>
    <definedName name="OSRRefT22_4x_0" localSheetId="78">'414'!$T$50</definedName>
    <definedName name="OSRRefT22_4x_0" localSheetId="79">'415'!$T$52</definedName>
    <definedName name="OSRRefT22_4x_0" localSheetId="80">'418'!$T$48:$T$49</definedName>
    <definedName name="OSRRefT22_4x_0" localSheetId="82">'423'!$T$45</definedName>
    <definedName name="OSRRefT22_4x_0" localSheetId="84">'425'!$T$33:$T$34</definedName>
    <definedName name="OSRRefT22_4x_0" localSheetId="87">'430'!$T$45:$T$47</definedName>
    <definedName name="OSRRefT22_4x_0" localSheetId="88">'433'!$T$53</definedName>
    <definedName name="OSRRefT22_4x_0" localSheetId="90">'444'!$T$53</definedName>
    <definedName name="OSRRefT22_4x_0" localSheetId="91">'450'!$T$49</definedName>
    <definedName name="OSRRefT22_4x_0" localSheetId="72">'491'!$T$55</definedName>
    <definedName name="OSRRefT22_4x_0" localSheetId="86">'492'!$T$53</definedName>
    <definedName name="OSRRefT22_4x_0" localSheetId="93">'501'!$T$47</definedName>
    <definedName name="OSRRefT22_4x_0" localSheetId="39">'Div 2'!$T$48</definedName>
    <definedName name="OSRRefT22_4x_0" localSheetId="47">'Div 3'!$T$156</definedName>
    <definedName name="OSRRefT22_4x_0" localSheetId="70">'Div 4'!$T$58</definedName>
    <definedName name="OSRRefT22_4x_0" localSheetId="92">'Div 5'!$T$47</definedName>
    <definedName name="OSRRefT22_4x_0" localSheetId="61">'Div 6'!$T$79</definedName>
    <definedName name="OSRRefT22_4x_0" localSheetId="2">Summary!$T$186</definedName>
    <definedName name="OSRRefT22_5x_0" localSheetId="41">'201'!$T$49</definedName>
    <definedName name="OSRRefT22_5x_0" localSheetId="42">'202'!$T$49</definedName>
    <definedName name="OSRRefT22_5x_0" localSheetId="43">'203'!$T$48</definedName>
    <definedName name="OSRRefT22_5x_0" localSheetId="44">'204'!$T$49</definedName>
    <definedName name="OSRRefT22_5x_0" localSheetId="45">'205'!$T$49</definedName>
    <definedName name="OSRRefT22_5x_0" localSheetId="46">'206'!$T$47</definedName>
    <definedName name="OSRRefT22_5x_0" localSheetId="48">'300'!$T$154:$T$155</definedName>
    <definedName name="OSRRefT22_5x_0" localSheetId="49">'300 &amp; 317'!$T$178:$T$179</definedName>
    <definedName name="OSRRefT22_5x_0" localSheetId="50">'301'!$T$50:$T$51</definedName>
    <definedName name="OSRRefT22_5x_0" localSheetId="52">'307'!$T$65:$T$66</definedName>
    <definedName name="OSRRefT22_5x_0" localSheetId="53">'308'!$T$88</definedName>
    <definedName name="OSRRefT22_5x_0" localSheetId="64">'309'!$T$48</definedName>
    <definedName name="OSRRefT22_5x_0" localSheetId="63">'310'!$T$58:$T$59</definedName>
    <definedName name="OSRRefT22_5x_0" localSheetId="71">'310 &amp; 491'!$T$63:$T$65</definedName>
    <definedName name="OSRRefT22_5x_0" localSheetId="54">'311'!$T$87</definedName>
    <definedName name="OSRRefT22_5x_0" localSheetId="65">'313'!$T$54</definedName>
    <definedName name="OSRRefT22_5x_0" localSheetId="57">'315'!$T$110:$T$111</definedName>
    <definedName name="OSRRefT22_5x_0" localSheetId="60">'316'!$T$59</definedName>
    <definedName name="OSRRefT22_5x_0" localSheetId="62">'317'!$T$81</definedName>
    <definedName name="OSRRefT22_5x_0" localSheetId="66">'321'!$T$53</definedName>
    <definedName name="OSRRefT22_5x_0" localSheetId="67">'322'!$T$49</definedName>
    <definedName name="OSRRefT22_5x_0" localSheetId="68">'325'!$T$51:$T$52</definedName>
    <definedName name="OSRRefT22_5x_0" localSheetId="58">'326'!$T$76</definedName>
    <definedName name="OSRRefT22_5x_0" localSheetId="51">'330'!$T$69:$T$70</definedName>
    <definedName name="OSRRefT22_5x_0" localSheetId="56">'331'!$T$111:$T$112</definedName>
    <definedName name="OSRRefT22_5x_0" localSheetId="59">'332'!$T$61</definedName>
    <definedName name="OSRRefT22_5x_0" localSheetId="73">'405'!$T$51</definedName>
    <definedName name="OSRRefT22_5x_0" localSheetId="75">'411'!$T$48</definedName>
    <definedName name="OSRRefT22_5x_0" localSheetId="76">'412'!$T$49</definedName>
    <definedName name="OSRRefT22_5x_0" localSheetId="77">'413'!$T$50</definedName>
    <definedName name="OSRRefT22_5x_0" localSheetId="78">'414'!$T$52</definedName>
    <definedName name="OSRRefT22_5x_0" localSheetId="79">'415'!$T$54:$T$55</definedName>
    <definedName name="OSRRefT22_5x_0" localSheetId="80">'418'!$T$51</definedName>
    <definedName name="OSRRefT22_5x_0" localSheetId="82">'423'!$T$47</definedName>
    <definedName name="OSRRefT22_5x_0" localSheetId="84">'425'!$T$36</definedName>
    <definedName name="OSRRefT22_5x_0" localSheetId="87">'430'!$T$49:$T$50</definedName>
    <definedName name="OSRRefT22_5x_0" localSheetId="88">'433'!$T$55</definedName>
    <definedName name="OSRRefT22_5x_0" localSheetId="90">'444'!$T$55</definedName>
    <definedName name="OSRRefT22_5x_0" localSheetId="91">'450'!$T$51</definedName>
    <definedName name="OSRRefT22_5x_0" localSheetId="72">'491'!$T$57:$T$59</definedName>
    <definedName name="OSRRefT22_5x_0" localSheetId="86">'492'!$T$55</definedName>
    <definedName name="OSRRefT22_5x_0" localSheetId="93">'501'!$T$49:$T$50</definedName>
    <definedName name="OSRRefT22_5x_0" localSheetId="39">'Div 2'!$T$50:$T$51</definedName>
    <definedName name="OSRRefT22_5x_0" localSheetId="47">'Div 3'!$T$158:$T$159</definedName>
    <definedName name="OSRRefT22_5x_0" localSheetId="70">'Div 4'!$T$60:$T$62</definedName>
    <definedName name="OSRRefT22_5x_0" localSheetId="92">'Div 5'!$T$49:$T$50</definedName>
    <definedName name="OSRRefT22_5x_0" localSheetId="61">'Div 6'!$T$81</definedName>
    <definedName name="OSRRefT22_5x_0" localSheetId="2">Summary!$T$188:$T$190</definedName>
    <definedName name="OSRRefT22_6x_0" localSheetId="41">'201'!$T$51</definedName>
    <definedName name="OSRRefT22_6x_0" localSheetId="42">'202'!$T$51</definedName>
    <definedName name="OSRRefT22_6x_0" localSheetId="43">'203'!$T$50</definedName>
    <definedName name="OSRRefT22_6x_0" localSheetId="44">'204'!$T$51</definedName>
    <definedName name="OSRRefT22_6x_0" localSheetId="45">'205'!$T$51:$T$53</definedName>
    <definedName name="OSRRefT22_6x_0" localSheetId="46">'206'!$T$49</definedName>
    <definedName name="OSRRefT22_6x_0" localSheetId="48">'300'!$T$157:$T$158</definedName>
    <definedName name="OSRRefT22_6x_0" localSheetId="49">'300 &amp; 317'!$T$181:$T$182</definedName>
    <definedName name="OSRRefT22_6x_0" localSheetId="50">'301'!$T$53</definedName>
    <definedName name="OSRRefT22_6x_0" localSheetId="52">'307'!$T$68</definedName>
    <definedName name="OSRRefT22_6x_0" localSheetId="53">'308'!$T$90:$T$91</definedName>
    <definedName name="OSRRefT22_6x_0" localSheetId="64">'309'!$T$50</definedName>
    <definedName name="OSRRefT22_6x_0" localSheetId="63">'310'!$T$61</definedName>
    <definedName name="OSRRefT22_6x_0" localSheetId="71">'310 &amp; 491'!$T$67</definedName>
    <definedName name="OSRRefT22_6x_0" localSheetId="54">'311'!$T$89:$T$90</definedName>
    <definedName name="OSRRefT22_6x_0" localSheetId="65">'313'!$T$56:$T$57</definedName>
    <definedName name="OSRRefT22_6x_0" localSheetId="57">'315'!$T$113</definedName>
    <definedName name="OSRRefT22_6x_0" localSheetId="60">'316'!$T$61:$T$62</definedName>
    <definedName name="OSRRefT22_6x_0" localSheetId="62">'317'!$T$83:$T$84</definedName>
    <definedName name="OSRRefT22_6x_0" localSheetId="66">'321'!$T$55</definedName>
    <definedName name="OSRRefT22_6x_0" localSheetId="67">'322'!$T$51</definedName>
    <definedName name="OSRRefT22_6x_0" localSheetId="68">'325'!$T$54</definedName>
    <definedName name="OSRRefT22_6x_0" localSheetId="58">'326'!$T$78</definedName>
    <definedName name="OSRRefT22_6x_0" localSheetId="51">'330'!$T$72</definedName>
    <definedName name="OSRRefT22_6x_0" localSheetId="56">'331'!$T$114</definedName>
    <definedName name="OSRRefT22_6x_0" localSheetId="59">'332'!$T$63:$T$64</definedName>
    <definedName name="OSRRefT22_6x_0" localSheetId="73">'405'!$T$53</definedName>
    <definedName name="OSRRefT22_6x_0" localSheetId="75">'411'!$T$50</definedName>
    <definedName name="OSRRefT22_6x_0" localSheetId="76">'412'!$T$51</definedName>
    <definedName name="OSRRefT22_6x_0" localSheetId="77">'413'!$T$52</definedName>
    <definedName name="OSRRefT22_6x_0" localSheetId="78">'414'!$T$54</definedName>
    <definedName name="OSRRefT22_6x_0" localSheetId="79">'415'!$T$57</definedName>
    <definedName name="OSRRefT22_6x_0" localSheetId="80">'418'!$T$53</definedName>
    <definedName name="OSRRefT22_6x_0" localSheetId="82">'423'!$T$49</definedName>
    <definedName name="OSRRefT22_6x_0" localSheetId="87">'430'!$T$52</definedName>
    <definedName name="OSRRefT22_6x_0" localSheetId="88">'433'!$T$57</definedName>
    <definedName name="OSRRefT22_6x_0" localSheetId="90">'444'!$T$57</definedName>
    <definedName name="OSRRefT22_6x_0" localSheetId="91">'450'!$T$53</definedName>
    <definedName name="OSRRefT22_6x_0" localSheetId="72">'491'!$T$61</definedName>
    <definedName name="OSRRefT22_6x_0" localSheetId="86">'492'!$T$57</definedName>
    <definedName name="OSRRefT22_6x_0" localSheetId="93">'501'!$T$52</definedName>
    <definedName name="OSRRefT22_6x_0" localSheetId="39">'Div 2'!$T$53:$T$54</definedName>
    <definedName name="OSRRefT22_6x_0" localSheetId="47">'Div 3'!$T$161:$T$162</definedName>
    <definedName name="OSRRefT22_6x_0" localSheetId="70">'Div 4'!$T$64</definedName>
    <definedName name="OSRRefT22_6x_0" localSheetId="92">'Div 5'!$T$52</definedName>
    <definedName name="OSRRefT22_6x_0" localSheetId="61">'Div 6'!$T$83:$T$84</definedName>
    <definedName name="OSRRefT22_6x_0" localSheetId="2">Summary!$T$192:$T$193</definedName>
    <definedName name="OSRRefT22_7x_0" localSheetId="41">'201'!$T$53</definedName>
    <definedName name="OSRRefT22_7x_0" localSheetId="42">'202'!$T$53:$T$55</definedName>
    <definedName name="OSRRefT22_7x_0" localSheetId="43">'203'!$T$52:$T$53</definedName>
    <definedName name="OSRRefT22_7x_0" localSheetId="44">'204'!$T$53:$T$55</definedName>
    <definedName name="OSRRefT22_7x_0" localSheetId="45">'205'!$T$55</definedName>
    <definedName name="OSRRefT22_7x_0" localSheetId="46">'206'!$T$51</definedName>
    <definedName name="OSRRefT22_7x_0" localSheetId="48">'300'!$T$160:$T$161</definedName>
    <definedName name="OSRRefT22_7x_0" localSheetId="49">'300 &amp; 317'!$T$184:$T$185</definedName>
    <definedName name="OSRRefT22_7x_0" localSheetId="50">'301'!$T$55</definedName>
    <definedName name="OSRRefT22_7x_0" localSheetId="52">'307'!$T$70</definedName>
    <definedName name="OSRRefT22_7x_0" localSheetId="53">'308'!$T$93:$T$94</definedName>
    <definedName name="OSRRefT22_7x_0" localSheetId="64">'309'!$T$52:$T$53</definedName>
    <definedName name="OSRRefT22_7x_0" localSheetId="63">'310'!$T$63</definedName>
    <definedName name="OSRRefT22_7x_0" localSheetId="71">'310 &amp; 491'!$T$69</definedName>
    <definedName name="OSRRefT22_7x_0" localSheetId="54">'311'!$T$92:$T$93</definedName>
    <definedName name="OSRRefT22_7x_0" localSheetId="65">'313'!$T$59</definedName>
    <definedName name="OSRRefT22_7x_0" localSheetId="57">'315'!$T$115:$T$116</definedName>
    <definedName name="OSRRefT22_7x_0" localSheetId="60">'316'!$T$64:$T$66</definedName>
    <definedName name="OSRRefT22_7x_0" localSheetId="62">'317'!$T$86</definedName>
    <definedName name="OSRRefT22_7x_0" localSheetId="66">'321'!$T$57:$T$58</definedName>
    <definedName name="OSRRefT22_7x_0" localSheetId="67">'322'!$T$53:$T$54</definedName>
    <definedName name="OSRRefT22_7x_0" localSheetId="68">'325'!$T$56</definedName>
    <definedName name="OSRRefT22_7x_0" localSheetId="58">'326'!$T$80</definedName>
    <definedName name="OSRRefT22_7x_0" localSheetId="51">'330'!$T$74</definedName>
    <definedName name="OSRRefT22_7x_0" localSheetId="56">'331'!$T$116</definedName>
    <definedName name="OSRRefT22_7x_0" localSheetId="59">'332'!$T$66:$T$68</definedName>
    <definedName name="OSRRefT22_7x_0" localSheetId="73">'405'!$T$55</definedName>
    <definedName name="OSRRefT22_7x_0" localSheetId="75">'411'!$T$52</definedName>
    <definedName name="OSRRefT22_7x_0" localSheetId="76">'412'!$T$53</definedName>
    <definedName name="OSRRefT22_7x_0" localSheetId="77">'413'!$T$54</definedName>
    <definedName name="OSRRefT22_7x_0" localSheetId="78">'414'!$T$56</definedName>
    <definedName name="OSRRefT22_7x_0" localSheetId="79">'415'!$T$59</definedName>
    <definedName name="OSRRefT22_7x_0" localSheetId="80">'418'!$T$55</definedName>
    <definedName name="OSRRefT22_7x_0" localSheetId="87">'430'!$T$54</definedName>
    <definedName name="OSRRefT22_7x_0" localSheetId="88">'433'!$T$59</definedName>
    <definedName name="OSRRefT22_7x_0" localSheetId="90">'444'!$T$59</definedName>
    <definedName name="OSRRefT22_7x_0" localSheetId="91">'450'!$T$55</definedName>
    <definedName name="OSRRefT22_7x_0" localSheetId="72">'491'!$T$63</definedName>
    <definedName name="OSRRefT22_7x_0" localSheetId="86">'492'!$T$59</definedName>
    <definedName name="OSRRefT22_7x_0" localSheetId="93">'501'!$T$54</definedName>
    <definedName name="OSRRefT22_7x_0" localSheetId="39">'Div 2'!$T$56</definedName>
    <definedName name="OSRRefT22_7x_0" localSheetId="47">'Div 3'!$T$164:$T$165</definedName>
    <definedName name="OSRRefT22_7x_0" localSheetId="70">'Div 4'!$T$66</definedName>
    <definedName name="OSRRefT22_7x_0" localSheetId="92">'Div 5'!$T$54</definedName>
    <definedName name="OSRRefT22_7x_0" localSheetId="61">'Div 6'!$T$86</definedName>
    <definedName name="OSRRefT22_7x_0" localSheetId="2">Summary!$T$195:$T$196</definedName>
    <definedName name="OSRRefT22_8x_0" localSheetId="41">'201'!$T$55</definedName>
    <definedName name="OSRRefT22_8x_0" localSheetId="42">'202'!$T$57</definedName>
    <definedName name="OSRRefT22_8x_0" localSheetId="43">'203'!$T$55:$T$57</definedName>
    <definedName name="OSRRefT22_8x_0" localSheetId="44">'204'!$T$57:$T$58</definedName>
    <definedName name="OSRRefT22_8x_0" localSheetId="46">'206'!$T$53:$T$54</definedName>
    <definedName name="OSRRefT22_8x_0" localSheetId="48">'300'!$T$163</definedName>
    <definedName name="OSRRefT22_8x_0" localSheetId="49">'300 &amp; 317'!$T$187</definedName>
    <definedName name="OSRRefT22_8x_0" localSheetId="50">'301'!$T$57</definedName>
    <definedName name="OSRRefT22_8x_0" localSheetId="52">'307'!$T$72</definedName>
    <definedName name="OSRRefT22_8x_0" localSheetId="53">'308'!$T$96</definedName>
    <definedName name="OSRRefT22_8x_0" localSheetId="64">'309'!$T$55:$T$56</definedName>
    <definedName name="OSRRefT22_8x_0" localSheetId="63">'310'!$T$65</definedName>
    <definedName name="OSRRefT22_8x_0" localSheetId="71">'310 &amp; 491'!$T$71:$T$72</definedName>
    <definedName name="OSRRefT22_8x_0" localSheetId="54">'311'!$T$95</definedName>
    <definedName name="OSRRefT22_8x_0" localSheetId="65">'313'!$T$61:$T$63</definedName>
    <definedName name="OSRRefT22_8x_0" localSheetId="57">'315'!$T$118</definedName>
    <definedName name="OSRRefT22_8x_0" localSheetId="60">'316'!$T$68</definedName>
    <definedName name="OSRRefT22_8x_0" localSheetId="62">'317'!$T$88</definedName>
    <definedName name="OSRRefT22_8x_0" localSheetId="66">'321'!$T$60:$T$61</definedName>
    <definedName name="OSRRefT22_8x_0" localSheetId="67">'322'!$T$56:$T$57</definedName>
    <definedName name="OSRRefT22_8x_0" localSheetId="68">'325'!$T$58</definedName>
    <definedName name="OSRRefT22_8x_0" localSheetId="58">'326'!$T$82:$T$83</definedName>
    <definedName name="OSRRefT22_8x_0" localSheetId="51">'330'!$T$76</definedName>
    <definedName name="OSRRefT22_8x_0" localSheetId="56">'331'!$T$118:$T$119</definedName>
    <definedName name="OSRRefT22_8x_0" localSheetId="59">'332'!$T$70</definedName>
    <definedName name="OSRRefT22_8x_0" localSheetId="73">'405'!$T$57</definedName>
    <definedName name="OSRRefT22_8x_0" localSheetId="75">'411'!$T$54</definedName>
    <definedName name="OSRRefT22_8x_0" localSheetId="76">'412'!$T$55:$T$56</definedName>
    <definedName name="OSRRefT22_8x_0" localSheetId="77">'413'!$T$56:$T$59</definedName>
    <definedName name="OSRRefT22_8x_0" localSheetId="78">'414'!$T$58:$T$59</definedName>
    <definedName name="OSRRefT22_8x_0" localSheetId="79">'415'!$T$61</definedName>
    <definedName name="OSRRefT22_8x_0" localSheetId="80">'418'!$T$57:$T$59</definedName>
    <definedName name="OSRRefT22_8x_0" localSheetId="88">'433'!$T$61</definedName>
    <definedName name="OSRRefT22_8x_0" localSheetId="90">'444'!$T$61</definedName>
    <definedName name="OSRRefT22_8x_0" localSheetId="91">'450'!$T$57</definedName>
    <definedName name="OSRRefT22_8x_0" localSheetId="72">'491'!$T$65</definedName>
    <definedName name="OSRRefT22_8x_0" localSheetId="86">'492'!$T$61</definedName>
    <definedName name="OSRRefT22_8x_0" localSheetId="93">'501'!$T$56</definedName>
    <definedName name="OSRRefT22_8x_0" localSheetId="39">'Div 2'!$T$58</definedName>
    <definedName name="OSRRefT22_8x_0" localSheetId="47">'Div 3'!$T$167</definedName>
    <definedName name="OSRRefT22_8x_0" localSheetId="70">'Div 4'!$T$68</definedName>
    <definedName name="OSRRefT22_8x_0" localSheetId="92">'Div 5'!$T$56</definedName>
    <definedName name="OSRRefT22_8x_0" localSheetId="61">'Div 6'!$T$88</definedName>
    <definedName name="OSRRefT22_8x_0" localSheetId="2">Summary!$T$198</definedName>
    <definedName name="OSRRefT22_9x_0" localSheetId="41">'201'!$T$57</definedName>
    <definedName name="OSRRefT22_9x_0" localSheetId="42">'202'!$T$59:$T$61</definedName>
    <definedName name="OSRRefT22_9x_0" localSheetId="43">'203'!$T$59:$T$60</definedName>
    <definedName name="OSRRefT22_9x_0" localSheetId="44">'204'!$T$60</definedName>
    <definedName name="OSRRefT22_9x_0" localSheetId="46">'206'!$T$56</definedName>
    <definedName name="OSRRefT22_9x_0" localSheetId="48">'300'!$T$165</definedName>
    <definedName name="OSRRefT22_9x_0" localSheetId="49">'300 &amp; 317'!$T$189</definedName>
    <definedName name="OSRRefT22_9x_0" localSheetId="50">'301'!$T$59</definedName>
    <definedName name="OSRRefT22_9x_0" localSheetId="52">'307'!$T$74:$T$75</definedName>
    <definedName name="OSRRefT22_9x_0" localSheetId="53">'308'!$T$98:$T$100</definedName>
    <definedName name="OSRRefT22_9x_0" localSheetId="64">'309'!$T$58:$T$60</definedName>
    <definedName name="OSRRefT22_9x_0" localSheetId="63">'310'!$T$67</definedName>
    <definedName name="OSRRefT22_9x_0" localSheetId="71">'310 &amp; 491'!$T$74</definedName>
    <definedName name="OSRRefT22_9x_0" localSheetId="54">'311'!$T$97:$T$99</definedName>
    <definedName name="OSRRefT22_9x_0" localSheetId="65">'313'!$T$65:$T$66</definedName>
    <definedName name="OSRRefT22_9x_0" localSheetId="57">'315'!$T$120:$T$121</definedName>
    <definedName name="OSRRefT22_9x_0" localSheetId="60">'316'!$T$70</definedName>
    <definedName name="OSRRefT22_9x_0" localSheetId="62">'317'!$T$90:$T$91</definedName>
    <definedName name="OSRRefT22_9x_0" localSheetId="66">'321'!$T$63:$T$64</definedName>
    <definedName name="OSRRefT22_9x_0" localSheetId="67">'322'!$T$59:$T$62</definedName>
    <definedName name="OSRRefT22_9x_0" localSheetId="68">'325'!$T$60</definedName>
    <definedName name="OSRRefT22_9x_0" localSheetId="58">'326'!$T$85</definedName>
    <definedName name="OSRRefT22_9x_0" localSheetId="51">'330'!$T$78:$T$79</definedName>
    <definedName name="OSRRefT22_9x_0" localSheetId="56">'331'!$T$121:$T$122</definedName>
    <definedName name="OSRRefT22_9x_0" localSheetId="59">'332'!$T$72</definedName>
    <definedName name="OSRRefT22_9x_0" localSheetId="73">'405'!$T$59:$T$60</definedName>
    <definedName name="OSRRefT22_9x_0" localSheetId="75">'411'!$T$56:$T$59</definedName>
    <definedName name="OSRRefT22_9x_0" localSheetId="76">'412'!$T$58</definedName>
    <definedName name="OSRRefT22_9x_0" localSheetId="77">'413'!$T$61:$T$62</definedName>
    <definedName name="OSRRefT22_9x_0" localSheetId="78">'414'!$T$61</definedName>
    <definedName name="OSRRefT22_9x_0" localSheetId="79">'415'!$T$63</definedName>
    <definedName name="OSRRefT22_9x_0" localSheetId="80">'418'!$T$61:$T$62</definedName>
    <definedName name="OSRRefT22_9x_0" localSheetId="88">'433'!$T$63</definedName>
    <definedName name="OSRRefT22_9x_0" localSheetId="90">'444'!$T$63</definedName>
    <definedName name="OSRRefT22_9x_0" localSheetId="91">'450'!$T$59</definedName>
    <definedName name="OSRRefT22_9x_0" localSheetId="72">'491'!$T$67</definedName>
    <definedName name="OSRRefT22_9x_0" localSheetId="86">'492'!$T$63</definedName>
    <definedName name="OSRRefT22_9x_0" localSheetId="93">'501'!$T$58:$T$61</definedName>
    <definedName name="OSRRefT22_9x_0" localSheetId="39">'Div 2'!$T$60:$T$61</definedName>
    <definedName name="OSRRefT22_9x_0" localSheetId="47">'Div 3'!$T$169</definedName>
    <definedName name="OSRRefT22_9x_0" localSheetId="70">'Div 4'!$T$70</definedName>
    <definedName name="OSRRefT22_9x_0" localSheetId="92">'Div 5'!$T$58:$T$61</definedName>
    <definedName name="OSRRefT22_9x_0" localSheetId="61">'Div 6'!$T$90:$T$91</definedName>
    <definedName name="OSRRefT22_9x_0" localSheetId="2">Summary!$T$200</definedName>
    <definedName name="OSRRefT22x_0" localSheetId="40">'200'!$T$20,'200'!$T$22,'200'!$T$24,'200'!$T$26,'200'!$T$28:$T$29</definedName>
    <definedName name="OSRRefT22x_0" localSheetId="41">'201'!$T$21:$T$29,'201'!$T$31:$T$40,'201'!$T$42,'201'!$T$44,'201'!$T$46:$T$47,'201'!$T$49,'201'!$T$51,'201'!$T$53,'201'!$T$55,'201'!$T$57,'201'!$T$59:$T$61,'201'!$T$63:$T$64,'201'!$T$66,'201'!$T$68:$T$70,'201'!$T$72,'201'!$T$74,'201'!$T$76</definedName>
    <definedName name="OSRRefT22x_0" localSheetId="42">'202'!$T$21:$T$29,'202'!$T$31:$T$40,'202'!$T$42,'202'!$T$44,'202'!$T$46:$T$47,'202'!$T$49,'202'!$T$51,'202'!$T$53:$T$55,'202'!$T$57,'202'!$T$59:$T$61,'202'!$T$63,'202'!$T$65,'202'!$T$67</definedName>
    <definedName name="OSRRefT22x_0" localSheetId="43">'203'!$T$20:$T$29,'203'!$T$31:$T$40,'203'!$T$42,'203'!$T$44,'203'!$T$46,'203'!$T$48,'203'!$T$50,'203'!$T$52:$T$53,'203'!$T$55:$T$57,'203'!$T$59:$T$60,'203'!$T$62,'203'!$T$64:$T$66,'203'!$T$68,'203'!$T$70,'203'!$T$72</definedName>
    <definedName name="OSRRefT22x_0" localSheetId="44">'204'!$T$20:$T$29,'204'!$T$31:$T$40,'204'!$T$42,'204'!$T$44:$T$45,'204'!$T$47,'204'!$T$49,'204'!$T$51,'204'!$T$53:$T$55,'204'!$T$57:$T$58,'204'!$T$60,'204'!$T$62:$T$63,'204'!$T$65,'204'!$T$67</definedName>
    <definedName name="OSRRefT22x_0" localSheetId="45">'205'!$T$20:$T$28,'205'!$T$30:$T$39,'205'!$T$41,'205'!$T$43,'205'!$T$45:$T$47,'205'!$T$49,'205'!$T$51:$T$53,'205'!$T$55</definedName>
    <definedName name="OSRRefT22x_0" localSheetId="46">'206'!$T$20:$T$28,'206'!$T$30:$T$39,'206'!$T$41,'206'!$T$43,'206'!$T$45,'206'!$T$47,'206'!$T$49,'206'!$T$51,'206'!$T$53:$T$54,'206'!$T$56</definedName>
    <definedName name="OSRRefT22x_0" localSheetId="48">'300'!$T$125:$T$134,'300'!$T$136:$T$145,'300'!$T$147,'300'!$T$149:$T$150,'300'!$T$152,'300'!$T$154:$T$155,'300'!$T$157:$T$158,'300'!$T$160:$T$161,'300'!$T$163,'300'!$T$165,'300'!$T$167:$T$168,'300'!$T$170:$T$172,'300'!$T$174,'300'!$T$176:$T$177,'300'!$T$179,'300'!$T$181,'300'!$T$183:$T$186,'300'!$T$188:$T$191,'300'!$T$193:$T$196,'300'!$T$198:$T$199,'300'!$T$201:$T$209,'300'!$T$211:$T$212,'300'!$T$214,'300'!$T$216:$T$218,'300'!$T$220</definedName>
    <definedName name="OSRRefT22x_0" localSheetId="49">'300 &amp; 317'!$T$149:$T$158,'300 &amp; 317'!$T$160:$T$169,'300 &amp; 317'!$T$171,'300 &amp; 317'!$T$173:$T$174,'300 &amp; 317'!$T$176,'300 &amp; 317'!$T$178:$T$179,'300 &amp; 317'!$T$181:$T$182,'300 &amp; 317'!$T$184:$T$185,'300 &amp; 317'!$T$187,'300 &amp; 317'!$T$189,'300 &amp; 317'!$T$191:$T$192,'300 &amp; 317'!$T$194:$T$196,'300 &amp; 317'!$T$198,'300 &amp; 317'!$T$200:$T$201,'300 &amp; 317'!$T$203,'300 &amp; 317'!$T$205,'300 &amp; 317'!$T$207:$T$210,'300 &amp; 317'!$T$212:$T$215,'300 &amp; 317'!$T$217:$T$220,'300 &amp; 317'!$T$222:$T$223,'300 &amp; 317'!$T$225:$T$233,'300 &amp; 317'!$T$235:$T$236,'300 &amp; 317'!$T$238,'300 &amp; 317'!$T$240:$T$242,'300 &amp; 317'!$T$244</definedName>
    <definedName name="OSRRefT22x_0" localSheetId="50">'301'!$T$21:$T$30,'301'!$T$32:$T$41,'301'!$T$43,'301'!$T$45:$T$46,'301'!$T$48,'301'!$T$50:$T$51,'301'!$T$53,'301'!$T$55,'301'!$T$57,'301'!$T$59,'301'!$T$61,'301'!$T$63,'301'!$T$65,'301'!$T$67,'301'!$T$69,'301'!$T$71:$T$74,'301'!$T$76:$T$78,'301'!$T$80,'301'!$T$82:$T$88,'301'!$T$90,'301'!$T$92,'301'!$T$94:$T$95,'301'!$T$97</definedName>
    <definedName name="OSRRefT22x_0" localSheetId="52">'307'!$T$39:$T$46,'307'!$T$48:$T$57,'307'!$T$59,'307'!$T$61,'307'!$T$63,'307'!$T$65:$T$66,'307'!$T$68,'307'!$T$70,'307'!$T$72,'307'!$T$74:$T$75,'307'!$T$77:$T$78,'307'!$T$80:$T$83,'307'!$T$85:$T$86,'307'!$T$88</definedName>
    <definedName name="OSRRefT22x_0" localSheetId="53">'308'!$T$59:$T$68,'308'!$T$70:$T$79,'308'!$T$81,'308'!$T$83:$T$84,'308'!$T$86,'308'!$T$88,'308'!$T$90:$T$91,'308'!$T$93:$T$94,'308'!$T$96,'308'!$T$98:$T$100,'308'!$T$102:$T$103,'308'!$T$105:$T$107,'308'!$T$109:$T$110,'308'!$T$112,'308'!$T$114</definedName>
    <definedName name="OSRRefT22x_0" localSheetId="64">'309'!$T$22:$T$29,'309'!$T$31:$T$40,'309'!$T$42,'309'!$T$44,'309'!$T$46,'309'!$T$48,'309'!$T$50,'309'!$T$52:$T$53,'309'!$T$55:$T$56,'309'!$T$58:$T$60,'309'!$T$62</definedName>
    <definedName name="OSRRefT22x_0" localSheetId="63">'310'!$T$31:$T$39,'310'!$T$41:$T$50,'310'!$T$52,'310'!$T$54,'310'!$T$56,'310'!$T$58:$T$59,'310'!$T$61,'310'!$T$63,'310'!$T$65,'310'!$T$67,'310'!$T$69,'310'!$T$71,'310'!$T$73,'310'!$T$75:$T$78,'310'!$T$80:$T$81,'310'!$T$83:$T$86,'310'!$T$88,'310'!$T$90:$T$96,'310'!$T$98:$T$99,'310'!$T$101,'310'!$T$103,'310'!$T$105</definedName>
    <definedName name="OSRRefT22x_0" localSheetId="71">'310 &amp; 491'!$T$36:$T$44,'310 &amp; 491'!$T$46:$T$55,'310 &amp; 491'!$T$57,'310 &amp; 491'!$T$59,'310 &amp; 491'!$T$61,'310 &amp; 491'!$T$63:$T$65,'310 &amp; 491'!$T$67,'310 &amp; 491'!$T$69,'310 &amp; 491'!$T$71:$T$72,'310 &amp; 491'!$T$74,'310 &amp; 491'!$T$76,'310 &amp; 491'!$T$78,'310 &amp; 491'!$T$80,'310 &amp; 491'!$T$82:$T$85,'310 &amp; 491'!$T$87:$T$88,'310 &amp; 491'!$T$90:$T$94,'310 &amp; 491'!$T$96:$T$97,'310 &amp; 491'!$T$99:$T$109,'310 &amp; 491'!$T$111:$T$112,'310 &amp; 491'!$T$114,'310 &amp; 491'!$T$116:$T$118,'310 &amp; 491'!$T$120</definedName>
    <definedName name="OSRRefT22x_0" localSheetId="54">'311'!$T$58:$T$67,'311'!$T$69:$T$78,'311'!$T$80,'311'!$T$82:$T$83,'311'!$T$85,'311'!$T$87,'311'!$T$89:$T$90,'311'!$T$92:$T$93,'311'!$T$95,'311'!$T$97:$T$99,'311'!$T$101:$T$102,'311'!$T$104:$T$106,'311'!$T$108:$T$109,'311'!$T$111,'311'!$T$113</definedName>
    <definedName name="OSRRefT22x_0" localSheetId="65">'313'!$T$27:$T$35,'313'!$T$37:$T$46,'313'!$T$48,'313'!$T$50,'313'!$T$52,'313'!$T$54,'313'!$T$56:$T$57,'313'!$T$59,'313'!$T$61:$T$63,'313'!$T$65:$T$66,'313'!$T$68,'313'!$T$70</definedName>
    <definedName name="OSRRefT22x_0" localSheetId="57">'315'!$T$83:$T$91,'315'!$T$93:$T$102,'315'!$T$104,'315'!$T$106,'315'!$T$108,'315'!$T$110:$T$111,'315'!$T$113,'315'!$T$115:$T$116,'315'!$T$118,'315'!$T$120:$T$121,'315'!$T$123,'315'!$T$125,'315'!$T$127:$T$129,'315'!$T$131:$T$132,'315'!$T$134:$T$140,'315'!$T$142,'315'!$T$144,'315'!$T$146:$T$147</definedName>
    <definedName name="OSRRefT22x_0" localSheetId="60">'316'!$T$32:$T$40,'316'!$T$42:$T$51,'316'!$T$53,'316'!$T$55,'316'!$T$57,'316'!$T$59,'316'!$T$61:$T$62,'316'!$T$64:$T$66,'316'!$T$68,'316'!$T$70,'316'!$T$72:$T$76,'316'!$T$78,'316'!$T$80</definedName>
    <definedName name="OSRRefT22x_0" localSheetId="62">'317'!$T$53:$T$62,'317'!$T$64:$T$73,'317'!$T$75,'317'!$T$77,'317'!$T$79,'317'!$T$81,'317'!$T$83:$T$84,'317'!$T$86,'317'!$T$88,'317'!$T$90:$T$91,'317'!$T$93,'317'!$T$95:$T$98,'317'!$T$100,'317'!$T$102</definedName>
    <definedName name="OSRRefT22x_0" localSheetId="66">'321'!$T$26:$T$34,'321'!$T$36:$T$45,'321'!$T$47,'321'!$T$49,'321'!$T$51,'321'!$T$53,'321'!$T$55,'321'!$T$57:$T$58,'321'!$T$60:$T$61,'321'!$T$63:$T$64,'321'!$T$66:$T$68,'321'!$T$70:$T$71,'321'!$T$73,'321'!$T$75</definedName>
    <definedName name="OSRRefT22x_0" localSheetId="67">'322'!$T$23:$T$30,'322'!$T$32:$T$41,'322'!$T$43,'322'!$T$45,'322'!$T$47,'322'!$T$49,'322'!$T$51,'322'!$T$53:$T$54,'322'!$T$56:$T$57,'322'!$T$59:$T$62,'322'!$T$64,'322'!$T$66</definedName>
    <definedName name="OSRRefT22x_0" localSheetId="55">'324'!$T$27:$T$34,'324'!$T$36:$T$45</definedName>
    <definedName name="OSRRefT22x_0" localSheetId="68">'325'!$T$25:$T$32,'325'!$T$34:$T$43,'325'!$T$45,'325'!$T$47,'325'!$T$49,'325'!$T$51:$T$52,'325'!$T$54,'325'!$T$56,'325'!$T$58,'325'!$T$60,'325'!$T$62,'325'!$T$64:$T$67,'325'!$T$69:$T$71,'325'!$T$73,'325'!$T$75:$T$79,'325'!$T$81:$T$82,'325'!$T$84,'325'!$T$86</definedName>
    <definedName name="OSRRefT22x_0" localSheetId="58">'326'!$T$49:$T$57,'326'!$T$59:$T$68,'326'!$T$70,'326'!$T$72,'326'!$T$74,'326'!$T$76,'326'!$T$78,'326'!$T$80,'326'!$T$82:$T$83,'326'!$T$85,'326'!$T$87,'326'!$T$89,'326'!$T$91,'326'!$T$93:$T$95,'326'!$T$97:$T$99,'326'!$T$101:$T$102,'326'!$T$104:$T$109,'326'!$T$111:$T$112,'326'!$T$114,'326'!$T$116:$T$117,'326'!$T$119</definedName>
    <definedName name="OSRRefT22x_0" localSheetId="69">'327'!$T$25,'327'!$T$27</definedName>
    <definedName name="OSRRefT22x_0" localSheetId="51">'330'!$T$42:$T$50,'330'!$T$52:$T$61,'330'!$T$63,'330'!$T$65,'330'!$T$67,'330'!$T$69:$T$70,'330'!$T$72,'330'!$T$74,'330'!$T$76,'330'!$T$78:$T$79,'330'!$T$81:$T$82,'330'!$T$84:$T$87,'330'!$T$89:$T$90,'330'!$T$92</definedName>
    <definedName name="OSRRefT22x_0" localSheetId="56">'331'!$T$84:$T$92,'331'!$T$94:$T$103,'331'!$T$105,'331'!$T$107,'331'!$T$109,'331'!$T$111:$T$112,'331'!$T$114,'331'!$T$116,'331'!$T$118:$T$119,'331'!$T$121:$T$122,'331'!$T$124,'331'!$T$126:$T$127,'331'!$T$129,'331'!$T$131,'331'!$T$133:$T$135,'331'!$T$137:$T$139,'331'!$T$141:$T$143,'331'!$T$145:$T$146,'331'!$T$148:$T$155,'331'!$T$157:$T$158,'331'!$T$160,'331'!$T$162:$T$163,'331'!$T$165</definedName>
    <definedName name="OSRRefT22x_0" localSheetId="59">'332'!$T$34:$T$42,'332'!$T$44:$T$53,'332'!$T$55,'332'!$T$57,'332'!$T$59,'332'!$T$61,'332'!$T$63:$T$64,'332'!$T$66:$T$68,'332'!$T$70,'332'!$T$72,'332'!$T$74:$T$78,'332'!$T$80,'332'!$T$82</definedName>
    <definedName name="OSRRefT22x_0" localSheetId="73">'405'!$T$24:$T$31,'405'!$T$33:$T$42,'405'!$T$44,'405'!$T$46,'405'!$T$48:$T$49,'405'!$T$51,'405'!$T$53,'405'!$T$55,'405'!$T$57,'405'!$T$59:$T$60,'405'!$T$62,'405'!$T$64:$T$67,'405'!$T$69,'405'!$T$71:$T$79,'405'!$T$81,'405'!$T$83,'405'!$T$85,'405'!$T$87</definedName>
    <definedName name="OSRRefT22x_0" localSheetId="74">'406'!$T$20,'406'!$T$22,'406'!$T$24,'406'!$T$26,'406'!$T$28</definedName>
    <definedName name="OSRRefT22x_0" localSheetId="75">'411'!$T$20:$T$28,'411'!$T$30:$T$39,'411'!$T$41,'411'!$T$43,'411'!$T$45:$T$46,'411'!$T$48,'411'!$T$50,'411'!$T$52,'411'!$T$54,'411'!$T$56:$T$59,'411'!$T$61:$T$64,'411'!$T$66:$T$67,'411'!$T$69:$T$75,'411'!$T$77,'411'!$T$79,'411'!$T$81</definedName>
    <definedName name="OSRRefT22x_0" localSheetId="76">'412'!$T$22:$T$29,'412'!$T$31:$T$40,'412'!$T$42,'412'!$T$44,'412'!$T$46:$T$47,'412'!$T$49,'412'!$T$51,'412'!$T$53,'412'!$T$55:$T$56,'412'!$T$58,'412'!$T$60:$T$63,'412'!$T$65:$T$69,'412'!$T$71:$T$72,'412'!$T$74</definedName>
    <definedName name="OSRRefT22x_0" localSheetId="77">'413'!$T$23:$T$31,'413'!$T$33:$T$42,'413'!$T$44,'413'!$T$46,'413'!$T$48,'413'!$T$50,'413'!$T$52,'413'!$T$54,'413'!$T$56:$T$59,'413'!$T$61:$T$62,'413'!$T$64:$T$71,'413'!$T$73:$T$74,'413'!$T$76</definedName>
    <definedName name="OSRRefT22x_0" localSheetId="78">'414'!$T$25:$T$33,'414'!$T$35:$T$44,'414'!$T$46,'414'!$T$48,'414'!$T$50,'414'!$T$52,'414'!$T$54,'414'!$T$56,'414'!$T$58:$T$59,'414'!$T$61,'414'!$T$63,'414'!$T$65,'414'!$T$67:$T$69,'414'!$T$71,'414'!$T$73,'414'!$T$75</definedName>
    <definedName name="OSRRefT22x_0" localSheetId="79">'415'!$T$27:$T$35,'415'!$T$37:$T$46,'415'!$T$48,'415'!$T$50,'415'!$T$52,'415'!$T$54:$T$55,'415'!$T$57,'415'!$T$59,'415'!$T$61,'415'!$T$63,'415'!$T$65,'415'!$T$67:$T$68,'415'!$T$70:$T$74,'415'!$T$76,'415'!$T$78:$T$85,'415'!$T$87:$T$88,'415'!$T$90,'415'!$T$92:$T$93,'415'!$T$95</definedName>
    <definedName name="OSRRefT22x_0" localSheetId="80">'418'!$T$24:$T$31,'418'!$T$33:$T$42,'418'!$T$44,'418'!$T$46,'418'!$T$48:$T$49,'418'!$T$51,'418'!$T$53,'418'!$T$55,'418'!$T$57:$T$59,'418'!$T$61:$T$62,'418'!$T$64:$T$65,'418'!$T$67:$T$76,'418'!$T$78:$T$79,'418'!$T$81</definedName>
    <definedName name="OSRRefT22x_0" localSheetId="81">'420'!$T$22,'420'!$T$24</definedName>
    <definedName name="OSRRefT22x_0" localSheetId="82">'423'!$T$20:$T$27,'423'!$T$29:$T$38,'423'!$T$40,'423'!$T$42:$T$43,'423'!$T$45,'423'!$T$47,'423'!$T$49</definedName>
    <definedName name="OSRRefT22x_0" localSheetId="83">'424'!$T$20,'424'!$T$22,'424'!$T$24,'424'!$T$26</definedName>
    <definedName name="OSRRefT22x_0" localSheetId="84">'425'!$T$21:$T$25,'425'!$T$27,'425'!$T$29,'425'!$T$31,'425'!$T$33:$T$34,'425'!$T$36</definedName>
    <definedName name="OSRRefT22x_0" localSheetId="87">'430'!$T$20:$T$28,'430'!$T$30:$T$39,'430'!$T$41,'430'!$T$43,'430'!$T$45:$T$47,'430'!$T$49:$T$50,'430'!$T$52,'430'!$T$54</definedName>
    <definedName name="OSRRefT22x_0" localSheetId="88">'433'!$T$27:$T$36,'433'!$T$38:$T$47,'433'!$T$49,'433'!$T$51,'433'!$T$53,'433'!$T$55,'433'!$T$57,'433'!$T$59,'433'!$T$61,'433'!$T$63,'433'!$T$65,'433'!$T$67:$T$69,'433'!$T$71:$T$74,'433'!$T$76:$T$83,'433'!$T$85,'433'!$T$87</definedName>
    <definedName name="OSRRefT22x_0" localSheetId="89">'435'!$T$20</definedName>
    <definedName name="OSRRefT22x_0" localSheetId="90">'444'!$T$27:$T$36,'444'!$T$38:$T$47,'444'!$T$49,'444'!$T$51,'444'!$T$53,'444'!$T$55,'444'!$T$57,'444'!$T$59,'444'!$T$61,'444'!$T$63,'444'!$T$65,'444'!$T$67:$T$70,'444'!$T$72:$T$75,'444'!$T$77,'444'!$T$79:$T$87,'444'!$T$89:$T$90,'444'!$T$92,'444'!$T$94</definedName>
    <definedName name="OSRRefT22x_0" localSheetId="91">'450'!$T$23:$T$32,'450'!$T$34:$T$43,'450'!$T$45,'450'!$T$47,'450'!$T$49,'450'!$T$51,'450'!$T$53,'450'!$T$55,'450'!$T$57,'450'!$T$59,'450'!$T$61,'450'!$T$63,'450'!$T$65,'450'!$T$67:$T$69,'450'!$T$71:$T$77,'450'!$T$79:$T$80,'450'!$T$82</definedName>
    <definedName name="OSRRefT22x_0" localSheetId="72">'491'!$T$30:$T$38,'491'!$T$40:$T$49,'491'!$T$51,'491'!$T$53,'491'!$T$55,'491'!$T$57:$T$59,'491'!$T$61,'491'!$T$63,'491'!$T$65,'491'!$T$67,'491'!$T$69,'491'!$T$71,'491'!$T$73,'491'!$T$75:$T$78,'491'!$T$80:$T$81,'491'!$T$83:$T$87,'491'!$T$89:$T$90,'491'!$T$92:$T$102,'491'!$T$104:$T$105,'491'!$T$107,'491'!$T$109:$T$111,'491'!$T$113</definedName>
    <definedName name="OSRRefT22x_0" localSheetId="86">'492'!$T$27:$T$36,'492'!$T$38:$T$47,'492'!$T$49,'492'!$T$51,'492'!$T$53,'492'!$T$55,'492'!$T$57,'492'!$T$59,'492'!$T$61,'492'!$T$63,'492'!$T$65,'492'!$T$67,'492'!$T$69:$T$72,'492'!$T$74:$T$77,'492'!$T$79,'492'!$T$81:$T$90,'492'!$T$92:$T$93,'492'!$T$95,'492'!$T$97:$T$98</definedName>
    <definedName name="OSRRefT22x_0" localSheetId="93">'501'!$T$21:$T$30,'501'!$T$32:$T$41,'501'!$T$43,'501'!$T$45,'501'!$T$47,'501'!$T$49:$T$50,'501'!$T$52,'501'!$T$54,'501'!$T$56,'501'!$T$58:$T$61,'501'!$T$63,'501'!$T$65:$T$66,'501'!$T$68,'501'!$T$70</definedName>
    <definedName name="OSRRefT22x_0" localSheetId="39">'Div 2'!$T$21:$T$31,'Div 2'!$T$33:$T$42,'Div 2'!$T$44,'Div 2'!$T$46,'Div 2'!$T$48,'Div 2'!$T$50:$T$51,'Div 2'!$T$53:$T$54,'Div 2'!$T$56,'Div 2'!$T$58,'Div 2'!$T$60:$T$61,'Div 2'!$T$63,'Div 2'!$T$65:$T$66,'Div 2'!$T$68:$T$71,'Div 2'!$T$73:$T$76,'Div 2'!$T$78:$T$79,'Div 2'!$T$81:$T$82,'Div 2'!$T$84:$T$88,'Div 2'!$T$90:$T$91,'Div 2'!$T$93,'Div 2'!$T$95:$T$96</definedName>
    <definedName name="OSRRefT22x_0" localSheetId="47">'Div 3'!$T$129:$T$138,'Div 3'!$T$140:$T$149,'Div 3'!$T$151,'Div 3'!$T$153:$T$154,'Div 3'!$T$156,'Div 3'!$T$158:$T$159,'Div 3'!$T$161:$T$162,'Div 3'!$T$164:$T$165,'Div 3'!$T$167,'Div 3'!$T$169,'Div 3'!$T$171:$T$172,'Div 3'!$T$174:$T$176,'Div 3'!$T$178,'Div 3'!$T$180,'Div 3'!$T$182:$T$183,'Div 3'!$T$185,'Div 3'!$T$187,'Div 3'!$T$189:$T$192,'Div 3'!$T$194:$T$197,'Div 3'!$T$199:$T$203,'Div 3'!$T$205:$T$206,'Div 3'!$T$208:$T$216,'Div 3'!$T$218:$T$219,'Div 3'!$T$221,'Div 3'!$T$223:$T$225,'Div 3'!$T$227</definedName>
    <definedName name="OSRRefT22x_0" localSheetId="70">'Div 4'!$T$32:$T$41,'Div 4'!$T$43:$T$52,'Div 4'!$T$54,'Div 4'!$T$56,'Div 4'!$T$58,'Div 4'!$T$60:$T$62,'Div 4'!$T$64,'Div 4'!$T$66,'Div 4'!$T$68,'Div 4'!$T$70,'Div 4'!$T$72,'Div 4'!$T$74,'Div 4'!$T$76,'Div 4'!$T$78,'Div 4'!$T$80,'Div 4'!$T$82:$T$85,'Div 4'!$T$87:$T$88,'Div 4'!$T$90:$T$94,'Div 4'!$T$96:$T$97,'Div 4'!$T$99:$T$109,'Div 4'!$T$111:$T$112,'Div 4'!$T$114,'Div 4'!$T$116:$T$118,'Div 4'!$T$120</definedName>
    <definedName name="OSRRefT22x_0" localSheetId="92">'Div 5'!$T$21:$T$30,'Div 5'!$T$32:$T$41,'Div 5'!$T$43,'Div 5'!$T$45,'Div 5'!$T$47,'Div 5'!$T$49:$T$50,'Div 5'!$T$52,'Div 5'!$T$54,'Div 5'!$T$56,'Div 5'!$T$58:$T$61,'Div 5'!$T$63,'Div 5'!$T$65:$T$66,'Div 5'!$T$68,'Div 5'!$T$70</definedName>
    <definedName name="OSRRefT22x_0" localSheetId="61">'Div 6'!$T$53:$T$62,'Div 6'!$T$64:$T$73,'Div 6'!$T$75,'Div 6'!$T$77,'Div 6'!$T$79,'Div 6'!$T$81,'Div 6'!$T$83:$T$84,'Div 6'!$T$86,'Div 6'!$T$88,'Div 6'!$T$90:$T$91,'Div 6'!$T$93,'Div 6'!$T$95:$T$98,'Div 6'!$T$100,'Div 6'!$T$102</definedName>
    <definedName name="OSRRefT22x_0" localSheetId="2">Summary!$T$159:$T$168,Summary!$T$170:$T$179,Summary!$T$181,Summary!$T$183:$T$184,Summary!$T$186,Summary!$T$188:$T$190,Summary!$T$192:$T$193,Summary!$T$195:$T$196,Summary!$T$198,Summary!$T$200,Summary!$T$202:$T$203,Summary!$T$205:$T$207,Summary!$T$209,Summary!$T$211,Summary!$T$213:$T$214,Summary!$T$216,Summary!$T$218,Summary!$T$220,Summary!$T$222:$T$225,Summary!$T$227:$T$230,Summary!$T$232:$T$236,Summary!$T$238:$T$239,Summary!$T$241:$T$251,Summary!$T$253:$T$254,Summary!$T$256,Summary!$T$258:$T$260,Summary!$T$262</definedName>
    <definedName name="OSRRefT25x_0" localSheetId="42">'202'!$T$70:$T$72</definedName>
    <definedName name="OSRRefT25x_0" localSheetId="48">'300'!$T$223:$T$227</definedName>
    <definedName name="OSRRefT25x_0" localSheetId="49">'300 &amp; 317'!$T$247:$T$252</definedName>
    <definedName name="OSRRefT25x_0" localSheetId="50">'301'!$T$100:$T$101</definedName>
    <definedName name="OSRRefT25x_0" localSheetId="53">'308'!$T$117:$T$119</definedName>
    <definedName name="OSRRefT25x_0" localSheetId="71">'310 &amp; 491'!$T$123:$T$126</definedName>
    <definedName name="OSRRefT25x_0" localSheetId="54">'311'!$T$116:$T$118</definedName>
    <definedName name="OSRRefT25x_0" localSheetId="57">'315'!$T$150:$T$153</definedName>
    <definedName name="OSRRefT25x_0" localSheetId="60">'316'!$T$83</definedName>
    <definedName name="OSRRefT25x_0" localSheetId="62">'317'!$T$105:$T$106</definedName>
    <definedName name="OSRRefT25x_0" localSheetId="56">'331'!$T$168:$T$171</definedName>
    <definedName name="OSRRefT25x_0" localSheetId="59">'332'!$T$85:$T$86</definedName>
    <definedName name="OSRRefT25x_0" localSheetId="75">'411'!$T$84:$T$85</definedName>
    <definedName name="OSRRefT25x_0" localSheetId="80">'418'!$T$84</definedName>
    <definedName name="OSRRefT25x_0" localSheetId="82">'423'!$T$52:$T$54</definedName>
    <definedName name="OSRRefT25x_0" localSheetId="85">'455'!$T$21:$T$22</definedName>
    <definedName name="OSRRefT25x_0" localSheetId="72">'491'!$T$116:$T$119</definedName>
    <definedName name="OSRRefT25x_0" localSheetId="93">'501'!$T$73</definedName>
    <definedName name="OSRRefT25x_0" localSheetId="39">'Div 2'!$T$99:$T$101</definedName>
    <definedName name="OSRRefT25x_0" localSheetId="47">'Div 3'!$T$230:$T$234</definedName>
    <definedName name="OSRRefT25x_0" localSheetId="70">'Div 4'!$T$123:$T$126</definedName>
    <definedName name="OSRRefT25x_0" localSheetId="92">'Div 5'!$T$73</definedName>
    <definedName name="OSRRefT25x_0" localSheetId="61">'Div 6'!$T$105:$T$106</definedName>
    <definedName name="OSRRefT25x_0" localSheetId="2">Summary!$T$265:$T$272</definedName>
    <definedName name="_xlnm.Print_Area" localSheetId="38">'100'!$A$1:$Z$34</definedName>
    <definedName name="_xlnm.Print_Area" localSheetId="40">'200'!$A$1:$Z$43</definedName>
    <definedName name="_xlnm.Print_Area" localSheetId="41">'201'!$A$1:$Z$90</definedName>
    <definedName name="_xlnm.Print_Area" localSheetId="42">'202'!$A$1:$Z$84</definedName>
    <definedName name="_xlnm.Print_Area" localSheetId="43">'203'!$A$1:$Z$86</definedName>
    <definedName name="_xlnm.Print_Area" localSheetId="44">'204'!$A$1:$Z$81</definedName>
    <definedName name="_xlnm.Print_Area" localSheetId="45">'205'!$A$1:$Z$69</definedName>
    <definedName name="_xlnm.Print_Area" localSheetId="46">'206'!$A$1:$Z$70</definedName>
    <definedName name="_xlnm.Print_Area" localSheetId="48">'300'!$A$1:$Z$239</definedName>
    <definedName name="_xlnm.Print_Area" localSheetId="49">'300 &amp; 317'!$A$1:$Z$264</definedName>
    <definedName name="_xlnm.Print_Area" localSheetId="50">'301'!$A$1:$Z$113</definedName>
    <definedName name="_xlnm.Print_Area" localSheetId="52">'307'!$A$1:$Z$102</definedName>
    <definedName name="_xlnm.Print_Area" localSheetId="53">'308'!$A$1:$Z$131</definedName>
    <definedName name="_xlnm.Print_Area" localSheetId="64">'309'!$A$1:$Z$76</definedName>
    <definedName name="_xlnm.Print_Area" localSheetId="63">'310'!$A$1:$Z$119</definedName>
    <definedName name="_xlnm.Print_Area" localSheetId="71">'310 &amp; 491'!$A$1:$Z$138</definedName>
    <definedName name="_xlnm.Print_Area" localSheetId="54">'311'!$A$1:$Z$130</definedName>
    <definedName name="_xlnm.Print_Area" localSheetId="65">'313'!$A$1:$Z$84</definedName>
    <definedName name="_xlnm.Print_Area" localSheetId="57">'315'!$A$1:$Z$165</definedName>
    <definedName name="_xlnm.Print_Area" localSheetId="60">'316'!$A$1:$Z$95</definedName>
    <definedName name="_xlnm.Print_Area" localSheetId="62">'317'!$A$1:$Z$118</definedName>
    <definedName name="_xlnm.Print_Area" localSheetId="66">'321'!$A$1:$Z$89</definedName>
    <definedName name="_xlnm.Print_Area" localSheetId="67">'322'!$A$1:$Z$80</definedName>
    <definedName name="_xlnm.Print_Area" localSheetId="55">'324'!$A$1:$Z$59</definedName>
    <definedName name="_xlnm.Print_Area" localSheetId="68">'325'!$A$1:$Z$100</definedName>
    <definedName name="_xlnm.Print_Area" localSheetId="58">'326'!$A$1:$Z$133</definedName>
    <definedName name="_xlnm.Print_Area" localSheetId="69">'327'!$A$1:$Z$41</definedName>
    <definedName name="_xlnm.Print_Area" localSheetId="51">'330'!$A$1:$Z$106</definedName>
    <definedName name="_xlnm.Print_Area" localSheetId="56">'331'!$A$1:$Z$183</definedName>
    <definedName name="_xlnm.Print_Area" localSheetId="59">'332'!$A$1:$Z$98</definedName>
    <definedName name="_xlnm.Print_Area" localSheetId="73">'405'!$A$1:$Z$101</definedName>
    <definedName name="_xlnm.Print_Area" localSheetId="74">'406'!$A$1:$Z$42</definedName>
    <definedName name="_xlnm.Print_Area" localSheetId="75">'411'!$A$1:$Z$97</definedName>
    <definedName name="_xlnm.Print_Area" localSheetId="76">'412'!$A$1:$Z$88</definedName>
    <definedName name="_xlnm.Print_Area" localSheetId="77">'413'!$A$1:$Z$90</definedName>
    <definedName name="_xlnm.Print_Area" localSheetId="78">'414'!$A$1:$Z$89</definedName>
    <definedName name="_xlnm.Print_Area" localSheetId="79">'415'!$A$1:$Z$109</definedName>
    <definedName name="_xlnm.Print_Area" localSheetId="80">'418'!$A$1:$Z$96</definedName>
    <definedName name="_xlnm.Print_Area" localSheetId="81">'420'!$A$1:$Z$38</definedName>
    <definedName name="_xlnm.Print_Area" localSheetId="82">'423'!$A$1:$Z$66</definedName>
    <definedName name="_xlnm.Print_Area" localSheetId="83">'424'!$A$1:$Z$40</definedName>
    <definedName name="_xlnm.Print_Area" localSheetId="84">'425'!$A$1:$Z$50</definedName>
    <definedName name="_xlnm.Print_Area" localSheetId="87">'430'!$A$1:$Z$68</definedName>
    <definedName name="_xlnm.Print_Area" localSheetId="88">'433'!$A$1:$Z$101</definedName>
    <definedName name="_xlnm.Print_Area" localSheetId="89">'435'!$A$1:$Z$34</definedName>
    <definedName name="_xlnm.Print_Area" localSheetId="90">'444'!$A$1:$Z$108</definedName>
    <definedName name="_xlnm.Print_Area" localSheetId="91">'450'!$A$1:$Z$96</definedName>
    <definedName name="_xlnm.Print_Area" localSheetId="85">'455'!$A$1:$Z$34</definedName>
    <definedName name="_xlnm.Print_Area" localSheetId="72">'491'!$A$1:$Z$131</definedName>
    <definedName name="_xlnm.Print_Area" localSheetId="86">'492'!$A$1:$Z$112</definedName>
    <definedName name="_xlnm.Print_Area" localSheetId="93">'501'!$A$1:$Z$85</definedName>
    <definedName name="_xlnm.Print_Area" localSheetId="94">Dept!$A$1:$Z$39</definedName>
    <definedName name="_xlnm.Print_Area" localSheetId="37">'Div 1'!$A$1:$Z$34</definedName>
    <definedName name="_xlnm.Print_Area" localSheetId="39">'Div 2'!$A$1:$Z$113</definedName>
    <definedName name="_xlnm.Print_Area" localSheetId="47">'Div 3'!$A$1:$Z$246</definedName>
    <definedName name="_xlnm.Print_Area" localSheetId="70">'Div 4'!$A$1:$Z$138</definedName>
    <definedName name="_xlnm.Print_Area" localSheetId="92">'Div 5'!$A$1:$Z$85</definedName>
    <definedName name="_xlnm.Print_Area" localSheetId="61">'Div 6'!$A$1:$Z$118</definedName>
    <definedName name="_xlnm.Print_Area" localSheetId="13">'OSR_300 &amp; 317_1C00ID4'!$A$1:$Z$39</definedName>
    <definedName name="_xlnm.Print_Area" localSheetId="14">'OSR_300 (2)_...6aa5a22d_14M6XO4'!$A$1:$Z$39</definedName>
    <definedName name="_xlnm.Print_Area" localSheetId="10">'OSR_300 (2)_7...54cb56fc_UFX0O2'!$A$1:$Z$39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2">'OSR_310 (2)_5...3d931dee_QNK8R2'!$A$1:$Z$39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(2)_...853a34aa_1UNC34K'!$A$1:$Z$39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5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(2)...32d16c57_IVJ1QO'!$A$1:$Z$39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96">'OSR_Summary (...56e5d78f_5JEYZH'!$A$1:$Z$39</definedName>
    <definedName name="_xlnm.Print_Area" localSheetId="3">OSR_Summary_18VAVWG!$A$1:$Z$39</definedName>
    <definedName name="_xlnm.Print_Area" localSheetId="2">Summary!$A$1:$Z$286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4">'309'!$A:$C,'309'!$1:$10</definedName>
    <definedName name="_xlnm.Print_Titles" localSheetId="63">'310'!$A:$C,'310'!$1:$10</definedName>
    <definedName name="_xlnm.Print_Titles" localSheetId="71">'310 &amp; 491'!$A:$C,'310 &amp; 491'!$1:$10</definedName>
    <definedName name="_xlnm.Print_Titles" localSheetId="54">'311'!$A:$C,'311'!$1:$10</definedName>
    <definedName name="_xlnm.Print_Titles" localSheetId="65">'313'!$A:$C,'313'!$1:$10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6">'321'!$A:$C,'321'!$1:$10</definedName>
    <definedName name="_xlnm.Print_Titles" localSheetId="67">'322'!$A:$C,'322'!$1:$10</definedName>
    <definedName name="_xlnm.Print_Titles" localSheetId="55">'324'!$A:$C,'324'!$1:$10</definedName>
    <definedName name="_xlnm.Print_Titles" localSheetId="68">'325'!$A:$C,'325'!$1:$10</definedName>
    <definedName name="_xlnm.Print_Titles" localSheetId="58">'326'!$A:$C,'326'!$1:$10</definedName>
    <definedName name="_xlnm.Print_Titles" localSheetId="69">'327'!$A:$C,'327'!$1:$10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73">'405'!$A:$C,'405'!$1:$10</definedName>
    <definedName name="_xlnm.Print_Titles" localSheetId="74">'406'!$A:$C,'406'!$1:$10</definedName>
    <definedName name="_xlnm.Print_Titles" localSheetId="75">'411'!$A:$C,'411'!$1:$10</definedName>
    <definedName name="_xlnm.Print_Titles" localSheetId="76">'412'!$A:$C,'412'!$1:$10</definedName>
    <definedName name="_xlnm.Print_Titles" localSheetId="77">'413'!$A:$C,'413'!$1:$10</definedName>
    <definedName name="_xlnm.Print_Titles" localSheetId="78">'414'!$A:$C,'414'!$1:$10</definedName>
    <definedName name="_xlnm.Print_Titles" localSheetId="79">'415'!$A:$C,'415'!$1:$10</definedName>
    <definedName name="_xlnm.Print_Titles" localSheetId="80">'418'!$A:$C,'418'!$1:$10</definedName>
    <definedName name="_xlnm.Print_Titles" localSheetId="81">'420'!$A:$C,'420'!$1:$10</definedName>
    <definedName name="_xlnm.Print_Titles" localSheetId="82">'423'!$A:$C,'423'!$1:$10</definedName>
    <definedName name="_xlnm.Print_Titles" localSheetId="83">'424'!$A:$C,'424'!$1:$10</definedName>
    <definedName name="_xlnm.Print_Titles" localSheetId="84">'425'!$A:$C,'425'!$1:$10</definedName>
    <definedName name="_xlnm.Print_Titles" localSheetId="87">'430'!$A:$C,'430'!$1:$10</definedName>
    <definedName name="_xlnm.Print_Titles" localSheetId="88">'433'!$A:$C,'433'!$1:$10</definedName>
    <definedName name="_xlnm.Print_Titles" localSheetId="89">'435'!$A:$C,'435'!$1:$10</definedName>
    <definedName name="_xlnm.Print_Titles" localSheetId="90">'444'!$A:$C,'444'!$1:$10</definedName>
    <definedName name="_xlnm.Print_Titles" localSheetId="91">'450'!$A:$C,'450'!$1:$10</definedName>
    <definedName name="_xlnm.Print_Titles" localSheetId="85">'455'!$A:$C,'455'!$1:$10</definedName>
    <definedName name="_xlnm.Print_Titles" localSheetId="72">'491'!$A:$C,'491'!$1:$10</definedName>
    <definedName name="_xlnm.Print_Titles" localSheetId="86">'492'!$A:$C,'492'!$1:$10</definedName>
    <definedName name="_xlnm.Print_Titles" localSheetId="93">'501'!$A:$C,'501'!$1:$10</definedName>
    <definedName name="_xlnm.Print_Titles" localSheetId="94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0">'Div 4'!$A:$C,'Div 4'!$1:$10</definedName>
    <definedName name="_xlnm.Print_Titles" localSheetId="92">'Div 5'!$A:$C,'Div 5'!$1:$10</definedName>
    <definedName name="_xlnm.Print_Titles" localSheetId="61">'Div 6'!$A:$C,'Div 6'!$1:$10</definedName>
    <definedName name="_xlnm.Print_Titles" localSheetId="13">'OSR_300 &amp; 317_1C00ID4'!$A:$C,'OSR_300 &amp; 317_1C00ID4'!$1:$10</definedName>
    <definedName name="_xlnm.Print_Titles" localSheetId="14">'OSR_300 (2)_...6aa5a22d_14M6XO4'!$A:$C,'OSR_300 (2)_...6aa5a22d_14M6XO4'!$1:$10</definedName>
    <definedName name="_xlnm.Print_Titles" localSheetId="10">'OSR_300 (2)_7...54cb56fc_UFX0O2'!$A:$C,'OSR_300 (2)_7...54cb56fc_UFX0O2'!$1:$10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2">'OSR_310 (2)_5...3d931dee_QNK8R2'!$A:$C,'OSR_310 (2)_5...3d931dee_QNK8R2'!$1:$10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(2)_...853a34aa_1UNC34K'!$A:$C,'OSR_491 (2)_...853a34aa_1UNC34K'!$1:$10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5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(2)...32d16c57_IVJ1QO'!$A:$C,'OSR_Div 5 (2)...32d16c57_IVJ1QO'!$1:$10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96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7" i="97" l="1"/>
  <c r="X77" i="97"/>
  <c r="N77" i="97"/>
  <c r="L77" i="97"/>
  <c r="F77" i="97"/>
  <c r="P73" i="97"/>
  <c r="N73" i="97"/>
  <c r="L73" i="97"/>
  <c r="D73" i="97"/>
  <c r="B73" i="97"/>
  <c r="T72" i="97"/>
  <c r="H72" i="97"/>
  <c r="D72" i="97"/>
  <c r="L72" i="97" s="1"/>
  <c r="N72" i="97" s="1"/>
  <c r="X70" i="97"/>
  <c r="Z70" i="97" s="1"/>
  <c r="N70" i="97"/>
  <c r="L70" i="97"/>
  <c r="B70" i="97"/>
  <c r="T69" i="97"/>
  <c r="P69" i="97"/>
  <c r="X69" i="97" s="1"/>
  <c r="H69" i="97"/>
  <c r="N69" i="97" s="1"/>
  <c r="D69" i="97"/>
  <c r="B69" i="97"/>
  <c r="X68" i="97"/>
  <c r="Z68" i="97" s="1"/>
  <c r="V68" i="97"/>
  <c r="N68" i="97"/>
  <c r="L68" i="97"/>
  <c r="B68" i="97"/>
  <c r="T67" i="97"/>
  <c r="P67" i="97"/>
  <c r="X67" i="97" s="1"/>
  <c r="Z67" i="97" s="1"/>
  <c r="H67" i="97"/>
  <c r="D67" i="97"/>
  <c r="L67" i="97" s="1"/>
  <c r="B67" i="97"/>
  <c r="Z66" i="97"/>
  <c r="X66" i="97"/>
  <c r="N66" i="97"/>
  <c r="L66" i="97"/>
  <c r="B66" i="97"/>
  <c r="X65" i="97"/>
  <c r="Z65" i="97" s="1"/>
  <c r="N65" i="97"/>
  <c r="L65" i="97"/>
  <c r="B65" i="97"/>
  <c r="T64" i="97"/>
  <c r="X64" i="97" s="1"/>
  <c r="Z64" i="97" s="1"/>
  <c r="R64" i="97"/>
  <c r="P64" i="97"/>
  <c r="H64" i="97"/>
  <c r="D64" i="97"/>
  <c r="L64" i="97" s="1"/>
  <c r="B64" i="97"/>
  <c r="X63" i="97"/>
  <c r="Z63" i="97" s="1"/>
  <c r="N63" i="97"/>
  <c r="L63" i="97"/>
  <c r="B63" i="97"/>
  <c r="T62" i="97"/>
  <c r="P62" i="97"/>
  <c r="N62" i="97"/>
  <c r="H62" i="97"/>
  <c r="D62" i="97"/>
  <c r="L62" i="97" s="1"/>
  <c r="B62" i="97"/>
  <c r="Z61" i="97"/>
  <c r="X61" i="97"/>
  <c r="N61" i="97"/>
  <c r="L61" i="97"/>
  <c r="B61" i="97"/>
  <c r="Z60" i="97"/>
  <c r="X60" i="97"/>
  <c r="N60" i="97"/>
  <c r="L60" i="97"/>
  <c r="B60" i="97"/>
  <c r="Z59" i="97"/>
  <c r="X59" i="97"/>
  <c r="L59" i="97"/>
  <c r="N59" i="97" s="1"/>
  <c r="B59" i="97"/>
  <c r="X58" i="97"/>
  <c r="Z58" i="97" s="1"/>
  <c r="V58" i="97"/>
  <c r="N58" i="97"/>
  <c r="L58" i="97"/>
  <c r="B58" i="97"/>
  <c r="T57" i="97"/>
  <c r="P57" i="97"/>
  <c r="H57" i="97"/>
  <c r="F57" i="97"/>
  <c r="D57" i="97"/>
  <c r="L57" i="97" s="1"/>
  <c r="N57" i="97" s="1"/>
  <c r="B57" i="97"/>
  <c r="X56" i="97"/>
  <c r="Z56" i="97" s="1"/>
  <c r="N56" i="97"/>
  <c r="L56" i="97"/>
  <c r="B56" i="97"/>
  <c r="X55" i="97"/>
  <c r="V55" i="97"/>
  <c r="T55" i="97"/>
  <c r="Z55" i="97" s="1"/>
  <c r="P55" i="97"/>
  <c r="N55" i="97"/>
  <c r="L55" i="97"/>
  <c r="H55" i="97"/>
  <c r="D55" i="97"/>
  <c r="B55" i="97"/>
  <c r="Z54" i="97"/>
  <c r="X54" i="97"/>
  <c r="R54" i="97"/>
  <c r="L54" i="97"/>
  <c r="N54" i="97" s="1"/>
  <c r="B54" i="97"/>
  <c r="T53" i="97"/>
  <c r="P53" i="97"/>
  <c r="X53" i="97" s="1"/>
  <c r="H53" i="97"/>
  <c r="D53" i="97"/>
  <c r="B53" i="97"/>
  <c r="X52" i="97"/>
  <c r="Z52" i="97" s="1"/>
  <c r="V52" i="97"/>
  <c r="N52" i="97"/>
  <c r="L52" i="97"/>
  <c r="B52" i="97"/>
  <c r="T51" i="97"/>
  <c r="R51" i="97"/>
  <c r="P51" i="97"/>
  <c r="X51" i="97" s="1"/>
  <c r="Z51" i="97" s="1"/>
  <c r="N51" i="97"/>
  <c r="L51" i="97"/>
  <c r="H51" i="97"/>
  <c r="D51" i="97"/>
  <c r="B51" i="97"/>
  <c r="X50" i="97"/>
  <c r="Z50" i="97" s="1"/>
  <c r="L50" i="97"/>
  <c r="N50" i="97" s="1"/>
  <c r="B50" i="97"/>
  <c r="Z49" i="97"/>
  <c r="X49" i="97"/>
  <c r="N49" i="97"/>
  <c r="L49" i="97"/>
  <c r="B49" i="97"/>
  <c r="X48" i="97"/>
  <c r="T48" i="97"/>
  <c r="Z48" i="97" s="1"/>
  <c r="P48" i="97"/>
  <c r="H48" i="97"/>
  <c r="D48" i="97"/>
  <c r="L48" i="97" s="1"/>
  <c r="B48" i="97"/>
  <c r="Z47" i="97"/>
  <c r="X47" i="97"/>
  <c r="R47" i="97"/>
  <c r="N47" i="97"/>
  <c r="L47" i="97"/>
  <c r="B47" i="97"/>
  <c r="T46" i="97"/>
  <c r="P46" i="97"/>
  <c r="X46" i="97" s="1"/>
  <c r="Z46" i="97" s="1"/>
  <c r="H46" i="97"/>
  <c r="D46" i="97"/>
  <c r="L46" i="97" s="1"/>
  <c r="N46" i="97" s="1"/>
  <c r="B46" i="97"/>
  <c r="Z45" i="97"/>
  <c r="X45" i="97"/>
  <c r="V45" i="97"/>
  <c r="L45" i="97"/>
  <c r="N45" i="97" s="1"/>
  <c r="B45" i="97"/>
  <c r="X44" i="97"/>
  <c r="T44" i="97"/>
  <c r="R44" i="97"/>
  <c r="P44" i="97"/>
  <c r="N44" i="97"/>
  <c r="L44" i="97"/>
  <c r="H44" i="97"/>
  <c r="D44" i="97"/>
  <c r="B44" i="97"/>
  <c r="X43" i="97"/>
  <c r="Z43" i="97" s="1"/>
  <c r="N43" i="97"/>
  <c r="L43" i="97"/>
  <c r="B43" i="97"/>
  <c r="T42" i="97"/>
  <c r="P42" i="97"/>
  <c r="X42" i="97" s="1"/>
  <c r="L42" i="97"/>
  <c r="N42" i="97" s="1"/>
  <c r="H42" i="97"/>
  <c r="F42" i="97"/>
  <c r="D42" i="97"/>
  <c r="B42" i="97"/>
  <c r="Z41" i="97"/>
  <c r="X41" i="97"/>
  <c r="N41" i="97"/>
  <c r="L41" i="97"/>
  <c r="B41" i="97"/>
  <c r="Z40" i="97"/>
  <c r="X40" i="97"/>
  <c r="N40" i="97"/>
  <c r="L40" i="97"/>
  <c r="B40" i="97"/>
  <c r="X39" i="97"/>
  <c r="Z39" i="97" s="1"/>
  <c r="N39" i="97"/>
  <c r="L39" i="97"/>
  <c r="B39" i="97"/>
  <c r="Z38" i="97"/>
  <c r="X38" i="97"/>
  <c r="V38" i="97"/>
  <c r="N38" i="97"/>
  <c r="L38" i="97"/>
  <c r="B38" i="97"/>
  <c r="Z37" i="97"/>
  <c r="X37" i="97"/>
  <c r="V37" i="97"/>
  <c r="N37" i="97"/>
  <c r="L37" i="97"/>
  <c r="B37" i="97"/>
  <c r="Z36" i="97"/>
  <c r="X36" i="97"/>
  <c r="N36" i="97"/>
  <c r="L36" i="97"/>
  <c r="F36" i="97"/>
  <c r="B36" i="97"/>
  <c r="Z35" i="97"/>
  <c r="X35" i="97"/>
  <c r="V35" i="97"/>
  <c r="N35" i="97"/>
  <c r="L35" i="97"/>
  <c r="B35" i="97"/>
  <c r="Z34" i="97"/>
  <c r="X34" i="97"/>
  <c r="R34" i="97"/>
  <c r="N34" i="97"/>
  <c r="L34" i="97"/>
  <c r="B34" i="97"/>
  <c r="Z33" i="97"/>
  <c r="X33" i="97"/>
  <c r="N33" i="97"/>
  <c r="L33" i="97"/>
  <c r="F33" i="97"/>
  <c r="B33" i="97"/>
  <c r="Z32" i="97"/>
  <c r="X32" i="97"/>
  <c r="L32" i="97"/>
  <c r="N32" i="97" s="1"/>
  <c r="B32" i="97"/>
  <c r="T31" i="97"/>
  <c r="P31" i="97"/>
  <c r="H31" i="97"/>
  <c r="D31" i="97"/>
  <c r="L31" i="97" s="1"/>
  <c r="B31" i="97"/>
  <c r="X30" i="97"/>
  <c r="Z30" i="97" s="1"/>
  <c r="L30" i="97"/>
  <c r="N30" i="97" s="1"/>
  <c r="B30" i="97"/>
  <c r="Z29" i="97"/>
  <c r="X29" i="97"/>
  <c r="N29" i="97"/>
  <c r="L29" i="97"/>
  <c r="B29" i="97"/>
  <c r="X28" i="97"/>
  <c r="Z28" i="97" s="1"/>
  <c r="L28" i="97"/>
  <c r="N28" i="97" s="1"/>
  <c r="B28" i="97"/>
  <c r="Z27" i="97"/>
  <c r="X27" i="97"/>
  <c r="N27" i="97"/>
  <c r="L27" i="97"/>
  <c r="B27" i="97"/>
  <c r="Z26" i="97"/>
  <c r="X26" i="97"/>
  <c r="V26" i="97"/>
  <c r="N26" i="97"/>
  <c r="L26" i="97"/>
  <c r="B26" i="97"/>
  <c r="X25" i="97"/>
  <c r="Z25" i="97" s="1"/>
  <c r="N25" i="97"/>
  <c r="L25" i="97"/>
  <c r="B25" i="97"/>
  <c r="X24" i="97"/>
  <c r="Z24" i="97" s="1"/>
  <c r="L24" i="97"/>
  <c r="N24" i="97" s="1"/>
  <c r="B24" i="97"/>
  <c r="Z23" i="97"/>
  <c r="X23" i="97"/>
  <c r="L23" i="97"/>
  <c r="N23" i="97" s="1"/>
  <c r="B23" i="97"/>
  <c r="X22" i="97"/>
  <c r="Z22" i="97" s="1"/>
  <c r="L22" i="97"/>
  <c r="N22" i="97" s="1"/>
  <c r="B22" i="97"/>
  <c r="Z21" i="97"/>
  <c r="X21" i="97"/>
  <c r="R21" i="97"/>
  <c r="L21" i="97"/>
  <c r="N21" i="97" s="1"/>
  <c r="B21" i="97"/>
  <c r="X20" i="97"/>
  <c r="T20" i="97"/>
  <c r="P20" i="97"/>
  <c r="H20" i="97"/>
  <c r="D20" i="97"/>
  <c r="L20" i="97" s="1"/>
  <c r="N20" i="97" s="1"/>
  <c r="B20" i="97"/>
  <c r="T19" i="97"/>
  <c r="P19" i="97"/>
  <c r="H19" i="97"/>
  <c r="D19" i="97"/>
  <c r="D17" i="97"/>
  <c r="T15" i="97"/>
  <c r="Z15" i="97" s="1"/>
  <c r="P15" i="97"/>
  <c r="L15" i="97"/>
  <c r="H15" i="97"/>
  <c r="N15" i="97" s="1"/>
  <c r="D15" i="97"/>
  <c r="Z13" i="97"/>
  <c r="P13" i="97"/>
  <c r="X13" i="97" s="1"/>
  <c r="L13" i="97"/>
  <c r="N13" i="97" s="1"/>
  <c r="D13" i="97"/>
  <c r="B13" i="97"/>
  <c r="T12" i="97"/>
  <c r="V39" i="97" s="1"/>
  <c r="P12" i="97"/>
  <c r="R50" i="97" s="1"/>
  <c r="H12" i="97"/>
  <c r="J28" i="97" s="1"/>
  <c r="D12" i="97"/>
  <c r="D6" i="97"/>
  <c r="D4" i="97"/>
  <c r="V31" i="96"/>
  <c r="F31" i="96"/>
  <c r="F28" i="96"/>
  <c r="Z26" i="96"/>
  <c r="X26" i="96"/>
  <c r="V26" i="96"/>
  <c r="N26" i="96"/>
  <c r="L26" i="96"/>
  <c r="F26" i="96"/>
  <c r="V24" i="96"/>
  <c r="J24" i="96"/>
  <c r="F24" i="96"/>
  <c r="Z22" i="96"/>
  <c r="P22" i="96"/>
  <c r="N22" i="96"/>
  <c r="F22" i="96"/>
  <c r="D22" i="96"/>
  <c r="B22" i="96"/>
  <c r="Z21" i="96"/>
  <c r="X21" i="96"/>
  <c r="V21" i="96"/>
  <c r="P21" i="96"/>
  <c r="N21" i="96"/>
  <c r="L21" i="96"/>
  <c r="D21" i="96"/>
  <c r="B21" i="96"/>
  <c r="Z20" i="96"/>
  <c r="V20" i="96"/>
  <c r="T20" i="96"/>
  <c r="N20" i="96"/>
  <c r="J20" i="96"/>
  <c r="H20" i="96"/>
  <c r="F20" i="96"/>
  <c r="Z18" i="96"/>
  <c r="V18" i="96"/>
  <c r="T18" i="96"/>
  <c r="P18" i="96"/>
  <c r="X18" i="96" s="1"/>
  <c r="N18" i="96"/>
  <c r="L18" i="96"/>
  <c r="J18" i="96"/>
  <c r="H18" i="96"/>
  <c r="F18" i="96"/>
  <c r="D18" i="96"/>
  <c r="V16" i="96"/>
  <c r="J16" i="96"/>
  <c r="F16" i="96"/>
  <c r="X14" i="96"/>
  <c r="T14" i="96"/>
  <c r="T16" i="96" s="1"/>
  <c r="Z16" i="96" s="1"/>
  <c r="P14" i="96"/>
  <c r="N14" i="96"/>
  <c r="J14" i="96"/>
  <c r="H14" i="96"/>
  <c r="F14" i="96"/>
  <c r="D14" i="96"/>
  <c r="L14" i="96" s="1"/>
  <c r="Z12" i="96"/>
  <c r="X12" i="96"/>
  <c r="T12" i="96"/>
  <c r="V28" i="96" s="1"/>
  <c r="P12" i="96"/>
  <c r="R26" i="96" s="1"/>
  <c r="L12" i="96"/>
  <c r="H12" i="96"/>
  <c r="J28" i="96" s="1"/>
  <c r="D12" i="96"/>
  <c r="F21" i="96" s="1"/>
  <c r="D6" i="96"/>
  <c r="D4" i="96"/>
  <c r="Z88" i="95"/>
  <c r="X88" i="95"/>
  <c r="N88" i="95"/>
  <c r="L88" i="95"/>
  <c r="T84" i="95"/>
  <c r="Z84" i="95" s="1"/>
  <c r="P84" i="95"/>
  <c r="N84" i="95"/>
  <c r="L84" i="95"/>
  <c r="H84" i="95"/>
  <c r="D84" i="95"/>
  <c r="Z82" i="95"/>
  <c r="X82" i="95"/>
  <c r="N82" i="95"/>
  <c r="L82" i="95"/>
  <c r="B82" i="95"/>
  <c r="X81" i="95"/>
  <c r="T81" i="95"/>
  <c r="Z81" i="95" s="1"/>
  <c r="P81" i="95"/>
  <c r="H81" i="95"/>
  <c r="D81" i="95"/>
  <c r="L81" i="95" s="1"/>
  <c r="N81" i="95" s="1"/>
  <c r="B81" i="95"/>
  <c r="Z80" i="95"/>
  <c r="X80" i="95"/>
  <c r="N80" i="95"/>
  <c r="L80" i="95"/>
  <c r="B80" i="95"/>
  <c r="X79" i="95"/>
  <c r="Z79" i="95" s="1"/>
  <c r="L79" i="95"/>
  <c r="N79" i="95" s="1"/>
  <c r="B79" i="95"/>
  <c r="T78" i="95"/>
  <c r="X78" i="95" s="1"/>
  <c r="Z78" i="95" s="1"/>
  <c r="P78" i="95"/>
  <c r="H78" i="95"/>
  <c r="D78" i="95"/>
  <c r="L78" i="95" s="1"/>
  <c r="N78" i="95" s="1"/>
  <c r="B78" i="95"/>
  <c r="X77" i="95"/>
  <c r="Z77" i="95" s="1"/>
  <c r="L77" i="95"/>
  <c r="N77" i="95" s="1"/>
  <c r="B77" i="95"/>
  <c r="X76" i="95"/>
  <c r="Z76" i="95" s="1"/>
  <c r="N76" i="95"/>
  <c r="L76" i="95"/>
  <c r="B76" i="95"/>
  <c r="X75" i="95"/>
  <c r="Z75" i="95" s="1"/>
  <c r="N75" i="95"/>
  <c r="L75" i="95"/>
  <c r="B75" i="95"/>
  <c r="Z74" i="95"/>
  <c r="X74" i="95"/>
  <c r="L74" i="95"/>
  <c r="N74" i="95" s="1"/>
  <c r="B74" i="95"/>
  <c r="X73" i="95"/>
  <c r="Z73" i="95" s="1"/>
  <c r="L73" i="95"/>
  <c r="N73" i="95" s="1"/>
  <c r="B73" i="95"/>
  <c r="X72" i="95"/>
  <c r="Z72" i="95" s="1"/>
  <c r="V72" i="95"/>
  <c r="L72" i="95"/>
  <c r="N72" i="95" s="1"/>
  <c r="J72" i="95"/>
  <c r="B72" i="95"/>
  <c r="X71" i="95"/>
  <c r="Z71" i="95" s="1"/>
  <c r="L71" i="95"/>
  <c r="N71" i="95" s="1"/>
  <c r="B71" i="95"/>
  <c r="T70" i="95"/>
  <c r="P70" i="95"/>
  <c r="X70" i="95" s="1"/>
  <c r="Z70" i="95" s="1"/>
  <c r="L70" i="95"/>
  <c r="H70" i="95"/>
  <c r="N70" i="95" s="1"/>
  <c r="D70" i="95"/>
  <c r="B70" i="95"/>
  <c r="X69" i="95"/>
  <c r="Z69" i="95" s="1"/>
  <c r="N69" i="95"/>
  <c r="L69" i="95"/>
  <c r="B69" i="95"/>
  <c r="X68" i="95"/>
  <c r="Z68" i="95" s="1"/>
  <c r="V68" i="95"/>
  <c r="N68" i="95"/>
  <c r="L68" i="95"/>
  <c r="B68" i="95"/>
  <c r="X67" i="95"/>
  <c r="Z67" i="95" s="1"/>
  <c r="L67" i="95"/>
  <c r="N67" i="95" s="1"/>
  <c r="B67" i="95"/>
  <c r="X66" i="95"/>
  <c r="T66" i="95"/>
  <c r="P66" i="95"/>
  <c r="L66" i="95"/>
  <c r="N66" i="95" s="1"/>
  <c r="J66" i="95"/>
  <c r="H66" i="95"/>
  <c r="D66" i="95"/>
  <c r="B66" i="95"/>
  <c r="Z65" i="95"/>
  <c r="X65" i="95"/>
  <c r="N65" i="95"/>
  <c r="L65" i="95"/>
  <c r="B65" i="95"/>
  <c r="T64" i="95"/>
  <c r="P64" i="95"/>
  <c r="H64" i="95"/>
  <c r="L64" i="95" s="1"/>
  <c r="N64" i="95" s="1"/>
  <c r="D64" i="95"/>
  <c r="B64" i="95"/>
  <c r="X63" i="95"/>
  <c r="Z63" i="95" s="1"/>
  <c r="V63" i="95"/>
  <c r="L63" i="95"/>
  <c r="N63" i="95" s="1"/>
  <c r="B63" i="95"/>
  <c r="Z62" i="95"/>
  <c r="T62" i="95"/>
  <c r="P62" i="95"/>
  <c r="X62" i="95" s="1"/>
  <c r="L62" i="95"/>
  <c r="H62" i="95"/>
  <c r="N62" i="95" s="1"/>
  <c r="D62" i="95"/>
  <c r="B62" i="95"/>
  <c r="X61" i="95"/>
  <c r="Z61" i="95" s="1"/>
  <c r="N61" i="95"/>
  <c r="L61" i="95"/>
  <c r="J61" i="95"/>
  <c r="B61" i="95"/>
  <c r="X60" i="95"/>
  <c r="Z60" i="95" s="1"/>
  <c r="T60" i="95"/>
  <c r="P60" i="95"/>
  <c r="H60" i="95"/>
  <c r="D60" i="95"/>
  <c r="B60" i="95"/>
  <c r="X59" i="95"/>
  <c r="Z59" i="95" s="1"/>
  <c r="L59" i="95"/>
  <c r="N59" i="95" s="1"/>
  <c r="B59" i="95"/>
  <c r="T58" i="95"/>
  <c r="X58" i="95" s="1"/>
  <c r="P58" i="95"/>
  <c r="H58" i="95"/>
  <c r="D58" i="95"/>
  <c r="B58" i="95"/>
  <c r="Z57" i="95"/>
  <c r="X57" i="95"/>
  <c r="N57" i="95"/>
  <c r="L57" i="95"/>
  <c r="B57" i="95"/>
  <c r="T56" i="95"/>
  <c r="P56" i="95"/>
  <c r="N56" i="95"/>
  <c r="H56" i="95"/>
  <c r="D56" i="95"/>
  <c r="L56" i="95" s="1"/>
  <c r="B56" i="95"/>
  <c r="X55" i="95"/>
  <c r="Z55" i="95" s="1"/>
  <c r="V55" i="95"/>
  <c r="L55" i="95"/>
  <c r="N55" i="95" s="1"/>
  <c r="B55" i="95"/>
  <c r="T54" i="95"/>
  <c r="P54" i="95"/>
  <c r="X54" i="95" s="1"/>
  <c r="L54" i="95"/>
  <c r="N54" i="95" s="1"/>
  <c r="H54" i="95"/>
  <c r="D54" i="95"/>
  <c r="B54" i="95"/>
  <c r="Z53" i="95"/>
  <c r="X53" i="95"/>
  <c r="N53" i="95"/>
  <c r="L53" i="95"/>
  <c r="B53" i="95"/>
  <c r="T52" i="95"/>
  <c r="P52" i="95"/>
  <c r="X52" i="95" s="1"/>
  <c r="H52" i="95"/>
  <c r="D52" i="95"/>
  <c r="B52" i="95"/>
  <c r="X51" i="95"/>
  <c r="Z51" i="95" s="1"/>
  <c r="V51" i="95"/>
  <c r="L51" i="95"/>
  <c r="N51" i="95" s="1"/>
  <c r="J51" i="95"/>
  <c r="B51" i="95"/>
  <c r="T50" i="95"/>
  <c r="P50" i="95"/>
  <c r="X50" i="95" s="1"/>
  <c r="Z50" i="95" s="1"/>
  <c r="H50" i="95"/>
  <c r="D50" i="95"/>
  <c r="L50" i="95" s="1"/>
  <c r="B50" i="95"/>
  <c r="X49" i="95"/>
  <c r="Z49" i="95" s="1"/>
  <c r="N49" i="95"/>
  <c r="L49" i="95"/>
  <c r="B49" i="95"/>
  <c r="X48" i="95"/>
  <c r="Z48" i="95" s="1"/>
  <c r="V48" i="95"/>
  <c r="T48" i="95"/>
  <c r="P48" i="95"/>
  <c r="L48" i="95"/>
  <c r="N48" i="95" s="1"/>
  <c r="H48" i="95"/>
  <c r="D48" i="95"/>
  <c r="B48" i="95"/>
  <c r="Z47" i="95"/>
  <c r="X47" i="95"/>
  <c r="L47" i="95"/>
  <c r="N47" i="95" s="1"/>
  <c r="B47" i="95"/>
  <c r="X46" i="95"/>
  <c r="Z46" i="95" s="1"/>
  <c r="T46" i="95"/>
  <c r="P46" i="95"/>
  <c r="H46" i="95"/>
  <c r="D46" i="95"/>
  <c r="L46" i="95" s="1"/>
  <c r="N46" i="95" s="1"/>
  <c r="B46" i="95"/>
  <c r="X45" i="95"/>
  <c r="Z45" i="95" s="1"/>
  <c r="V45" i="95"/>
  <c r="L45" i="95"/>
  <c r="N45" i="95" s="1"/>
  <c r="B45" i="95"/>
  <c r="T44" i="95"/>
  <c r="P44" i="95"/>
  <c r="X44" i="95" s="1"/>
  <c r="N44" i="95"/>
  <c r="J44" i="95"/>
  <c r="H44" i="95"/>
  <c r="D44" i="95"/>
  <c r="L44" i="95" s="1"/>
  <c r="B44" i="95"/>
  <c r="Z43" i="95"/>
  <c r="X43" i="95"/>
  <c r="V43" i="95"/>
  <c r="N43" i="95"/>
  <c r="L43" i="95"/>
  <c r="F43" i="95"/>
  <c r="B43" i="95"/>
  <c r="Z42" i="95"/>
  <c r="X42" i="95"/>
  <c r="N42" i="95"/>
  <c r="L42" i="95"/>
  <c r="B42" i="95"/>
  <c r="X41" i="95"/>
  <c r="Z41" i="95" s="1"/>
  <c r="V41" i="95"/>
  <c r="N41" i="95"/>
  <c r="L41" i="95"/>
  <c r="B41" i="95"/>
  <c r="Z40" i="95"/>
  <c r="X40" i="95"/>
  <c r="V40" i="95"/>
  <c r="N40" i="95"/>
  <c r="L40" i="95"/>
  <c r="J40" i="95"/>
  <c r="B40" i="95"/>
  <c r="Z39" i="95"/>
  <c r="X39" i="95"/>
  <c r="N39" i="95"/>
  <c r="L39" i="95"/>
  <c r="B39" i="95"/>
  <c r="X38" i="95"/>
  <c r="Z38" i="95" s="1"/>
  <c r="L38" i="95"/>
  <c r="N38" i="95" s="1"/>
  <c r="B38" i="95"/>
  <c r="X37" i="95"/>
  <c r="Z37" i="95" s="1"/>
  <c r="V37" i="95"/>
  <c r="L37" i="95"/>
  <c r="N37" i="95" s="1"/>
  <c r="B37" i="95"/>
  <c r="Z36" i="95"/>
  <c r="X36" i="95"/>
  <c r="N36" i="95"/>
  <c r="L36" i="95"/>
  <c r="J36" i="95"/>
  <c r="B36" i="95"/>
  <c r="X35" i="95"/>
  <c r="Z35" i="95" s="1"/>
  <c r="V35" i="95"/>
  <c r="N35" i="95"/>
  <c r="L35" i="95"/>
  <c r="B35" i="95"/>
  <c r="Z34" i="95"/>
  <c r="X34" i="95"/>
  <c r="V34" i="95"/>
  <c r="N34" i="95"/>
  <c r="L34" i="95"/>
  <c r="B34" i="95"/>
  <c r="T33" i="95"/>
  <c r="P33" i="95"/>
  <c r="X33" i="95" s="1"/>
  <c r="H33" i="95"/>
  <c r="F33" i="95"/>
  <c r="D33" i="95"/>
  <c r="L33" i="95" s="1"/>
  <c r="B33" i="95"/>
  <c r="Z32" i="95"/>
  <c r="X32" i="95"/>
  <c r="V32" i="95"/>
  <c r="N32" i="95"/>
  <c r="L32" i="95"/>
  <c r="B32" i="95"/>
  <c r="Z31" i="95"/>
  <c r="X31" i="95"/>
  <c r="V31" i="95"/>
  <c r="L31" i="95"/>
  <c r="N31" i="95" s="1"/>
  <c r="J31" i="95"/>
  <c r="F31" i="95"/>
  <c r="B31" i="95"/>
  <c r="X30" i="95"/>
  <c r="Z30" i="95" s="1"/>
  <c r="L30" i="95"/>
  <c r="N30" i="95" s="1"/>
  <c r="B30" i="95"/>
  <c r="Z29" i="95"/>
  <c r="X29" i="95"/>
  <c r="N29" i="95"/>
  <c r="L29" i="95"/>
  <c r="J29" i="95"/>
  <c r="B29" i="95"/>
  <c r="Z28" i="95"/>
  <c r="X28" i="95"/>
  <c r="V28" i="95"/>
  <c r="N28" i="95"/>
  <c r="L28" i="95"/>
  <c r="B28" i="95"/>
  <c r="Z27" i="95"/>
  <c r="X27" i="95"/>
  <c r="V27" i="95"/>
  <c r="L27" i="95"/>
  <c r="N27" i="95" s="1"/>
  <c r="J27" i="95"/>
  <c r="F27" i="95"/>
  <c r="B27" i="95"/>
  <c r="X26" i="95"/>
  <c r="Z26" i="95" s="1"/>
  <c r="L26" i="95"/>
  <c r="N26" i="95" s="1"/>
  <c r="B26" i="95"/>
  <c r="X25" i="95"/>
  <c r="Z25" i="95" s="1"/>
  <c r="N25" i="95"/>
  <c r="L25" i="95"/>
  <c r="J25" i="95"/>
  <c r="B25" i="95"/>
  <c r="X24" i="95"/>
  <c r="Z24" i="95" s="1"/>
  <c r="V24" i="95"/>
  <c r="N24" i="95"/>
  <c r="L24" i="95"/>
  <c r="B24" i="95"/>
  <c r="Z23" i="95"/>
  <c r="X23" i="95"/>
  <c r="V23" i="95"/>
  <c r="L23" i="95"/>
  <c r="N23" i="95" s="1"/>
  <c r="J23" i="95"/>
  <c r="F23" i="95"/>
  <c r="B23" i="95"/>
  <c r="T22" i="95"/>
  <c r="P22" i="95"/>
  <c r="X22" i="95" s="1"/>
  <c r="J22" i="95"/>
  <c r="H22" i="95"/>
  <c r="D22" i="95"/>
  <c r="B22" i="95"/>
  <c r="T21" i="95"/>
  <c r="V21" i="95" s="1"/>
  <c r="P21" i="95"/>
  <c r="H21" i="95"/>
  <c r="J21" i="95" s="1"/>
  <c r="D21" i="95"/>
  <c r="L21" i="95" s="1"/>
  <c r="V19" i="95"/>
  <c r="T19" i="95"/>
  <c r="J19" i="95"/>
  <c r="H19" i="95"/>
  <c r="Z17" i="95"/>
  <c r="X17" i="95"/>
  <c r="V17" i="95"/>
  <c r="N17" i="95"/>
  <c r="L17" i="95"/>
  <c r="J17" i="95"/>
  <c r="B17" i="95"/>
  <c r="V16" i="95"/>
  <c r="T16" i="95"/>
  <c r="P16" i="95"/>
  <c r="X16" i="95" s="1"/>
  <c r="Z16" i="95" s="1"/>
  <c r="H16" i="95"/>
  <c r="F16" i="95"/>
  <c r="D16" i="95"/>
  <c r="L16" i="95" s="1"/>
  <c r="Z14" i="95"/>
  <c r="P14" i="95"/>
  <c r="X14" i="95" s="1"/>
  <c r="N14" i="95"/>
  <c r="D14" i="95"/>
  <c r="L14" i="95" s="1"/>
  <c r="B14" i="95"/>
  <c r="P13" i="95"/>
  <c r="X13" i="95" s="1"/>
  <c r="Z13" i="95" s="1"/>
  <c r="L13" i="95"/>
  <c r="N13" i="95" s="1"/>
  <c r="D13" i="95"/>
  <c r="D12" i="95" s="1"/>
  <c r="B13" i="95"/>
  <c r="T12" i="95"/>
  <c r="V65" i="95" s="1"/>
  <c r="P12" i="95"/>
  <c r="H12" i="95"/>
  <c r="J80" i="95" s="1"/>
  <c r="D6" i="95"/>
  <c r="D4" i="95"/>
  <c r="Z100" i="94"/>
  <c r="X100" i="94"/>
  <c r="L100" i="94"/>
  <c r="N100" i="94" s="1"/>
  <c r="T96" i="94"/>
  <c r="P96" i="94"/>
  <c r="H96" i="94"/>
  <c r="N96" i="94" s="1"/>
  <c r="D96" i="94"/>
  <c r="L96" i="94" s="1"/>
  <c r="Z94" i="94"/>
  <c r="X94" i="94"/>
  <c r="N94" i="94"/>
  <c r="L94" i="94"/>
  <c r="B94" i="94"/>
  <c r="Z93" i="94"/>
  <c r="T93" i="94"/>
  <c r="P93" i="94"/>
  <c r="X93" i="94" s="1"/>
  <c r="N93" i="94"/>
  <c r="L93" i="94"/>
  <c r="H93" i="94"/>
  <c r="D93" i="94"/>
  <c r="B93" i="94"/>
  <c r="X92" i="94"/>
  <c r="Z92" i="94" s="1"/>
  <c r="N92" i="94"/>
  <c r="L92" i="94"/>
  <c r="B92" i="94"/>
  <c r="T91" i="94"/>
  <c r="P91" i="94"/>
  <c r="X91" i="94" s="1"/>
  <c r="L91" i="94"/>
  <c r="H91" i="94"/>
  <c r="D91" i="94"/>
  <c r="B91" i="94"/>
  <c r="Z90" i="94"/>
  <c r="X90" i="94"/>
  <c r="N90" i="94"/>
  <c r="L90" i="94"/>
  <c r="B90" i="94"/>
  <c r="X89" i="94"/>
  <c r="Z89" i="94" s="1"/>
  <c r="N89" i="94"/>
  <c r="L89" i="94"/>
  <c r="B89" i="94"/>
  <c r="X88" i="94"/>
  <c r="Z88" i="94" s="1"/>
  <c r="T88" i="94"/>
  <c r="P88" i="94"/>
  <c r="L88" i="94"/>
  <c r="H88" i="94"/>
  <c r="D88" i="94"/>
  <c r="B88" i="94"/>
  <c r="X87" i="94"/>
  <c r="Z87" i="94" s="1"/>
  <c r="N87" i="94"/>
  <c r="L87" i="94"/>
  <c r="B87" i="94"/>
  <c r="X86" i="94"/>
  <c r="Z86" i="94" s="1"/>
  <c r="N86" i="94"/>
  <c r="L86" i="94"/>
  <c r="B86" i="94"/>
  <c r="Z85" i="94"/>
  <c r="X85" i="94"/>
  <c r="N85" i="94"/>
  <c r="L85" i="94"/>
  <c r="B85" i="94"/>
  <c r="Z84" i="94"/>
  <c r="X84" i="94"/>
  <c r="N84" i="94"/>
  <c r="L84" i="94"/>
  <c r="B84" i="94"/>
  <c r="Z83" i="94"/>
  <c r="X83" i="94"/>
  <c r="N83" i="94"/>
  <c r="L83" i="94"/>
  <c r="B83" i="94"/>
  <c r="X82" i="94"/>
  <c r="Z82" i="94" s="1"/>
  <c r="N82" i="94"/>
  <c r="L82" i="94"/>
  <c r="B82" i="94"/>
  <c r="Z81" i="94"/>
  <c r="X81" i="94"/>
  <c r="L81" i="94"/>
  <c r="N81" i="94" s="1"/>
  <c r="B81" i="94"/>
  <c r="Z80" i="94"/>
  <c r="X80" i="94"/>
  <c r="L80" i="94"/>
  <c r="N80" i="94" s="1"/>
  <c r="B80" i="94"/>
  <c r="X79" i="94"/>
  <c r="Z79" i="94" s="1"/>
  <c r="N79" i="94"/>
  <c r="L79" i="94"/>
  <c r="B79" i="94"/>
  <c r="T78" i="94"/>
  <c r="P78" i="94"/>
  <c r="H78" i="94"/>
  <c r="D78" i="94"/>
  <c r="L78" i="94" s="1"/>
  <c r="B78" i="94"/>
  <c r="Z77" i="94"/>
  <c r="X77" i="94"/>
  <c r="N77" i="94"/>
  <c r="L77" i="94"/>
  <c r="B77" i="94"/>
  <c r="T76" i="94"/>
  <c r="Z76" i="94" s="1"/>
  <c r="P76" i="94"/>
  <c r="X76" i="94" s="1"/>
  <c r="N76" i="94"/>
  <c r="H76" i="94"/>
  <c r="D76" i="94"/>
  <c r="L76" i="94" s="1"/>
  <c r="B76" i="94"/>
  <c r="Z75" i="94"/>
  <c r="X75" i="94"/>
  <c r="L75" i="94"/>
  <c r="N75" i="94" s="1"/>
  <c r="B75" i="94"/>
  <c r="X74" i="94"/>
  <c r="Z74" i="94" s="1"/>
  <c r="L74" i="94"/>
  <c r="N74" i="94" s="1"/>
  <c r="J74" i="94"/>
  <c r="B74" i="94"/>
  <c r="Z73" i="94"/>
  <c r="X73" i="94"/>
  <c r="N73" i="94"/>
  <c r="L73" i="94"/>
  <c r="B73" i="94"/>
  <c r="Z72" i="94"/>
  <c r="X72" i="94"/>
  <c r="L72" i="94"/>
  <c r="N72" i="94" s="1"/>
  <c r="B72" i="94"/>
  <c r="T71" i="94"/>
  <c r="P71" i="94"/>
  <c r="H71" i="94"/>
  <c r="D71" i="94"/>
  <c r="L71" i="94" s="1"/>
  <c r="B71" i="94"/>
  <c r="X70" i="94"/>
  <c r="Z70" i="94" s="1"/>
  <c r="N70" i="94"/>
  <c r="L70" i="94"/>
  <c r="B70" i="94"/>
  <c r="Z69" i="94"/>
  <c r="X69" i="94"/>
  <c r="L69" i="94"/>
  <c r="N69" i="94" s="1"/>
  <c r="B69" i="94"/>
  <c r="X68" i="94"/>
  <c r="Z68" i="94" s="1"/>
  <c r="N68" i="94"/>
  <c r="L68" i="94"/>
  <c r="B68" i="94"/>
  <c r="X67" i="94"/>
  <c r="Z67" i="94" s="1"/>
  <c r="N67" i="94"/>
  <c r="L67" i="94"/>
  <c r="J67" i="94"/>
  <c r="B67" i="94"/>
  <c r="V66" i="94"/>
  <c r="T66" i="94"/>
  <c r="P66" i="94"/>
  <c r="H66" i="94"/>
  <c r="D66" i="94"/>
  <c r="B66" i="94"/>
  <c r="X65" i="94"/>
  <c r="Z65" i="94" s="1"/>
  <c r="L65" i="94"/>
  <c r="N65" i="94" s="1"/>
  <c r="B65" i="94"/>
  <c r="X64" i="94"/>
  <c r="T64" i="94"/>
  <c r="P64" i="94"/>
  <c r="N64" i="94"/>
  <c r="H64" i="94"/>
  <c r="D64" i="94"/>
  <c r="L64" i="94" s="1"/>
  <c r="B64" i="94"/>
  <c r="Z63" i="94"/>
  <c r="X63" i="94"/>
  <c r="N63" i="94"/>
  <c r="L63" i="94"/>
  <c r="B63" i="94"/>
  <c r="X62" i="94"/>
  <c r="T62" i="94"/>
  <c r="P62" i="94"/>
  <c r="L62" i="94"/>
  <c r="N62" i="94" s="1"/>
  <c r="J62" i="94"/>
  <c r="H62" i="94"/>
  <c r="D62" i="94"/>
  <c r="B62" i="94"/>
  <c r="Z61" i="94"/>
  <c r="X61" i="94"/>
  <c r="N61" i="94"/>
  <c r="L61" i="94"/>
  <c r="B61" i="94"/>
  <c r="T60" i="94"/>
  <c r="P60" i="94"/>
  <c r="H60" i="94"/>
  <c r="D60" i="94"/>
  <c r="B60" i="94"/>
  <c r="Z59" i="94"/>
  <c r="X59" i="94"/>
  <c r="N59" i="94"/>
  <c r="L59" i="94"/>
  <c r="B59" i="94"/>
  <c r="Z58" i="94"/>
  <c r="T58" i="94"/>
  <c r="P58" i="94"/>
  <c r="X58" i="94" s="1"/>
  <c r="L58" i="94"/>
  <c r="H58" i="94"/>
  <c r="D58" i="94"/>
  <c r="B58" i="94"/>
  <c r="X57" i="94"/>
  <c r="Z57" i="94" s="1"/>
  <c r="N57" i="94"/>
  <c r="L57" i="94"/>
  <c r="J57" i="94"/>
  <c r="B57" i="94"/>
  <c r="X56" i="94"/>
  <c r="Z56" i="94" s="1"/>
  <c r="T56" i="94"/>
  <c r="P56" i="94"/>
  <c r="H56" i="94"/>
  <c r="D56" i="94"/>
  <c r="L56" i="94" s="1"/>
  <c r="B56" i="94"/>
  <c r="Z55" i="94"/>
  <c r="X55" i="94"/>
  <c r="N55" i="94"/>
  <c r="L55" i="94"/>
  <c r="J55" i="94"/>
  <c r="B55" i="94"/>
  <c r="X54" i="94"/>
  <c r="T54" i="94"/>
  <c r="Z54" i="94" s="1"/>
  <c r="P54" i="94"/>
  <c r="H54" i="94"/>
  <c r="N54" i="94" s="1"/>
  <c r="D54" i="94"/>
  <c r="B54" i="94"/>
  <c r="Z53" i="94"/>
  <c r="X53" i="94"/>
  <c r="L53" i="94"/>
  <c r="N53" i="94" s="1"/>
  <c r="B53" i="94"/>
  <c r="T52" i="94"/>
  <c r="P52" i="94"/>
  <c r="X52" i="94" s="1"/>
  <c r="H52" i="94"/>
  <c r="D52" i="94"/>
  <c r="L52" i="94" s="1"/>
  <c r="N52" i="94" s="1"/>
  <c r="B52" i="94"/>
  <c r="Z51" i="94"/>
  <c r="X51" i="94"/>
  <c r="L51" i="94"/>
  <c r="N51" i="94" s="1"/>
  <c r="B51" i="94"/>
  <c r="T50" i="94"/>
  <c r="P50" i="94"/>
  <c r="X50" i="94" s="1"/>
  <c r="N50" i="94"/>
  <c r="L50" i="94"/>
  <c r="J50" i="94"/>
  <c r="H50" i="94"/>
  <c r="D50" i="94"/>
  <c r="B50" i="94"/>
  <c r="Z49" i="94"/>
  <c r="X49" i="94"/>
  <c r="N49" i="94"/>
  <c r="L49" i="94"/>
  <c r="J49" i="94"/>
  <c r="B49" i="94"/>
  <c r="T48" i="94"/>
  <c r="P48" i="94"/>
  <c r="L48" i="94"/>
  <c r="H48" i="94"/>
  <c r="D48" i="94"/>
  <c r="B48" i="94"/>
  <c r="Z47" i="94"/>
  <c r="X47" i="94"/>
  <c r="V47" i="94"/>
  <c r="N47" i="94"/>
  <c r="L47" i="94"/>
  <c r="B47" i="94"/>
  <c r="Z46" i="94"/>
  <c r="X46" i="94"/>
  <c r="N46" i="94"/>
  <c r="L46" i="94"/>
  <c r="B46" i="94"/>
  <c r="Z45" i="94"/>
  <c r="X45" i="94"/>
  <c r="L45" i="94"/>
  <c r="N45" i="94" s="1"/>
  <c r="B45" i="94"/>
  <c r="X44" i="94"/>
  <c r="Z44" i="94" s="1"/>
  <c r="N44" i="94"/>
  <c r="L44" i="94"/>
  <c r="B44" i="94"/>
  <c r="Z43" i="94"/>
  <c r="X43" i="94"/>
  <c r="N43" i="94"/>
  <c r="L43" i="94"/>
  <c r="B43" i="94"/>
  <c r="Z42" i="94"/>
  <c r="X42" i="94"/>
  <c r="L42" i="94"/>
  <c r="N42" i="94" s="1"/>
  <c r="B42" i="94"/>
  <c r="X41" i="94"/>
  <c r="Z41" i="94" s="1"/>
  <c r="L41" i="94"/>
  <c r="N41" i="94" s="1"/>
  <c r="B41" i="94"/>
  <c r="Z40" i="94"/>
  <c r="X40" i="94"/>
  <c r="N40" i="94"/>
  <c r="L40" i="94"/>
  <c r="J40" i="94"/>
  <c r="B40" i="94"/>
  <c r="Z39" i="94"/>
  <c r="X39" i="94"/>
  <c r="N39" i="94"/>
  <c r="L39" i="94"/>
  <c r="J39" i="94"/>
  <c r="B39" i="94"/>
  <c r="Z38" i="94"/>
  <c r="X38" i="94"/>
  <c r="N38" i="94"/>
  <c r="L38" i="94"/>
  <c r="B38" i="94"/>
  <c r="T37" i="94"/>
  <c r="P37" i="94"/>
  <c r="J37" i="94"/>
  <c r="H37" i="94"/>
  <c r="D37" i="94"/>
  <c r="L37" i="94" s="1"/>
  <c r="B37" i="94"/>
  <c r="Z36" i="94"/>
  <c r="X36" i="94"/>
  <c r="L36" i="94"/>
  <c r="N36" i="94" s="1"/>
  <c r="B36" i="94"/>
  <c r="Z35" i="94"/>
  <c r="X35" i="94"/>
  <c r="N35" i="94"/>
  <c r="L35" i="94"/>
  <c r="B35" i="94"/>
  <c r="X34" i="94"/>
  <c r="Z34" i="94" s="1"/>
  <c r="N34" i="94"/>
  <c r="L34" i="94"/>
  <c r="J34" i="94"/>
  <c r="B34" i="94"/>
  <c r="Z33" i="94"/>
  <c r="X33" i="94"/>
  <c r="N33" i="94"/>
  <c r="L33" i="94"/>
  <c r="J33" i="94"/>
  <c r="B33" i="94"/>
  <c r="Z32" i="94"/>
  <c r="X32" i="94"/>
  <c r="N32" i="94"/>
  <c r="L32" i="94"/>
  <c r="B32" i="94"/>
  <c r="Z31" i="94"/>
  <c r="X31" i="94"/>
  <c r="L31" i="94"/>
  <c r="N31" i="94" s="1"/>
  <c r="B31" i="94"/>
  <c r="X30" i="94"/>
  <c r="Z30" i="94" s="1"/>
  <c r="N30" i="94"/>
  <c r="L30" i="94"/>
  <c r="J30" i="94"/>
  <c r="B30" i="94"/>
  <c r="X29" i="94"/>
  <c r="Z29" i="94" s="1"/>
  <c r="N29" i="94"/>
  <c r="L29" i="94"/>
  <c r="B29" i="94"/>
  <c r="X28" i="94"/>
  <c r="Z28" i="94" s="1"/>
  <c r="L28" i="94"/>
  <c r="N28" i="94" s="1"/>
  <c r="B28" i="94"/>
  <c r="Z27" i="94"/>
  <c r="X27" i="94"/>
  <c r="L27" i="94"/>
  <c r="N27" i="94" s="1"/>
  <c r="B27" i="94"/>
  <c r="T26" i="94"/>
  <c r="P26" i="94"/>
  <c r="N26" i="94"/>
  <c r="L26" i="94"/>
  <c r="H26" i="94"/>
  <c r="D26" i="94"/>
  <c r="B26" i="94"/>
  <c r="T25" i="94"/>
  <c r="P25" i="94"/>
  <c r="H25" i="94"/>
  <c r="D25" i="94"/>
  <c r="L25" i="94" s="1"/>
  <c r="Z21" i="94"/>
  <c r="X21" i="94"/>
  <c r="N21" i="94"/>
  <c r="L21" i="94"/>
  <c r="J21" i="94"/>
  <c r="B21" i="94"/>
  <c r="Z20" i="94"/>
  <c r="X20" i="94"/>
  <c r="N20" i="94"/>
  <c r="L20" i="94"/>
  <c r="B20" i="94"/>
  <c r="Z19" i="94"/>
  <c r="X19" i="94"/>
  <c r="N19" i="94"/>
  <c r="L19" i="94"/>
  <c r="J19" i="94"/>
  <c r="B19" i="94"/>
  <c r="Z18" i="94"/>
  <c r="X18" i="94"/>
  <c r="T18" i="94"/>
  <c r="P18" i="94"/>
  <c r="H18" i="94"/>
  <c r="D18" i="94"/>
  <c r="Z16" i="94"/>
  <c r="X16" i="94"/>
  <c r="P16" i="94"/>
  <c r="N16" i="94"/>
  <c r="L16" i="94"/>
  <c r="D16" i="94"/>
  <c r="B16" i="94"/>
  <c r="Z15" i="94"/>
  <c r="P15" i="94"/>
  <c r="X15" i="94" s="1"/>
  <c r="N15" i="94"/>
  <c r="L15" i="94"/>
  <c r="D15" i="94"/>
  <c r="B15" i="94"/>
  <c r="P14" i="94"/>
  <c r="X14" i="94" s="1"/>
  <c r="Z14" i="94" s="1"/>
  <c r="L14" i="94"/>
  <c r="N14" i="94" s="1"/>
  <c r="D14" i="94"/>
  <c r="B14" i="94"/>
  <c r="Z13" i="94"/>
  <c r="X13" i="94"/>
  <c r="P13" i="94"/>
  <c r="N13" i="94"/>
  <c r="D13" i="94"/>
  <c r="B13" i="94"/>
  <c r="T12" i="94"/>
  <c r="H12" i="94"/>
  <c r="J87" i="94" s="1"/>
  <c r="D6" i="94"/>
  <c r="D4" i="94"/>
  <c r="V28" i="93"/>
  <c r="F28" i="93"/>
  <c r="Z26" i="93"/>
  <c r="X26" i="93"/>
  <c r="N26" i="93"/>
  <c r="L26" i="93"/>
  <c r="F26" i="93"/>
  <c r="V24" i="93"/>
  <c r="Z22" i="93"/>
  <c r="V22" i="93"/>
  <c r="T22" i="93"/>
  <c r="P22" i="93"/>
  <c r="X22" i="93" s="1"/>
  <c r="N22" i="93"/>
  <c r="J22" i="93"/>
  <c r="H22" i="93"/>
  <c r="D22" i="93"/>
  <c r="Z20" i="93"/>
  <c r="X20" i="93"/>
  <c r="V20" i="93"/>
  <c r="N20" i="93"/>
  <c r="L20" i="93"/>
  <c r="B20" i="93"/>
  <c r="Z19" i="93"/>
  <c r="V19" i="93"/>
  <c r="T19" i="93"/>
  <c r="P19" i="93"/>
  <c r="L19" i="93"/>
  <c r="H19" i="93"/>
  <c r="N19" i="93" s="1"/>
  <c r="D19" i="93"/>
  <c r="B19" i="93"/>
  <c r="V18" i="93"/>
  <c r="T18" i="93"/>
  <c r="Z18" i="93" s="1"/>
  <c r="P18" i="93"/>
  <c r="N18" i="93"/>
  <c r="H18" i="93"/>
  <c r="F18" i="93"/>
  <c r="D18" i="93"/>
  <c r="L18" i="93" s="1"/>
  <c r="V16" i="93"/>
  <c r="F16" i="93"/>
  <c r="T14" i="93"/>
  <c r="P14" i="93"/>
  <c r="X14" i="93" s="1"/>
  <c r="N14" i="93"/>
  <c r="H14" i="93"/>
  <c r="D14" i="93"/>
  <c r="L14" i="93" s="1"/>
  <c r="Z12" i="93"/>
  <c r="T12" i="93"/>
  <c r="V26" i="93" s="1"/>
  <c r="P12" i="93"/>
  <c r="H12" i="93"/>
  <c r="J28" i="93" s="1"/>
  <c r="D12" i="93"/>
  <c r="F14" i="93" s="1"/>
  <c r="D6" i="93"/>
  <c r="D4" i="93"/>
  <c r="Z93" i="92"/>
  <c r="X93" i="92"/>
  <c r="N93" i="92"/>
  <c r="L93" i="92"/>
  <c r="Z89" i="92"/>
  <c r="X89" i="92"/>
  <c r="V89" i="92"/>
  <c r="T89" i="92"/>
  <c r="P89" i="92"/>
  <c r="H89" i="92"/>
  <c r="N89" i="92" s="1"/>
  <c r="D89" i="92"/>
  <c r="L89" i="92" s="1"/>
  <c r="Z87" i="92"/>
  <c r="X87" i="92"/>
  <c r="N87" i="92"/>
  <c r="L87" i="92"/>
  <c r="B87" i="92"/>
  <c r="T86" i="92"/>
  <c r="P86" i="92"/>
  <c r="N86" i="92"/>
  <c r="H86" i="92"/>
  <c r="D86" i="92"/>
  <c r="L86" i="92" s="1"/>
  <c r="B86" i="92"/>
  <c r="X85" i="92"/>
  <c r="Z85" i="92" s="1"/>
  <c r="N85" i="92"/>
  <c r="L85" i="92"/>
  <c r="B85" i="92"/>
  <c r="T84" i="92"/>
  <c r="P84" i="92"/>
  <c r="X84" i="92" s="1"/>
  <c r="Z84" i="92" s="1"/>
  <c r="L84" i="92"/>
  <c r="N84" i="92" s="1"/>
  <c r="H84" i="92"/>
  <c r="D84" i="92"/>
  <c r="B84" i="92"/>
  <c r="Z83" i="92"/>
  <c r="X83" i="92"/>
  <c r="N83" i="92"/>
  <c r="L83" i="92"/>
  <c r="B83" i="92"/>
  <c r="Z82" i="92"/>
  <c r="X82" i="92"/>
  <c r="N82" i="92"/>
  <c r="L82" i="92"/>
  <c r="J82" i="92"/>
  <c r="B82" i="92"/>
  <c r="Z81" i="92"/>
  <c r="X81" i="92"/>
  <c r="L81" i="92"/>
  <c r="N81" i="92" s="1"/>
  <c r="B81" i="92"/>
  <c r="Z80" i="92"/>
  <c r="X80" i="92"/>
  <c r="N80" i="92"/>
  <c r="L80" i="92"/>
  <c r="B80" i="92"/>
  <c r="Z79" i="92"/>
  <c r="X79" i="92"/>
  <c r="L79" i="92"/>
  <c r="N79" i="92" s="1"/>
  <c r="J79" i="92"/>
  <c r="B79" i="92"/>
  <c r="Z78" i="92"/>
  <c r="X78" i="92"/>
  <c r="N78" i="92"/>
  <c r="L78" i="92"/>
  <c r="B78" i="92"/>
  <c r="Z77" i="92"/>
  <c r="X77" i="92"/>
  <c r="L77" i="92"/>
  <c r="N77" i="92" s="1"/>
  <c r="B77" i="92"/>
  <c r="X76" i="92"/>
  <c r="Z76" i="92" s="1"/>
  <c r="N76" i="92"/>
  <c r="L76" i="92"/>
  <c r="B76" i="92"/>
  <c r="T75" i="92"/>
  <c r="P75" i="92"/>
  <c r="H75" i="92"/>
  <c r="D75" i="92"/>
  <c r="L75" i="92" s="1"/>
  <c r="N75" i="92" s="1"/>
  <c r="B75" i="92"/>
  <c r="Z74" i="92"/>
  <c r="X74" i="92"/>
  <c r="N74" i="92"/>
  <c r="L74" i="92"/>
  <c r="B74" i="92"/>
  <c r="X73" i="92"/>
  <c r="Z73" i="92" s="1"/>
  <c r="L73" i="92"/>
  <c r="N73" i="92" s="1"/>
  <c r="J73" i="92"/>
  <c r="B73" i="92"/>
  <c r="Z72" i="92"/>
  <c r="X72" i="92"/>
  <c r="N72" i="92"/>
  <c r="L72" i="92"/>
  <c r="B72" i="92"/>
  <c r="X71" i="92"/>
  <c r="Z71" i="92" s="1"/>
  <c r="N71" i="92"/>
  <c r="L71" i="92"/>
  <c r="B71" i="92"/>
  <c r="V70" i="92"/>
  <c r="T70" i="92"/>
  <c r="P70" i="92"/>
  <c r="X70" i="92" s="1"/>
  <c r="H70" i="92"/>
  <c r="D70" i="92"/>
  <c r="L70" i="92" s="1"/>
  <c r="N70" i="92" s="1"/>
  <c r="B70" i="92"/>
  <c r="X69" i="92"/>
  <c r="Z69" i="92" s="1"/>
  <c r="N69" i="92"/>
  <c r="L69" i="92"/>
  <c r="B69" i="92"/>
  <c r="Z68" i="92"/>
  <c r="X68" i="92"/>
  <c r="N68" i="92"/>
  <c r="L68" i="92"/>
  <c r="J68" i="92"/>
  <c r="B68" i="92"/>
  <c r="Z67" i="92"/>
  <c r="X67" i="92"/>
  <c r="N67" i="92"/>
  <c r="L67" i="92"/>
  <c r="B67" i="92"/>
  <c r="Z66" i="92"/>
  <c r="X66" i="92"/>
  <c r="T66" i="92"/>
  <c r="P66" i="92"/>
  <c r="H66" i="92"/>
  <c r="D66" i="92"/>
  <c r="L66" i="92" s="1"/>
  <c r="N66" i="92" s="1"/>
  <c r="B66" i="92"/>
  <c r="Z65" i="92"/>
  <c r="X65" i="92"/>
  <c r="L65" i="92"/>
  <c r="N65" i="92" s="1"/>
  <c r="B65" i="92"/>
  <c r="X64" i="92"/>
  <c r="T64" i="92"/>
  <c r="Z64" i="92" s="1"/>
  <c r="P64" i="92"/>
  <c r="H64" i="92"/>
  <c r="N64" i="92" s="1"/>
  <c r="D64" i="92"/>
  <c r="L64" i="92" s="1"/>
  <c r="B64" i="92"/>
  <c r="X63" i="92"/>
  <c r="Z63" i="92" s="1"/>
  <c r="N63" i="92"/>
  <c r="L63" i="92"/>
  <c r="B63" i="92"/>
  <c r="T62" i="92"/>
  <c r="P62" i="92"/>
  <c r="X62" i="92" s="1"/>
  <c r="H62" i="92"/>
  <c r="D62" i="92"/>
  <c r="L62" i="92" s="1"/>
  <c r="N62" i="92" s="1"/>
  <c r="B62" i="92"/>
  <c r="X61" i="92"/>
  <c r="Z61" i="92" s="1"/>
  <c r="N61" i="92"/>
  <c r="L61" i="92"/>
  <c r="B61" i="92"/>
  <c r="Z60" i="92"/>
  <c r="T60" i="92"/>
  <c r="P60" i="92"/>
  <c r="X60" i="92" s="1"/>
  <c r="L60" i="92"/>
  <c r="N60" i="92" s="1"/>
  <c r="H60" i="92"/>
  <c r="D60" i="92"/>
  <c r="B60" i="92"/>
  <c r="X59" i="92"/>
  <c r="Z59" i="92" s="1"/>
  <c r="L59" i="92"/>
  <c r="N59" i="92" s="1"/>
  <c r="J59" i="92"/>
  <c r="B59" i="92"/>
  <c r="T58" i="92"/>
  <c r="P58" i="92"/>
  <c r="X58" i="92" s="1"/>
  <c r="L58" i="92"/>
  <c r="H58" i="92"/>
  <c r="N58" i="92" s="1"/>
  <c r="D58" i="92"/>
  <c r="B58" i="92"/>
  <c r="X57" i="92"/>
  <c r="Z57" i="92" s="1"/>
  <c r="L57" i="92"/>
  <c r="N57" i="92" s="1"/>
  <c r="J57" i="92"/>
  <c r="B57" i="92"/>
  <c r="T56" i="92"/>
  <c r="P56" i="92"/>
  <c r="X56" i="92" s="1"/>
  <c r="Z56" i="92" s="1"/>
  <c r="H56" i="92"/>
  <c r="D56" i="92"/>
  <c r="B56" i="92"/>
  <c r="Z55" i="92"/>
  <c r="X55" i="92"/>
  <c r="N55" i="92"/>
  <c r="L55" i="92"/>
  <c r="B55" i="92"/>
  <c r="Z54" i="92"/>
  <c r="X54" i="92"/>
  <c r="T54" i="92"/>
  <c r="P54" i="92"/>
  <c r="N54" i="92"/>
  <c r="H54" i="92"/>
  <c r="D54" i="92"/>
  <c r="L54" i="92" s="1"/>
  <c r="B54" i="92"/>
  <c r="Z53" i="92"/>
  <c r="X53" i="92"/>
  <c r="L53" i="92"/>
  <c r="N53" i="92" s="1"/>
  <c r="B53" i="92"/>
  <c r="T52" i="92"/>
  <c r="P52" i="92"/>
  <c r="J52" i="92"/>
  <c r="H52" i="92"/>
  <c r="D52" i="92"/>
  <c r="L52" i="92" s="1"/>
  <c r="B52" i="92"/>
  <c r="X51" i="92"/>
  <c r="Z51" i="92" s="1"/>
  <c r="N51" i="92"/>
  <c r="L51" i="92"/>
  <c r="B51" i="92"/>
  <c r="T50" i="92"/>
  <c r="P50" i="92"/>
  <c r="H50" i="92"/>
  <c r="D50" i="92"/>
  <c r="L50" i="92" s="1"/>
  <c r="N50" i="92" s="1"/>
  <c r="B50" i="92"/>
  <c r="X49" i="92"/>
  <c r="Z49" i="92" s="1"/>
  <c r="N49" i="92"/>
  <c r="L49" i="92"/>
  <c r="B49" i="92"/>
  <c r="T48" i="92"/>
  <c r="P48" i="92"/>
  <c r="X48" i="92" s="1"/>
  <c r="Z48" i="92" s="1"/>
  <c r="N48" i="92"/>
  <c r="L48" i="92"/>
  <c r="H48" i="92"/>
  <c r="D48" i="92"/>
  <c r="B48" i="92"/>
  <c r="Z47" i="92"/>
  <c r="X47" i="92"/>
  <c r="N47" i="92"/>
  <c r="L47" i="92"/>
  <c r="J47" i="92"/>
  <c r="B47" i="92"/>
  <c r="Z46" i="92"/>
  <c r="X46" i="92"/>
  <c r="N46" i="92"/>
  <c r="L46" i="92"/>
  <c r="J46" i="92"/>
  <c r="B46" i="92"/>
  <c r="Z45" i="92"/>
  <c r="X45" i="92"/>
  <c r="L45" i="92"/>
  <c r="N45" i="92" s="1"/>
  <c r="B45" i="92"/>
  <c r="Z44" i="92"/>
  <c r="X44" i="92"/>
  <c r="N44" i="92"/>
  <c r="L44" i="92"/>
  <c r="B44" i="92"/>
  <c r="Z43" i="92"/>
  <c r="X43" i="92"/>
  <c r="N43" i="92"/>
  <c r="L43" i="92"/>
  <c r="J43" i="92"/>
  <c r="B43" i="92"/>
  <c r="Z42" i="92"/>
  <c r="X42" i="92"/>
  <c r="N42" i="92"/>
  <c r="L42" i="92"/>
  <c r="J42" i="92"/>
  <c r="B42" i="92"/>
  <c r="Z41" i="92"/>
  <c r="X41" i="92"/>
  <c r="L41" i="92"/>
  <c r="N41" i="92" s="1"/>
  <c r="B41" i="92"/>
  <c r="Z40" i="92"/>
  <c r="X40" i="92"/>
  <c r="N40" i="92"/>
  <c r="L40" i="92"/>
  <c r="B40" i="92"/>
  <c r="Z39" i="92"/>
  <c r="X39" i="92"/>
  <c r="N39" i="92"/>
  <c r="L39" i="92"/>
  <c r="J39" i="92"/>
  <c r="B39" i="92"/>
  <c r="Z38" i="92"/>
  <c r="X38" i="92"/>
  <c r="N38" i="92"/>
  <c r="L38" i="92"/>
  <c r="J38" i="92"/>
  <c r="B38" i="92"/>
  <c r="Z37" i="92"/>
  <c r="T37" i="92"/>
  <c r="P37" i="92"/>
  <c r="X37" i="92" s="1"/>
  <c r="H37" i="92"/>
  <c r="D37" i="92"/>
  <c r="L37" i="92" s="1"/>
  <c r="B37" i="92"/>
  <c r="X36" i="92"/>
  <c r="Z36" i="92" s="1"/>
  <c r="N36" i="92"/>
  <c r="L36" i="92"/>
  <c r="B36" i="92"/>
  <c r="X35" i="92"/>
  <c r="Z35" i="92" s="1"/>
  <c r="N35" i="92"/>
  <c r="L35" i="92"/>
  <c r="B35" i="92"/>
  <c r="Z34" i="92"/>
  <c r="X34" i="92"/>
  <c r="N34" i="92"/>
  <c r="L34" i="92"/>
  <c r="B34" i="92"/>
  <c r="Z33" i="92"/>
  <c r="X33" i="92"/>
  <c r="N33" i="92"/>
  <c r="L33" i="92"/>
  <c r="J33" i="92"/>
  <c r="B33" i="92"/>
  <c r="Z32" i="92"/>
  <c r="X32" i="92"/>
  <c r="N32" i="92"/>
  <c r="L32" i="92"/>
  <c r="B32" i="92"/>
  <c r="X31" i="92"/>
  <c r="Z31" i="92" s="1"/>
  <c r="N31" i="92"/>
  <c r="L31" i="92"/>
  <c r="B31" i="92"/>
  <c r="Z30" i="92"/>
  <c r="X30" i="92"/>
  <c r="N30" i="92"/>
  <c r="L30" i="92"/>
  <c r="B30" i="92"/>
  <c r="X29" i="92"/>
  <c r="Z29" i="92" s="1"/>
  <c r="L29" i="92"/>
  <c r="N29" i="92" s="1"/>
  <c r="J29" i="92"/>
  <c r="B29" i="92"/>
  <c r="X28" i="92"/>
  <c r="Z28" i="92" s="1"/>
  <c r="N28" i="92"/>
  <c r="L28" i="92"/>
  <c r="B28" i="92"/>
  <c r="X27" i="92"/>
  <c r="Z27" i="92" s="1"/>
  <c r="N27" i="92"/>
  <c r="L27" i="92"/>
  <c r="B27" i="92"/>
  <c r="T26" i="92"/>
  <c r="P26" i="92"/>
  <c r="H26" i="92"/>
  <c r="D26" i="92"/>
  <c r="L26" i="92" s="1"/>
  <c r="N26" i="92" s="1"/>
  <c r="B26" i="92"/>
  <c r="T25" i="92"/>
  <c r="V25" i="92" s="1"/>
  <c r="P25" i="92"/>
  <c r="H25" i="92"/>
  <c r="D25" i="92"/>
  <c r="H23" i="92"/>
  <c r="Z21" i="92"/>
  <c r="X21" i="92"/>
  <c r="V21" i="92"/>
  <c r="N21" i="92"/>
  <c r="L21" i="92"/>
  <c r="B21" i="92"/>
  <c r="Z20" i="92"/>
  <c r="X20" i="92"/>
  <c r="N20" i="92"/>
  <c r="L20" i="92"/>
  <c r="J20" i="92"/>
  <c r="B20" i="92"/>
  <c r="Z19" i="92"/>
  <c r="X19" i="92"/>
  <c r="L19" i="92"/>
  <c r="N19" i="92" s="1"/>
  <c r="B19" i="92"/>
  <c r="Z18" i="92"/>
  <c r="X18" i="92"/>
  <c r="T18" i="92"/>
  <c r="P18" i="92"/>
  <c r="N18" i="92"/>
  <c r="L18" i="92"/>
  <c r="J18" i="92"/>
  <c r="H18" i="92"/>
  <c r="D18" i="92"/>
  <c r="Z16" i="92"/>
  <c r="X16" i="92"/>
  <c r="P16" i="92"/>
  <c r="N16" i="92"/>
  <c r="D16" i="92"/>
  <c r="L16" i="92" s="1"/>
  <c r="B16" i="92"/>
  <c r="Z15" i="92"/>
  <c r="X15" i="92"/>
  <c r="P15" i="92"/>
  <c r="N15" i="92"/>
  <c r="D15" i="92"/>
  <c r="L15" i="92" s="1"/>
  <c r="B15" i="92"/>
  <c r="Z14" i="92"/>
  <c r="X14" i="92"/>
  <c r="P14" i="92"/>
  <c r="L14" i="92"/>
  <c r="N14" i="92" s="1"/>
  <c r="D14" i="92"/>
  <c r="B14" i="92"/>
  <c r="Z13" i="92"/>
  <c r="P13" i="92"/>
  <c r="X13" i="92" s="1"/>
  <c r="N13" i="92"/>
  <c r="L13" i="92"/>
  <c r="D13" i="92"/>
  <c r="B13" i="92"/>
  <c r="T12" i="92"/>
  <c r="H12" i="92"/>
  <c r="J78" i="92" s="1"/>
  <c r="D12" i="92"/>
  <c r="D6" i="92"/>
  <c r="D4" i="92"/>
  <c r="R65" i="91"/>
  <c r="R62" i="91"/>
  <c r="J62" i="91"/>
  <c r="Z60" i="91"/>
  <c r="X60" i="91"/>
  <c r="N60" i="91"/>
  <c r="L60" i="91"/>
  <c r="J60" i="91"/>
  <c r="T56" i="91"/>
  <c r="P56" i="91"/>
  <c r="J56" i="91"/>
  <c r="H56" i="91"/>
  <c r="N56" i="91" s="1"/>
  <c r="D56" i="91"/>
  <c r="L56" i="91" s="1"/>
  <c r="X54" i="91"/>
  <c r="Z54" i="91" s="1"/>
  <c r="R54" i="91"/>
  <c r="N54" i="91"/>
  <c r="L54" i="91"/>
  <c r="B54" i="91"/>
  <c r="X53" i="91"/>
  <c r="Z53" i="91" s="1"/>
  <c r="T53" i="91"/>
  <c r="R53" i="91"/>
  <c r="P53" i="91"/>
  <c r="H53" i="91"/>
  <c r="D53" i="91"/>
  <c r="L53" i="91" s="1"/>
  <c r="N53" i="91" s="1"/>
  <c r="B53" i="91"/>
  <c r="Z52" i="91"/>
  <c r="X52" i="91"/>
  <c r="R52" i="91"/>
  <c r="N52" i="91"/>
  <c r="L52" i="91"/>
  <c r="B52" i="91"/>
  <c r="X51" i="91"/>
  <c r="T51" i="91"/>
  <c r="P51" i="91"/>
  <c r="N51" i="91"/>
  <c r="L51" i="91"/>
  <c r="H51" i="91"/>
  <c r="D51" i="91"/>
  <c r="B51" i="91"/>
  <c r="X50" i="91"/>
  <c r="Z50" i="91" s="1"/>
  <c r="L50" i="91"/>
  <c r="N50" i="91" s="1"/>
  <c r="B50" i="91"/>
  <c r="Z49" i="91"/>
  <c r="X49" i="91"/>
  <c r="R49" i="91"/>
  <c r="N49" i="91"/>
  <c r="L49" i="91"/>
  <c r="B49" i="91"/>
  <c r="X48" i="91"/>
  <c r="Z48" i="91" s="1"/>
  <c r="T48" i="91"/>
  <c r="P48" i="91"/>
  <c r="J48" i="91"/>
  <c r="H48" i="91"/>
  <c r="D48" i="91"/>
  <c r="L48" i="91" s="1"/>
  <c r="N48" i="91" s="1"/>
  <c r="B48" i="91"/>
  <c r="X47" i="91"/>
  <c r="Z47" i="91" s="1"/>
  <c r="L47" i="91"/>
  <c r="N47" i="91" s="1"/>
  <c r="J47" i="91"/>
  <c r="B47" i="91"/>
  <c r="Z46" i="91"/>
  <c r="X46" i="91"/>
  <c r="N46" i="91"/>
  <c r="L46" i="91"/>
  <c r="B46" i="91"/>
  <c r="Z45" i="91"/>
  <c r="X45" i="91"/>
  <c r="L45" i="91"/>
  <c r="N45" i="91" s="1"/>
  <c r="J45" i="91"/>
  <c r="B45" i="91"/>
  <c r="T44" i="91"/>
  <c r="P44" i="91"/>
  <c r="L44" i="91"/>
  <c r="N44" i="91" s="1"/>
  <c r="H44" i="91"/>
  <c r="F44" i="91"/>
  <c r="D44" i="91"/>
  <c r="B44" i="91"/>
  <c r="X43" i="91"/>
  <c r="Z43" i="91" s="1"/>
  <c r="R43" i="91"/>
  <c r="N43" i="91"/>
  <c r="L43" i="91"/>
  <c r="B43" i="91"/>
  <c r="X42" i="91"/>
  <c r="T42" i="91"/>
  <c r="R42" i="91"/>
  <c r="P42" i="91"/>
  <c r="N42" i="91"/>
  <c r="L42" i="91"/>
  <c r="H42" i="91"/>
  <c r="D42" i="91"/>
  <c r="B42" i="91"/>
  <c r="Z41" i="91"/>
  <c r="X41" i="91"/>
  <c r="R41" i="91"/>
  <c r="N41" i="91"/>
  <c r="L41" i="91"/>
  <c r="J41" i="91"/>
  <c r="B41" i="91"/>
  <c r="Z40" i="91"/>
  <c r="T40" i="91"/>
  <c r="P40" i="91"/>
  <c r="X40" i="91" s="1"/>
  <c r="L40" i="91"/>
  <c r="H40" i="91"/>
  <c r="N40" i="91" s="1"/>
  <c r="D40" i="91"/>
  <c r="B40" i="91"/>
  <c r="Z39" i="91"/>
  <c r="X39" i="91"/>
  <c r="N39" i="91"/>
  <c r="L39" i="91"/>
  <c r="J39" i="91"/>
  <c r="B39" i="91"/>
  <c r="Z38" i="91"/>
  <c r="X38" i="91"/>
  <c r="R38" i="91"/>
  <c r="N38" i="91"/>
  <c r="L38" i="91"/>
  <c r="B38" i="91"/>
  <c r="Z37" i="91"/>
  <c r="X37" i="91"/>
  <c r="R37" i="91"/>
  <c r="N37" i="91"/>
  <c r="L37" i="91"/>
  <c r="J37" i="91"/>
  <c r="B37" i="91"/>
  <c r="Z36" i="91"/>
  <c r="X36" i="91"/>
  <c r="R36" i="91"/>
  <c r="N36" i="91"/>
  <c r="L36" i="91"/>
  <c r="J36" i="91"/>
  <c r="B36" i="91"/>
  <c r="Z35" i="91"/>
  <c r="X35" i="91"/>
  <c r="N35" i="91"/>
  <c r="L35" i="91"/>
  <c r="J35" i="91"/>
  <c r="B35" i="91"/>
  <c r="Z34" i="91"/>
  <c r="X34" i="91"/>
  <c r="R34" i="91"/>
  <c r="N34" i="91"/>
  <c r="L34" i="91"/>
  <c r="B34" i="91"/>
  <c r="Z33" i="91"/>
  <c r="X33" i="91"/>
  <c r="R33" i="91"/>
  <c r="N33" i="91"/>
  <c r="L33" i="91"/>
  <c r="J33" i="91"/>
  <c r="B33" i="91"/>
  <c r="Z32" i="91"/>
  <c r="X32" i="91"/>
  <c r="R32" i="91"/>
  <c r="N32" i="91"/>
  <c r="L32" i="91"/>
  <c r="J32" i="91"/>
  <c r="B32" i="91"/>
  <c r="Z31" i="91"/>
  <c r="X31" i="91"/>
  <c r="L31" i="91"/>
  <c r="N31" i="91" s="1"/>
  <c r="J31" i="91"/>
  <c r="B31" i="91"/>
  <c r="Z30" i="91"/>
  <c r="X30" i="91"/>
  <c r="R30" i="91"/>
  <c r="N30" i="91"/>
  <c r="L30" i="91"/>
  <c r="B30" i="91"/>
  <c r="X29" i="91"/>
  <c r="T29" i="91"/>
  <c r="R29" i="91"/>
  <c r="P29" i="91"/>
  <c r="J29" i="91"/>
  <c r="H29" i="91"/>
  <c r="D29" i="91"/>
  <c r="L29" i="91" s="1"/>
  <c r="N29" i="91" s="1"/>
  <c r="B29" i="91"/>
  <c r="Z28" i="91"/>
  <c r="X28" i="91"/>
  <c r="R28" i="91"/>
  <c r="N28" i="91"/>
  <c r="L28" i="91"/>
  <c r="B28" i="91"/>
  <c r="X27" i="91"/>
  <c r="Z27" i="91" s="1"/>
  <c r="R27" i="91"/>
  <c r="L27" i="91"/>
  <c r="N27" i="91" s="1"/>
  <c r="J27" i="91"/>
  <c r="B27" i="91"/>
  <c r="X26" i="91"/>
  <c r="Z26" i="91" s="1"/>
  <c r="N26" i="91"/>
  <c r="L26" i="91"/>
  <c r="J26" i="91"/>
  <c r="B26" i="91"/>
  <c r="Z25" i="91"/>
  <c r="X25" i="91"/>
  <c r="N25" i="91"/>
  <c r="L25" i="91"/>
  <c r="B25" i="91"/>
  <c r="Z24" i="91"/>
  <c r="X24" i="91"/>
  <c r="R24" i="91"/>
  <c r="L24" i="91"/>
  <c r="N24" i="91" s="1"/>
  <c r="B24" i="91"/>
  <c r="X23" i="91"/>
  <c r="Z23" i="91" s="1"/>
  <c r="R23" i="91"/>
  <c r="L23" i="91"/>
  <c r="N23" i="91" s="1"/>
  <c r="J23" i="91"/>
  <c r="B23" i="91"/>
  <c r="X22" i="91"/>
  <c r="Z22" i="91" s="1"/>
  <c r="N22" i="91"/>
  <c r="L22" i="91"/>
  <c r="J22" i="91"/>
  <c r="B22" i="91"/>
  <c r="Z21" i="91"/>
  <c r="X21" i="91"/>
  <c r="N21" i="91"/>
  <c r="L21" i="91"/>
  <c r="B21" i="91"/>
  <c r="Z20" i="91"/>
  <c r="X20" i="91"/>
  <c r="R20" i="91"/>
  <c r="L20" i="91"/>
  <c r="N20" i="91" s="1"/>
  <c r="B20" i="91"/>
  <c r="T19" i="91"/>
  <c r="P19" i="91"/>
  <c r="X19" i="91" s="1"/>
  <c r="N19" i="91"/>
  <c r="L19" i="91"/>
  <c r="J19" i="91"/>
  <c r="H19" i="91"/>
  <c r="D19" i="91"/>
  <c r="B19" i="91"/>
  <c r="V18" i="91"/>
  <c r="T18" i="91"/>
  <c r="R18" i="91"/>
  <c r="P18" i="91"/>
  <c r="H18" i="91"/>
  <c r="D18" i="91"/>
  <c r="R16" i="91"/>
  <c r="H16" i="91"/>
  <c r="Z14" i="91"/>
  <c r="V14" i="91"/>
  <c r="T14" i="91"/>
  <c r="R14" i="91"/>
  <c r="P14" i="91"/>
  <c r="X14" i="91" s="1"/>
  <c r="H14" i="91"/>
  <c r="N14" i="91" s="1"/>
  <c r="D14" i="91"/>
  <c r="T12" i="91"/>
  <c r="V52" i="91" s="1"/>
  <c r="P12" i="91"/>
  <c r="R44" i="91" s="1"/>
  <c r="N12" i="91"/>
  <c r="H12" i="91"/>
  <c r="J50" i="91" s="1"/>
  <c r="D12" i="91"/>
  <c r="D6" i="91"/>
  <c r="D4" i="91"/>
  <c r="R47" i="90"/>
  <c r="R44" i="90"/>
  <c r="Z42" i="90"/>
  <c r="X42" i="90"/>
  <c r="R42" i="90"/>
  <c r="N42" i="90"/>
  <c r="L42" i="90"/>
  <c r="J40" i="90"/>
  <c r="X38" i="90"/>
  <c r="T38" i="90"/>
  <c r="Z38" i="90" s="1"/>
  <c r="P38" i="90"/>
  <c r="N38" i="90"/>
  <c r="H38" i="90"/>
  <c r="D38" i="90"/>
  <c r="L38" i="90" s="1"/>
  <c r="Z36" i="90"/>
  <c r="X36" i="90"/>
  <c r="R36" i="90"/>
  <c r="N36" i="90"/>
  <c r="L36" i="90"/>
  <c r="B36" i="90"/>
  <c r="X35" i="90"/>
  <c r="T35" i="90"/>
  <c r="Z35" i="90" s="1"/>
  <c r="R35" i="90"/>
  <c r="P35" i="90"/>
  <c r="H35" i="90"/>
  <c r="N35" i="90" s="1"/>
  <c r="D35" i="90"/>
  <c r="B35" i="90"/>
  <c r="Z34" i="90"/>
  <c r="X34" i="90"/>
  <c r="R34" i="90"/>
  <c r="N34" i="90"/>
  <c r="L34" i="90"/>
  <c r="B34" i="90"/>
  <c r="Z33" i="90"/>
  <c r="X33" i="90"/>
  <c r="R33" i="90"/>
  <c r="N33" i="90"/>
  <c r="L33" i="90"/>
  <c r="B33" i="90"/>
  <c r="T32" i="90"/>
  <c r="Z32" i="90" s="1"/>
  <c r="R32" i="90"/>
  <c r="P32" i="90"/>
  <c r="H32" i="90"/>
  <c r="D32" i="90"/>
  <c r="B32" i="90"/>
  <c r="Z31" i="90"/>
  <c r="X31" i="90"/>
  <c r="R31" i="90"/>
  <c r="N31" i="90"/>
  <c r="L31" i="90"/>
  <c r="B31" i="90"/>
  <c r="X30" i="90"/>
  <c r="T30" i="90"/>
  <c r="Z30" i="90" s="1"/>
  <c r="R30" i="90"/>
  <c r="P30" i="90"/>
  <c r="N30" i="90"/>
  <c r="H30" i="90"/>
  <c r="D30" i="90"/>
  <c r="L30" i="90" s="1"/>
  <c r="B30" i="90"/>
  <c r="Z29" i="90"/>
  <c r="X29" i="90"/>
  <c r="R29" i="90"/>
  <c r="L29" i="90"/>
  <c r="N29" i="90" s="1"/>
  <c r="B29" i="90"/>
  <c r="T28" i="90"/>
  <c r="P28" i="90"/>
  <c r="H28" i="90"/>
  <c r="D28" i="90"/>
  <c r="L28" i="90" s="1"/>
  <c r="N28" i="90" s="1"/>
  <c r="B28" i="90"/>
  <c r="Z27" i="90"/>
  <c r="X27" i="90"/>
  <c r="V27" i="90"/>
  <c r="N27" i="90"/>
  <c r="L27" i="90"/>
  <c r="B27" i="90"/>
  <c r="T26" i="90"/>
  <c r="Z26" i="90" s="1"/>
  <c r="P26" i="90"/>
  <c r="X26" i="90" s="1"/>
  <c r="J26" i="90"/>
  <c r="H26" i="90"/>
  <c r="N26" i="90" s="1"/>
  <c r="D26" i="90"/>
  <c r="B26" i="90"/>
  <c r="Z25" i="90"/>
  <c r="X25" i="90"/>
  <c r="N25" i="90"/>
  <c r="L25" i="90"/>
  <c r="B25" i="90"/>
  <c r="Z24" i="90"/>
  <c r="X24" i="90"/>
  <c r="R24" i="90"/>
  <c r="N24" i="90"/>
  <c r="L24" i="90"/>
  <c r="B24" i="90"/>
  <c r="Z23" i="90"/>
  <c r="X23" i="90"/>
  <c r="R23" i="90"/>
  <c r="N23" i="90"/>
  <c r="L23" i="90"/>
  <c r="B23" i="90"/>
  <c r="Z22" i="90"/>
  <c r="X22" i="90"/>
  <c r="R22" i="90"/>
  <c r="N22" i="90"/>
  <c r="L22" i="90"/>
  <c r="B22" i="90"/>
  <c r="Z21" i="90"/>
  <c r="X21" i="90"/>
  <c r="N21" i="90"/>
  <c r="L21" i="90"/>
  <c r="F21" i="90"/>
  <c r="B21" i="90"/>
  <c r="Z20" i="90"/>
  <c r="T20" i="90"/>
  <c r="R20" i="90"/>
  <c r="P20" i="90"/>
  <c r="L20" i="90"/>
  <c r="H20" i="90"/>
  <c r="N20" i="90" s="1"/>
  <c r="D20" i="90"/>
  <c r="B20" i="90"/>
  <c r="T19" i="90"/>
  <c r="R19" i="90"/>
  <c r="P19" i="90"/>
  <c r="H19" i="90"/>
  <c r="D19" i="90"/>
  <c r="L19" i="90" s="1"/>
  <c r="N19" i="90" s="1"/>
  <c r="R17" i="90"/>
  <c r="Z15" i="90"/>
  <c r="X15" i="90"/>
  <c r="R15" i="90"/>
  <c r="N15" i="90"/>
  <c r="L15" i="90"/>
  <c r="J15" i="90"/>
  <c r="B15" i="90"/>
  <c r="Z14" i="90"/>
  <c r="V14" i="90"/>
  <c r="T14" i="90"/>
  <c r="R14" i="90"/>
  <c r="P14" i="90"/>
  <c r="N14" i="90"/>
  <c r="L14" i="90"/>
  <c r="H14" i="90"/>
  <c r="D14" i="90"/>
  <c r="T12" i="90"/>
  <c r="T17" i="90" s="1"/>
  <c r="Z17" i="90" s="1"/>
  <c r="P12" i="90"/>
  <c r="R26" i="90" s="1"/>
  <c r="N12" i="90"/>
  <c r="L12" i="90"/>
  <c r="H12" i="90"/>
  <c r="D12" i="90"/>
  <c r="D6" i="90"/>
  <c r="D4" i="90"/>
  <c r="J37" i="89"/>
  <c r="V34" i="89"/>
  <c r="R34" i="89"/>
  <c r="Z32" i="89"/>
  <c r="X32" i="89"/>
  <c r="V32" i="89"/>
  <c r="N32" i="89"/>
  <c r="L32" i="89"/>
  <c r="J32" i="89"/>
  <c r="Z28" i="89"/>
  <c r="T28" i="89"/>
  <c r="X28" i="89" s="1"/>
  <c r="P28" i="89"/>
  <c r="N28" i="89"/>
  <c r="J28" i="89"/>
  <c r="H28" i="89"/>
  <c r="D28" i="89"/>
  <c r="L28" i="89" s="1"/>
  <c r="Z26" i="89"/>
  <c r="X26" i="89"/>
  <c r="R26" i="89"/>
  <c r="N26" i="89"/>
  <c r="L26" i="89"/>
  <c r="J26" i="89"/>
  <c r="B26" i="89"/>
  <c r="X25" i="89"/>
  <c r="V25" i="89"/>
  <c r="T25" i="89"/>
  <c r="Z25" i="89" s="1"/>
  <c r="R25" i="89"/>
  <c r="P25" i="89"/>
  <c r="H25" i="89"/>
  <c r="N25" i="89" s="1"/>
  <c r="D25" i="89"/>
  <c r="B25" i="89"/>
  <c r="Z24" i="89"/>
  <c r="X24" i="89"/>
  <c r="V24" i="89"/>
  <c r="R24" i="89"/>
  <c r="N24" i="89"/>
  <c r="L24" i="89"/>
  <c r="B24" i="89"/>
  <c r="T23" i="89"/>
  <c r="Z23" i="89" s="1"/>
  <c r="R23" i="89"/>
  <c r="P23" i="89"/>
  <c r="X23" i="89" s="1"/>
  <c r="N23" i="89"/>
  <c r="H23" i="89"/>
  <c r="D23" i="89"/>
  <c r="L23" i="89" s="1"/>
  <c r="B23" i="89"/>
  <c r="Z22" i="89"/>
  <c r="X22" i="89"/>
  <c r="R22" i="89"/>
  <c r="N22" i="89"/>
  <c r="L22" i="89"/>
  <c r="B22" i="89"/>
  <c r="V21" i="89"/>
  <c r="T21" i="89"/>
  <c r="P21" i="89"/>
  <c r="N21" i="89"/>
  <c r="L21" i="89"/>
  <c r="H21" i="89"/>
  <c r="D21" i="89"/>
  <c r="B21" i="89"/>
  <c r="Z20" i="89"/>
  <c r="X20" i="89"/>
  <c r="V20" i="89"/>
  <c r="N20" i="89"/>
  <c r="L20" i="89"/>
  <c r="J20" i="89"/>
  <c r="B20" i="89"/>
  <c r="T19" i="89"/>
  <c r="R19" i="89"/>
  <c r="P19" i="89"/>
  <c r="X19" i="89" s="1"/>
  <c r="Z19" i="89" s="1"/>
  <c r="L19" i="89"/>
  <c r="H19" i="89"/>
  <c r="F19" i="89"/>
  <c r="D19" i="89"/>
  <c r="B19" i="89"/>
  <c r="T18" i="89"/>
  <c r="R18" i="89"/>
  <c r="P18" i="89"/>
  <c r="J18" i="89"/>
  <c r="H18" i="89"/>
  <c r="D18" i="89"/>
  <c r="V16" i="89"/>
  <c r="R16" i="89"/>
  <c r="V14" i="89"/>
  <c r="T14" i="89"/>
  <c r="T16" i="89" s="1"/>
  <c r="R14" i="89"/>
  <c r="P14" i="89"/>
  <c r="N14" i="89"/>
  <c r="J14" i="89"/>
  <c r="H14" i="89"/>
  <c r="D14" i="89"/>
  <c r="L14" i="89" s="1"/>
  <c r="T12" i="89"/>
  <c r="P12" i="89"/>
  <c r="N12" i="89"/>
  <c r="H12" i="89"/>
  <c r="J23" i="89" s="1"/>
  <c r="D12" i="89"/>
  <c r="F32" i="89" s="1"/>
  <c r="D6" i="89"/>
  <c r="D4" i="89"/>
  <c r="J60" i="88"/>
  <c r="F60" i="88"/>
  <c r="Z58" i="88"/>
  <c r="X58" i="88"/>
  <c r="N58" i="88"/>
  <c r="L58" i="88"/>
  <c r="V56" i="88"/>
  <c r="J56" i="88"/>
  <c r="Z54" i="88"/>
  <c r="X54" i="88"/>
  <c r="V54" i="88"/>
  <c r="P54" i="88"/>
  <c r="D54" i="88"/>
  <c r="L54" i="88" s="1"/>
  <c r="N54" i="88" s="1"/>
  <c r="B54" i="88"/>
  <c r="X53" i="88"/>
  <c r="Z53" i="88" s="1"/>
  <c r="P53" i="88"/>
  <c r="D53" i="88"/>
  <c r="L53" i="88" s="1"/>
  <c r="N53" i="88" s="1"/>
  <c r="B53" i="88"/>
  <c r="V52" i="88"/>
  <c r="P52" i="88"/>
  <c r="N52" i="88"/>
  <c r="J52" i="88"/>
  <c r="D52" i="88"/>
  <c r="L52" i="88" s="1"/>
  <c r="B52" i="88"/>
  <c r="T51" i="88"/>
  <c r="H51" i="88"/>
  <c r="Z49" i="88"/>
  <c r="X49" i="88"/>
  <c r="N49" i="88"/>
  <c r="L49" i="88"/>
  <c r="B49" i="88"/>
  <c r="V48" i="88"/>
  <c r="T48" i="88"/>
  <c r="P48" i="88"/>
  <c r="L48" i="88"/>
  <c r="H48" i="88"/>
  <c r="N48" i="88" s="1"/>
  <c r="D48" i="88"/>
  <c r="B48" i="88"/>
  <c r="X47" i="88"/>
  <c r="Z47" i="88" s="1"/>
  <c r="V47" i="88"/>
  <c r="L47" i="88"/>
  <c r="N47" i="88" s="1"/>
  <c r="F47" i="88"/>
  <c r="B47" i="88"/>
  <c r="X46" i="88"/>
  <c r="T46" i="88"/>
  <c r="P46" i="88"/>
  <c r="H46" i="88"/>
  <c r="N46" i="88" s="1"/>
  <c r="D46" i="88"/>
  <c r="L46" i="88" s="1"/>
  <c r="B46" i="88"/>
  <c r="Z45" i="88"/>
  <c r="X45" i="88"/>
  <c r="V45" i="88"/>
  <c r="N45" i="88"/>
  <c r="L45" i="88"/>
  <c r="B45" i="88"/>
  <c r="X44" i="88"/>
  <c r="T44" i="88"/>
  <c r="Z44" i="88" s="1"/>
  <c r="P44" i="88"/>
  <c r="N44" i="88"/>
  <c r="L44" i="88"/>
  <c r="J44" i="88"/>
  <c r="H44" i="88"/>
  <c r="D44" i="88"/>
  <c r="B44" i="88"/>
  <c r="Z43" i="88"/>
  <c r="X43" i="88"/>
  <c r="V43" i="88"/>
  <c r="N43" i="88"/>
  <c r="L43" i="88"/>
  <c r="J43" i="88"/>
  <c r="B43" i="88"/>
  <c r="Z42" i="88"/>
  <c r="X42" i="88"/>
  <c r="V42" i="88"/>
  <c r="N42" i="88"/>
  <c r="L42" i="88"/>
  <c r="B42" i="88"/>
  <c r="Z41" i="88"/>
  <c r="X41" i="88"/>
  <c r="T41" i="88"/>
  <c r="R41" i="88"/>
  <c r="P41" i="88"/>
  <c r="N41" i="88"/>
  <c r="H41" i="88"/>
  <c r="D41" i="88"/>
  <c r="L41" i="88" s="1"/>
  <c r="B41" i="88"/>
  <c r="Z40" i="88"/>
  <c r="X40" i="88"/>
  <c r="V40" i="88"/>
  <c r="N40" i="88"/>
  <c r="L40" i="88"/>
  <c r="B40" i="88"/>
  <c r="V39" i="88"/>
  <c r="T39" i="88"/>
  <c r="P39" i="88"/>
  <c r="X39" i="88" s="1"/>
  <c r="N39" i="88"/>
  <c r="L39" i="88"/>
  <c r="J39" i="88"/>
  <c r="H39" i="88"/>
  <c r="D39" i="88"/>
  <c r="B39" i="88"/>
  <c r="Z38" i="88"/>
  <c r="X38" i="88"/>
  <c r="V38" i="88"/>
  <c r="N38" i="88"/>
  <c r="L38" i="88"/>
  <c r="J38" i="88"/>
  <c r="B38" i="88"/>
  <c r="Z37" i="88"/>
  <c r="X37" i="88"/>
  <c r="V37" i="88"/>
  <c r="N37" i="88"/>
  <c r="L37" i="88"/>
  <c r="B37" i="88"/>
  <c r="Z36" i="88"/>
  <c r="X36" i="88"/>
  <c r="V36" i="88"/>
  <c r="R36" i="88"/>
  <c r="N36" i="88"/>
  <c r="L36" i="88"/>
  <c r="B36" i="88"/>
  <c r="Z35" i="88"/>
  <c r="X35" i="88"/>
  <c r="V35" i="88"/>
  <c r="N35" i="88"/>
  <c r="L35" i="88"/>
  <c r="J35" i="88"/>
  <c r="B35" i="88"/>
  <c r="Z34" i="88"/>
  <c r="X34" i="88"/>
  <c r="N34" i="88"/>
  <c r="L34" i="88"/>
  <c r="J34" i="88"/>
  <c r="B34" i="88"/>
  <c r="Z33" i="88"/>
  <c r="X33" i="88"/>
  <c r="V33" i="88"/>
  <c r="N33" i="88"/>
  <c r="L33" i="88"/>
  <c r="B33" i="88"/>
  <c r="Z32" i="88"/>
  <c r="X32" i="88"/>
  <c r="V32" i="88"/>
  <c r="N32" i="88"/>
  <c r="L32" i="88"/>
  <c r="J32" i="88"/>
  <c r="B32" i="88"/>
  <c r="Z31" i="88"/>
  <c r="X31" i="88"/>
  <c r="V31" i="88"/>
  <c r="N31" i="88"/>
  <c r="L31" i="88"/>
  <c r="B31" i="88"/>
  <c r="Z30" i="88"/>
  <c r="X30" i="88"/>
  <c r="N30" i="88"/>
  <c r="L30" i="88"/>
  <c r="B30" i="88"/>
  <c r="Z29" i="88"/>
  <c r="X29" i="88"/>
  <c r="V29" i="88"/>
  <c r="R29" i="88"/>
  <c r="L29" i="88"/>
  <c r="N29" i="88" s="1"/>
  <c r="B29" i="88"/>
  <c r="V28" i="88"/>
  <c r="T28" i="88"/>
  <c r="P28" i="88"/>
  <c r="X28" i="88" s="1"/>
  <c r="N28" i="88"/>
  <c r="L28" i="88"/>
  <c r="J28" i="88"/>
  <c r="H28" i="88"/>
  <c r="F28" i="88"/>
  <c r="D28" i="88"/>
  <c r="B28" i="88"/>
  <c r="Z27" i="88"/>
  <c r="X27" i="88"/>
  <c r="V27" i="88"/>
  <c r="N27" i="88"/>
  <c r="L27" i="88"/>
  <c r="B27" i="88"/>
  <c r="X26" i="88"/>
  <c r="Z26" i="88" s="1"/>
  <c r="N26" i="88"/>
  <c r="L26" i="88"/>
  <c r="B26" i="88"/>
  <c r="Z25" i="88"/>
  <c r="X25" i="88"/>
  <c r="V25" i="88"/>
  <c r="R25" i="88"/>
  <c r="N25" i="88"/>
  <c r="L25" i="88"/>
  <c r="B25" i="88"/>
  <c r="X24" i="88"/>
  <c r="Z24" i="88" s="1"/>
  <c r="V24" i="88"/>
  <c r="R24" i="88"/>
  <c r="N24" i="88"/>
  <c r="L24" i="88"/>
  <c r="J24" i="88"/>
  <c r="B24" i="88"/>
  <c r="X23" i="88"/>
  <c r="Z23" i="88" s="1"/>
  <c r="V23" i="88"/>
  <c r="N23" i="88"/>
  <c r="L23" i="88"/>
  <c r="J23" i="88"/>
  <c r="B23" i="88"/>
  <c r="Z22" i="88"/>
  <c r="X22" i="88"/>
  <c r="V22" i="88"/>
  <c r="N22" i="88"/>
  <c r="L22" i="88"/>
  <c r="B22" i="88"/>
  <c r="Z21" i="88"/>
  <c r="X21" i="88"/>
  <c r="V21" i="88"/>
  <c r="R21" i="88"/>
  <c r="L21" i="88"/>
  <c r="N21" i="88" s="1"/>
  <c r="B21" i="88"/>
  <c r="X20" i="88"/>
  <c r="Z20" i="88" s="1"/>
  <c r="V20" i="88"/>
  <c r="R20" i="88"/>
  <c r="L20" i="88"/>
  <c r="N20" i="88" s="1"/>
  <c r="J20" i="88"/>
  <c r="B20" i="88"/>
  <c r="V19" i="88"/>
  <c r="T19" i="88"/>
  <c r="Z19" i="88" s="1"/>
  <c r="P19" i="88"/>
  <c r="X19" i="88" s="1"/>
  <c r="H19" i="88"/>
  <c r="D19" i="88"/>
  <c r="L19" i="88" s="1"/>
  <c r="B19" i="88"/>
  <c r="T18" i="88"/>
  <c r="P18" i="88"/>
  <c r="X18" i="88" s="1"/>
  <c r="J18" i="88"/>
  <c r="H18" i="88"/>
  <c r="F18" i="88"/>
  <c r="D18" i="88"/>
  <c r="L18" i="88" s="1"/>
  <c r="N18" i="88" s="1"/>
  <c r="J16" i="88"/>
  <c r="F16" i="88"/>
  <c r="T14" i="88"/>
  <c r="Z14" i="88" s="1"/>
  <c r="P14" i="88"/>
  <c r="X14" i="88" s="1"/>
  <c r="N14" i="88"/>
  <c r="L14" i="88"/>
  <c r="J14" i="88"/>
  <c r="H14" i="88"/>
  <c r="F14" i="88"/>
  <c r="D14" i="88"/>
  <c r="Z12" i="88"/>
  <c r="T12" i="88"/>
  <c r="P12" i="88"/>
  <c r="R54" i="88" s="1"/>
  <c r="L12" i="88"/>
  <c r="H12" i="88"/>
  <c r="J51" i="88" s="1"/>
  <c r="D12" i="88"/>
  <c r="F43" i="88" s="1"/>
  <c r="D6" i="88"/>
  <c r="D4" i="88"/>
  <c r="Z30" i="87"/>
  <c r="X30" i="87"/>
  <c r="N30" i="87"/>
  <c r="L30" i="87"/>
  <c r="V28" i="87"/>
  <c r="Z26" i="87"/>
  <c r="X26" i="87"/>
  <c r="V26" i="87"/>
  <c r="T26" i="87"/>
  <c r="R26" i="87"/>
  <c r="P26" i="87"/>
  <c r="H26" i="87"/>
  <c r="N26" i="87" s="1"/>
  <c r="D26" i="87"/>
  <c r="L26" i="87" s="1"/>
  <c r="Z24" i="87"/>
  <c r="X24" i="87"/>
  <c r="V24" i="87"/>
  <c r="N24" i="87"/>
  <c r="L24" i="87"/>
  <c r="B24" i="87"/>
  <c r="Z23" i="87"/>
  <c r="V23" i="87"/>
  <c r="T23" i="87"/>
  <c r="P23" i="87"/>
  <c r="X23" i="87" s="1"/>
  <c r="N23" i="87"/>
  <c r="L23" i="87"/>
  <c r="H23" i="87"/>
  <c r="D23" i="87"/>
  <c r="B23" i="87"/>
  <c r="Z22" i="87"/>
  <c r="X22" i="87"/>
  <c r="N22" i="87"/>
  <c r="L22" i="87"/>
  <c r="B22" i="87"/>
  <c r="T21" i="87"/>
  <c r="Z21" i="87" s="1"/>
  <c r="R21" i="87"/>
  <c r="P21" i="87"/>
  <c r="X21" i="87" s="1"/>
  <c r="L21" i="87"/>
  <c r="H21" i="87"/>
  <c r="N21" i="87" s="1"/>
  <c r="D21" i="87"/>
  <c r="B21" i="87"/>
  <c r="T20" i="87"/>
  <c r="Z20" i="87" s="1"/>
  <c r="P20" i="87"/>
  <c r="X20" i="87" s="1"/>
  <c r="H20" i="87"/>
  <c r="N20" i="87" s="1"/>
  <c r="D20" i="87"/>
  <c r="L20" i="87" s="1"/>
  <c r="T16" i="87"/>
  <c r="Z16" i="87" s="1"/>
  <c r="P16" i="87"/>
  <c r="X16" i="87" s="1"/>
  <c r="N16" i="87"/>
  <c r="L16" i="87"/>
  <c r="H16" i="87"/>
  <c r="D16" i="87"/>
  <c r="Z14" i="87"/>
  <c r="X14" i="87"/>
  <c r="P14" i="87"/>
  <c r="N14" i="87"/>
  <c r="D14" i="87"/>
  <c r="D12" i="87" s="1"/>
  <c r="B14" i="87"/>
  <c r="Z13" i="87"/>
  <c r="X13" i="87"/>
  <c r="P13" i="87"/>
  <c r="N13" i="87"/>
  <c r="L13" i="87"/>
  <c r="D13" i="87"/>
  <c r="B13" i="87"/>
  <c r="X12" i="87"/>
  <c r="T12" i="87"/>
  <c r="V35" i="87" s="1"/>
  <c r="P12" i="87"/>
  <c r="R30" i="87" s="1"/>
  <c r="N12" i="87"/>
  <c r="H12" i="87"/>
  <c r="J23" i="87" s="1"/>
  <c r="D6" i="87"/>
  <c r="D4" i="87"/>
  <c r="Z88" i="86"/>
  <c r="X88" i="86"/>
  <c r="N88" i="86"/>
  <c r="L88" i="86"/>
  <c r="Z84" i="86"/>
  <c r="X84" i="86"/>
  <c r="P84" i="86"/>
  <c r="N84" i="86"/>
  <c r="D84" i="86"/>
  <c r="L84" i="86" s="1"/>
  <c r="B84" i="86"/>
  <c r="Z83" i="86"/>
  <c r="X83" i="86"/>
  <c r="T83" i="86"/>
  <c r="P83" i="86"/>
  <c r="N83" i="86"/>
  <c r="H83" i="86"/>
  <c r="D83" i="86"/>
  <c r="L83" i="86" s="1"/>
  <c r="Z81" i="86"/>
  <c r="X81" i="86"/>
  <c r="N81" i="86"/>
  <c r="L81" i="86"/>
  <c r="B81" i="86"/>
  <c r="Z80" i="86"/>
  <c r="X80" i="86"/>
  <c r="V80" i="86"/>
  <c r="T80" i="86"/>
  <c r="P80" i="86"/>
  <c r="H80" i="86"/>
  <c r="N80" i="86" s="1"/>
  <c r="D80" i="86"/>
  <c r="L80" i="86" s="1"/>
  <c r="B80" i="86"/>
  <c r="Z79" i="86"/>
  <c r="X79" i="86"/>
  <c r="N79" i="86"/>
  <c r="L79" i="86"/>
  <c r="B79" i="86"/>
  <c r="Z78" i="86"/>
  <c r="X78" i="86"/>
  <c r="N78" i="86"/>
  <c r="L78" i="86"/>
  <c r="B78" i="86"/>
  <c r="Z77" i="86"/>
  <c r="T77" i="86"/>
  <c r="P77" i="86"/>
  <c r="X77" i="86" s="1"/>
  <c r="L77" i="86"/>
  <c r="H77" i="86"/>
  <c r="N77" i="86" s="1"/>
  <c r="D77" i="86"/>
  <c r="B77" i="86"/>
  <c r="Z76" i="86"/>
  <c r="X76" i="86"/>
  <c r="N76" i="86"/>
  <c r="L76" i="86"/>
  <c r="B76" i="86"/>
  <c r="Z75" i="86"/>
  <c r="X75" i="86"/>
  <c r="N75" i="86"/>
  <c r="L75" i="86"/>
  <c r="B75" i="86"/>
  <c r="Z74" i="86"/>
  <c r="X74" i="86"/>
  <c r="N74" i="86"/>
  <c r="L74" i="86"/>
  <c r="B74" i="86"/>
  <c r="Z73" i="86"/>
  <c r="X73" i="86"/>
  <c r="N73" i="86"/>
  <c r="L73" i="86"/>
  <c r="B73" i="86"/>
  <c r="Z72" i="86"/>
  <c r="X72" i="86"/>
  <c r="N72" i="86"/>
  <c r="L72" i="86"/>
  <c r="B72" i="86"/>
  <c r="Z71" i="86"/>
  <c r="X71" i="86"/>
  <c r="N71" i="86"/>
  <c r="L71" i="86"/>
  <c r="B71" i="86"/>
  <c r="Z70" i="86"/>
  <c r="X70" i="86"/>
  <c r="V70" i="86"/>
  <c r="N70" i="86"/>
  <c r="L70" i="86"/>
  <c r="B70" i="86"/>
  <c r="Z69" i="86"/>
  <c r="X69" i="86"/>
  <c r="N69" i="86"/>
  <c r="L69" i="86"/>
  <c r="B69" i="86"/>
  <c r="Z68" i="86"/>
  <c r="X68" i="86"/>
  <c r="N68" i="86"/>
  <c r="L68" i="86"/>
  <c r="B68" i="86"/>
  <c r="Z67" i="86"/>
  <c r="X67" i="86"/>
  <c r="N67" i="86"/>
  <c r="L67" i="86"/>
  <c r="B67" i="86"/>
  <c r="Z66" i="86"/>
  <c r="V66" i="86"/>
  <c r="T66" i="86"/>
  <c r="P66" i="86"/>
  <c r="X66" i="86" s="1"/>
  <c r="H66" i="86"/>
  <c r="N66" i="86" s="1"/>
  <c r="D66" i="86"/>
  <c r="L66" i="86" s="1"/>
  <c r="B66" i="86"/>
  <c r="Z65" i="86"/>
  <c r="X65" i="86"/>
  <c r="N65" i="86"/>
  <c r="L65" i="86"/>
  <c r="B65" i="86"/>
  <c r="Z64" i="86"/>
  <c r="X64" i="86"/>
  <c r="V64" i="86"/>
  <c r="N64" i="86"/>
  <c r="L64" i="86"/>
  <c r="B64" i="86"/>
  <c r="Z63" i="86"/>
  <c r="V63" i="86"/>
  <c r="T63" i="86"/>
  <c r="P63" i="86"/>
  <c r="X63" i="86" s="1"/>
  <c r="N63" i="86"/>
  <c r="L63" i="86"/>
  <c r="H63" i="86"/>
  <c r="D63" i="86"/>
  <c r="B63" i="86"/>
  <c r="Z62" i="86"/>
  <c r="X62" i="86"/>
  <c r="N62" i="86"/>
  <c r="L62" i="86"/>
  <c r="B62" i="86"/>
  <c r="Z61" i="86"/>
  <c r="X61" i="86"/>
  <c r="N61" i="86"/>
  <c r="L61" i="86"/>
  <c r="B61" i="86"/>
  <c r="Z60" i="86"/>
  <c r="T60" i="86"/>
  <c r="P60" i="86"/>
  <c r="X60" i="86" s="1"/>
  <c r="L60" i="86"/>
  <c r="H60" i="86"/>
  <c r="N60" i="86" s="1"/>
  <c r="D60" i="86"/>
  <c r="B60" i="86"/>
  <c r="Z59" i="86"/>
  <c r="X59" i="86"/>
  <c r="N59" i="86"/>
  <c r="L59" i="86"/>
  <c r="B59" i="86"/>
  <c r="Z58" i="86"/>
  <c r="X58" i="86"/>
  <c r="V58" i="86"/>
  <c r="N58" i="86"/>
  <c r="L58" i="86"/>
  <c r="B58" i="86"/>
  <c r="Z57" i="86"/>
  <c r="X57" i="86"/>
  <c r="N57" i="86"/>
  <c r="L57" i="86"/>
  <c r="B57" i="86"/>
  <c r="T56" i="86"/>
  <c r="Z56" i="86" s="1"/>
  <c r="P56" i="86"/>
  <c r="N56" i="86"/>
  <c r="H56" i="86"/>
  <c r="D56" i="86"/>
  <c r="L56" i="86" s="1"/>
  <c r="B56" i="86"/>
  <c r="Z55" i="86"/>
  <c r="X55" i="86"/>
  <c r="V55" i="86"/>
  <c r="N55" i="86"/>
  <c r="L55" i="86"/>
  <c r="B55" i="86"/>
  <c r="T54" i="86"/>
  <c r="Z54" i="86" s="1"/>
  <c r="P54" i="86"/>
  <c r="X54" i="86" s="1"/>
  <c r="N54" i="86"/>
  <c r="L54" i="86"/>
  <c r="H54" i="86"/>
  <c r="D54" i="86"/>
  <c r="B54" i="86"/>
  <c r="Z53" i="86"/>
  <c r="X53" i="86"/>
  <c r="N53" i="86"/>
  <c r="L53" i="86"/>
  <c r="B53" i="86"/>
  <c r="Z52" i="86"/>
  <c r="T52" i="86"/>
  <c r="P52" i="86"/>
  <c r="X52" i="86" s="1"/>
  <c r="L52" i="86"/>
  <c r="H52" i="86"/>
  <c r="N52" i="86" s="1"/>
  <c r="D52" i="86"/>
  <c r="B52" i="86"/>
  <c r="Z51" i="86"/>
  <c r="X51" i="86"/>
  <c r="N51" i="86"/>
  <c r="L51" i="86"/>
  <c r="B51" i="86"/>
  <c r="Z50" i="86"/>
  <c r="X50" i="86"/>
  <c r="V50" i="86"/>
  <c r="T50" i="86"/>
  <c r="P50" i="86"/>
  <c r="H50" i="86"/>
  <c r="N50" i="86" s="1"/>
  <c r="D50" i="86"/>
  <c r="B50" i="86"/>
  <c r="X49" i="86"/>
  <c r="Z49" i="86" s="1"/>
  <c r="N49" i="86"/>
  <c r="L49" i="86"/>
  <c r="B49" i="86"/>
  <c r="Z48" i="86"/>
  <c r="X48" i="86"/>
  <c r="V48" i="86"/>
  <c r="N48" i="86"/>
  <c r="L48" i="86"/>
  <c r="B48" i="86"/>
  <c r="V47" i="86"/>
  <c r="T47" i="86"/>
  <c r="P47" i="86"/>
  <c r="X47" i="86" s="1"/>
  <c r="Z47" i="86" s="1"/>
  <c r="L47" i="86"/>
  <c r="N47" i="86" s="1"/>
  <c r="H47" i="86"/>
  <c r="D47" i="86"/>
  <c r="B47" i="86"/>
  <c r="Z46" i="86"/>
  <c r="X46" i="86"/>
  <c r="N46" i="86"/>
  <c r="L46" i="86"/>
  <c r="J46" i="86"/>
  <c r="B46" i="86"/>
  <c r="Z45" i="86"/>
  <c r="T45" i="86"/>
  <c r="P45" i="86"/>
  <c r="X45" i="86" s="1"/>
  <c r="H45" i="86"/>
  <c r="N45" i="86" s="1"/>
  <c r="D45" i="86"/>
  <c r="B45" i="86"/>
  <c r="Z44" i="86"/>
  <c r="X44" i="86"/>
  <c r="R44" i="86"/>
  <c r="N44" i="86"/>
  <c r="L44" i="86"/>
  <c r="B44" i="86"/>
  <c r="X43" i="86"/>
  <c r="T43" i="86"/>
  <c r="Z43" i="86" s="1"/>
  <c r="P43" i="86"/>
  <c r="H43" i="86"/>
  <c r="N43" i="86" s="1"/>
  <c r="D43" i="86"/>
  <c r="B43" i="86"/>
  <c r="Z42" i="86"/>
  <c r="X42" i="86"/>
  <c r="N42" i="86"/>
  <c r="L42" i="86"/>
  <c r="B42" i="86"/>
  <c r="Z41" i="86"/>
  <c r="X41" i="86"/>
  <c r="N41" i="86"/>
  <c r="L41" i="86"/>
  <c r="B41" i="86"/>
  <c r="Z40" i="86"/>
  <c r="X40" i="86"/>
  <c r="V40" i="86"/>
  <c r="N40" i="86"/>
  <c r="L40" i="86"/>
  <c r="B40" i="86"/>
  <c r="Z39" i="86"/>
  <c r="X39" i="86"/>
  <c r="V39" i="86"/>
  <c r="N39" i="86"/>
  <c r="L39" i="86"/>
  <c r="B39" i="86"/>
  <c r="Z38" i="86"/>
  <c r="X38" i="86"/>
  <c r="N38" i="86"/>
  <c r="L38" i="86"/>
  <c r="B38" i="86"/>
  <c r="Z37" i="86"/>
  <c r="X37" i="86"/>
  <c r="N37" i="86"/>
  <c r="L37" i="86"/>
  <c r="B37" i="86"/>
  <c r="Z36" i="86"/>
  <c r="X36" i="86"/>
  <c r="V36" i="86"/>
  <c r="N36" i="86"/>
  <c r="L36" i="86"/>
  <c r="B36" i="86"/>
  <c r="Z35" i="86"/>
  <c r="X35" i="86"/>
  <c r="V35" i="86"/>
  <c r="N35" i="86"/>
  <c r="L35" i="86"/>
  <c r="B35" i="86"/>
  <c r="Z34" i="86"/>
  <c r="X34" i="86"/>
  <c r="N34" i="86"/>
  <c r="L34" i="86"/>
  <c r="B34" i="86"/>
  <c r="Z33" i="86"/>
  <c r="X33" i="86"/>
  <c r="N33" i="86"/>
  <c r="L33" i="86"/>
  <c r="B33" i="86"/>
  <c r="Z32" i="86"/>
  <c r="X32" i="86"/>
  <c r="V32" i="86"/>
  <c r="T32" i="86"/>
  <c r="R32" i="86"/>
  <c r="P32" i="86"/>
  <c r="H32" i="86"/>
  <c r="N32" i="86" s="1"/>
  <c r="D32" i="86"/>
  <c r="L32" i="86" s="1"/>
  <c r="B32" i="86"/>
  <c r="Z31" i="86"/>
  <c r="X31" i="86"/>
  <c r="N31" i="86"/>
  <c r="L31" i="86"/>
  <c r="B31" i="86"/>
  <c r="Z30" i="86"/>
  <c r="X30" i="86"/>
  <c r="N30" i="86"/>
  <c r="L30" i="86"/>
  <c r="B30" i="86"/>
  <c r="Z29" i="86"/>
  <c r="X29" i="86"/>
  <c r="N29" i="86"/>
  <c r="L29" i="86"/>
  <c r="B29" i="86"/>
  <c r="Z28" i="86"/>
  <c r="X28" i="86"/>
  <c r="N28" i="86"/>
  <c r="L28" i="86"/>
  <c r="B28" i="86"/>
  <c r="Z27" i="86"/>
  <c r="X27" i="86"/>
  <c r="N27" i="86"/>
  <c r="L27" i="86"/>
  <c r="B27" i="86"/>
  <c r="Z26" i="86"/>
  <c r="X26" i="86"/>
  <c r="N26" i="86"/>
  <c r="L26" i="86"/>
  <c r="B26" i="86"/>
  <c r="Z25" i="86"/>
  <c r="X25" i="86"/>
  <c r="N25" i="86"/>
  <c r="L25" i="86"/>
  <c r="B25" i="86"/>
  <c r="Z24" i="86"/>
  <c r="X24" i="86"/>
  <c r="N24" i="86"/>
  <c r="L24" i="86"/>
  <c r="B24" i="86"/>
  <c r="X23" i="86"/>
  <c r="T23" i="86"/>
  <c r="Z23" i="86" s="1"/>
  <c r="P23" i="86"/>
  <c r="N23" i="86"/>
  <c r="H23" i="86"/>
  <c r="D23" i="86"/>
  <c r="L23" i="86" s="1"/>
  <c r="B23" i="86"/>
  <c r="V22" i="86"/>
  <c r="T22" i="86"/>
  <c r="P22" i="86"/>
  <c r="X22" i="86" s="1"/>
  <c r="H22" i="86"/>
  <c r="D22" i="86"/>
  <c r="V20" i="86"/>
  <c r="H20" i="86"/>
  <c r="Z18" i="86"/>
  <c r="X18" i="86"/>
  <c r="V18" i="86"/>
  <c r="N18" i="86"/>
  <c r="L18" i="86"/>
  <c r="B18" i="86"/>
  <c r="Z17" i="86"/>
  <c r="X17" i="86"/>
  <c r="V17" i="86"/>
  <c r="N17" i="86"/>
  <c r="L17" i="86"/>
  <c r="B17" i="86"/>
  <c r="T16" i="86"/>
  <c r="Z16" i="86" s="1"/>
  <c r="P16" i="86"/>
  <c r="N16" i="86"/>
  <c r="H16" i="86"/>
  <c r="D16" i="86"/>
  <c r="L16" i="86" s="1"/>
  <c r="Z14" i="86"/>
  <c r="X14" i="86"/>
  <c r="P14" i="86"/>
  <c r="N14" i="86"/>
  <c r="D14" i="86"/>
  <c r="B14" i="86"/>
  <c r="Z13" i="86"/>
  <c r="X13" i="86"/>
  <c r="P13" i="86"/>
  <c r="N13" i="86"/>
  <c r="L13" i="86"/>
  <c r="D13" i="86"/>
  <c r="B13" i="86"/>
  <c r="T12" i="86"/>
  <c r="V83" i="86" s="1"/>
  <c r="P12" i="86"/>
  <c r="H12" i="86"/>
  <c r="J68" i="86" s="1"/>
  <c r="D6" i="86"/>
  <c r="D4" i="86"/>
  <c r="X101" i="85"/>
  <c r="Z101" i="85" s="1"/>
  <c r="L101" i="85"/>
  <c r="N101" i="85" s="1"/>
  <c r="Z97" i="85"/>
  <c r="T97" i="85"/>
  <c r="P97" i="85"/>
  <c r="X97" i="85" s="1"/>
  <c r="L97" i="85"/>
  <c r="H97" i="85"/>
  <c r="N97" i="85" s="1"/>
  <c r="D97" i="85"/>
  <c r="Z95" i="85"/>
  <c r="X95" i="85"/>
  <c r="L95" i="85"/>
  <c r="N95" i="85" s="1"/>
  <c r="B95" i="85"/>
  <c r="T94" i="85"/>
  <c r="P94" i="85"/>
  <c r="H94" i="85"/>
  <c r="D94" i="85"/>
  <c r="L94" i="85" s="1"/>
  <c r="N94" i="85" s="1"/>
  <c r="B94" i="85"/>
  <c r="Z93" i="85"/>
  <c r="X93" i="85"/>
  <c r="N93" i="85"/>
  <c r="L93" i="85"/>
  <c r="B93" i="85"/>
  <c r="Z92" i="85"/>
  <c r="X92" i="85"/>
  <c r="N92" i="85"/>
  <c r="L92" i="85"/>
  <c r="B92" i="85"/>
  <c r="T91" i="85"/>
  <c r="Z91" i="85" s="1"/>
  <c r="P91" i="85"/>
  <c r="X91" i="85" s="1"/>
  <c r="N91" i="85"/>
  <c r="H91" i="85"/>
  <c r="D91" i="85"/>
  <c r="L91" i="85" s="1"/>
  <c r="B91" i="85"/>
  <c r="Z90" i="85"/>
  <c r="X90" i="85"/>
  <c r="N90" i="85"/>
  <c r="L90" i="85"/>
  <c r="B90" i="85"/>
  <c r="T89" i="85"/>
  <c r="Z89" i="85" s="1"/>
  <c r="P89" i="85"/>
  <c r="X89" i="85" s="1"/>
  <c r="N89" i="85"/>
  <c r="L89" i="85"/>
  <c r="H89" i="85"/>
  <c r="D89" i="85"/>
  <c r="B89" i="85"/>
  <c r="Z88" i="85"/>
  <c r="X88" i="85"/>
  <c r="N88" i="85"/>
  <c r="L88" i="85"/>
  <c r="J88" i="85"/>
  <c r="B88" i="85"/>
  <c r="Z87" i="85"/>
  <c r="X87" i="85"/>
  <c r="L87" i="85"/>
  <c r="N87" i="85" s="1"/>
  <c r="B87" i="85"/>
  <c r="T86" i="85"/>
  <c r="X86" i="85" s="1"/>
  <c r="Z86" i="85" s="1"/>
  <c r="P86" i="85"/>
  <c r="N86" i="85"/>
  <c r="H86" i="85"/>
  <c r="D86" i="85"/>
  <c r="L86" i="85" s="1"/>
  <c r="B86" i="85"/>
  <c r="Z85" i="85"/>
  <c r="X85" i="85"/>
  <c r="N85" i="85"/>
  <c r="L85" i="85"/>
  <c r="B85" i="85"/>
  <c r="Z84" i="85"/>
  <c r="X84" i="85"/>
  <c r="N84" i="85"/>
  <c r="L84" i="85"/>
  <c r="B84" i="85"/>
  <c r="X83" i="85"/>
  <c r="Z83" i="85" s="1"/>
  <c r="N83" i="85"/>
  <c r="L83" i="85"/>
  <c r="B83" i="85"/>
  <c r="X82" i="85"/>
  <c r="Z82" i="85" s="1"/>
  <c r="N82" i="85"/>
  <c r="L82" i="85"/>
  <c r="B82" i="85"/>
  <c r="Z81" i="85"/>
  <c r="X81" i="85"/>
  <c r="L81" i="85"/>
  <c r="N81" i="85" s="1"/>
  <c r="B81" i="85"/>
  <c r="Z80" i="85"/>
  <c r="X80" i="85"/>
  <c r="L80" i="85"/>
  <c r="N80" i="85" s="1"/>
  <c r="B80" i="85"/>
  <c r="Z79" i="85"/>
  <c r="X79" i="85"/>
  <c r="N79" i="85"/>
  <c r="L79" i="85"/>
  <c r="J79" i="85"/>
  <c r="B79" i="85"/>
  <c r="X78" i="85"/>
  <c r="Z78" i="85" s="1"/>
  <c r="N78" i="85"/>
  <c r="L78" i="85"/>
  <c r="B78" i="85"/>
  <c r="X77" i="85"/>
  <c r="Z77" i="85" s="1"/>
  <c r="V77" i="85"/>
  <c r="T77" i="85"/>
  <c r="P77" i="85"/>
  <c r="H77" i="85"/>
  <c r="D77" i="85"/>
  <c r="L77" i="85" s="1"/>
  <c r="B77" i="85"/>
  <c r="X76" i="85"/>
  <c r="Z76" i="85" s="1"/>
  <c r="N76" i="85"/>
  <c r="L76" i="85"/>
  <c r="J76" i="85"/>
  <c r="B76" i="85"/>
  <c r="T75" i="85"/>
  <c r="X75" i="85" s="1"/>
  <c r="P75" i="85"/>
  <c r="L75" i="85"/>
  <c r="H75" i="85"/>
  <c r="N75" i="85" s="1"/>
  <c r="D75" i="85"/>
  <c r="B75" i="85"/>
  <c r="Z74" i="85"/>
  <c r="X74" i="85"/>
  <c r="N74" i="85"/>
  <c r="L74" i="85"/>
  <c r="B74" i="85"/>
  <c r="X73" i="85"/>
  <c r="Z73" i="85" s="1"/>
  <c r="N73" i="85"/>
  <c r="L73" i="85"/>
  <c r="B73" i="85"/>
  <c r="Z72" i="85"/>
  <c r="X72" i="85"/>
  <c r="N72" i="85"/>
  <c r="L72" i="85"/>
  <c r="B72" i="85"/>
  <c r="Z71" i="85"/>
  <c r="X71" i="85"/>
  <c r="N71" i="85"/>
  <c r="L71" i="85"/>
  <c r="B71" i="85"/>
  <c r="X70" i="85"/>
  <c r="Z70" i="85" s="1"/>
  <c r="L70" i="85"/>
  <c r="N70" i="85" s="1"/>
  <c r="B70" i="85"/>
  <c r="T69" i="85"/>
  <c r="P69" i="85"/>
  <c r="X69" i="85" s="1"/>
  <c r="H69" i="85"/>
  <c r="D69" i="85"/>
  <c r="L69" i="85" s="1"/>
  <c r="N69" i="85" s="1"/>
  <c r="B69" i="85"/>
  <c r="Z68" i="85"/>
  <c r="X68" i="85"/>
  <c r="N68" i="85"/>
  <c r="L68" i="85"/>
  <c r="B68" i="85"/>
  <c r="X67" i="85"/>
  <c r="Z67" i="85" s="1"/>
  <c r="N67" i="85"/>
  <c r="L67" i="85"/>
  <c r="B67" i="85"/>
  <c r="X66" i="85"/>
  <c r="T66" i="85"/>
  <c r="P66" i="85"/>
  <c r="H66" i="85"/>
  <c r="D66" i="85"/>
  <c r="L66" i="85" s="1"/>
  <c r="B66" i="85"/>
  <c r="X65" i="85"/>
  <c r="Z65" i="85" s="1"/>
  <c r="L65" i="85"/>
  <c r="N65" i="85" s="1"/>
  <c r="B65" i="85"/>
  <c r="X64" i="85"/>
  <c r="T64" i="85"/>
  <c r="Z64" i="85" s="1"/>
  <c r="P64" i="85"/>
  <c r="H64" i="85"/>
  <c r="D64" i="85"/>
  <c r="L64" i="85" s="1"/>
  <c r="N64" i="85" s="1"/>
  <c r="B64" i="85"/>
  <c r="Z63" i="85"/>
  <c r="X63" i="85"/>
  <c r="V63" i="85"/>
  <c r="L63" i="85"/>
  <c r="N63" i="85" s="1"/>
  <c r="B63" i="85"/>
  <c r="T62" i="85"/>
  <c r="P62" i="85"/>
  <c r="X62" i="85" s="1"/>
  <c r="Z62" i="85" s="1"/>
  <c r="H62" i="85"/>
  <c r="D62" i="85"/>
  <c r="B62" i="85"/>
  <c r="X61" i="85"/>
  <c r="Z61" i="85" s="1"/>
  <c r="N61" i="85"/>
  <c r="L61" i="85"/>
  <c r="B61" i="85"/>
  <c r="X60" i="85"/>
  <c r="Z60" i="85" s="1"/>
  <c r="T60" i="85"/>
  <c r="P60" i="85"/>
  <c r="H60" i="85"/>
  <c r="N60" i="85" s="1"/>
  <c r="D60" i="85"/>
  <c r="L60" i="85" s="1"/>
  <c r="B60" i="85"/>
  <c r="X59" i="85"/>
  <c r="Z59" i="85" s="1"/>
  <c r="N59" i="85"/>
  <c r="L59" i="85"/>
  <c r="B59" i="85"/>
  <c r="X58" i="85"/>
  <c r="T58" i="85"/>
  <c r="Z58" i="85" s="1"/>
  <c r="P58" i="85"/>
  <c r="H58" i="85"/>
  <c r="L58" i="85" s="1"/>
  <c r="N58" i="85" s="1"/>
  <c r="D58" i="85"/>
  <c r="B58" i="85"/>
  <c r="X57" i="85"/>
  <c r="Z57" i="85" s="1"/>
  <c r="N57" i="85"/>
  <c r="L57" i="85"/>
  <c r="B57" i="85"/>
  <c r="T56" i="85"/>
  <c r="P56" i="85"/>
  <c r="X56" i="85" s="1"/>
  <c r="Z56" i="85" s="1"/>
  <c r="H56" i="85"/>
  <c r="D56" i="85"/>
  <c r="B56" i="85"/>
  <c r="X55" i="85"/>
  <c r="Z55" i="85" s="1"/>
  <c r="L55" i="85"/>
  <c r="N55" i="85" s="1"/>
  <c r="B55" i="85"/>
  <c r="Z54" i="85"/>
  <c r="X54" i="85"/>
  <c r="N54" i="85"/>
  <c r="L54" i="85"/>
  <c r="B54" i="85"/>
  <c r="T53" i="85"/>
  <c r="P53" i="85"/>
  <c r="X53" i="85" s="1"/>
  <c r="Z53" i="85" s="1"/>
  <c r="L53" i="85"/>
  <c r="H53" i="85"/>
  <c r="D53" i="85"/>
  <c r="B53" i="85"/>
  <c r="Z52" i="85"/>
  <c r="X52" i="85"/>
  <c r="N52" i="85"/>
  <c r="L52" i="85"/>
  <c r="J52" i="85"/>
  <c r="B52" i="85"/>
  <c r="X51" i="85"/>
  <c r="T51" i="85"/>
  <c r="Z51" i="85" s="1"/>
  <c r="P51" i="85"/>
  <c r="H51" i="85"/>
  <c r="D51" i="85"/>
  <c r="L51" i="85" s="1"/>
  <c r="N51" i="85" s="1"/>
  <c r="B51" i="85"/>
  <c r="X50" i="85"/>
  <c r="Z50" i="85" s="1"/>
  <c r="L50" i="85"/>
  <c r="N50" i="85" s="1"/>
  <c r="B50" i="85"/>
  <c r="V49" i="85"/>
  <c r="T49" i="85"/>
  <c r="P49" i="85"/>
  <c r="H49" i="85"/>
  <c r="D49" i="85"/>
  <c r="L49" i="85" s="1"/>
  <c r="N49" i="85" s="1"/>
  <c r="B49" i="85"/>
  <c r="Z48" i="85"/>
  <c r="X48" i="85"/>
  <c r="N48" i="85"/>
  <c r="L48" i="85"/>
  <c r="B48" i="85"/>
  <c r="T47" i="85"/>
  <c r="P47" i="85"/>
  <c r="X47" i="85" s="1"/>
  <c r="L47" i="85"/>
  <c r="N47" i="85" s="1"/>
  <c r="J47" i="85"/>
  <c r="H47" i="85"/>
  <c r="D47" i="85"/>
  <c r="B47" i="85"/>
  <c r="Z46" i="85"/>
  <c r="X46" i="85"/>
  <c r="N46" i="85"/>
  <c r="L46" i="85"/>
  <c r="B46" i="85"/>
  <c r="Z45" i="85"/>
  <c r="X45" i="85"/>
  <c r="N45" i="85"/>
  <c r="L45" i="85"/>
  <c r="B45" i="85"/>
  <c r="X44" i="85"/>
  <c r="Z44" i="85" s="1"/>
  <c r="R44" i="85"/>
  <c r="N44" i="85"/>
  <c r="L44" i="85"/>
  <c r="B44" i="85"/>
  <c r="X43" i="85"/>
  <c r="Z43" i="85" s="1"/>
  <c r="N43" i="85"/>
  <c r="L43" i="85"/>
  <c r="J43" i="85"/>
  <c r="B43" i="85"/>
  <c r="Z42" i="85"/>
  <c r="X42" i="85"/>
  <c r="N42" i="85"/>
  <c r="L42" i="85"/>
  <c r="B42" i="85"/>
  <c r="Z41" i="85"/>
  <c r="X41" i="85"/>
  <c r="L41" i="85"/>
  <c r="N41" i="85" s="1"/>
  <c r="B41" i="85"/>
  <c r="Z40" i="85"/>
  <c r="X40" i="85"/>
  <c r="R40" i="85"/>
  <c r="N40" i="85"/>
  <c r="L40" i="85"/>
  <c r="B40" i="85"/>
  <c r="Z39" i="85"/>
  <c r="X39" i="85"/>
  <c r="N39" i="85"/>
  <c r="L39" i="85"/>
  <c r="J39" i="85"/>
  <c r="B39" i="85"/>
  <c r="X38" i="85"/>
  <c r="Z38" i="85" s="1"/>
  <c r="N38" i="85"/>
  <c r="L38" i="85"/>
  <c r="B38" i="85"/>
  <c r="Z37" i="85"/>
  <c r="X37" i="85"/>
  <c r="N37" i="85"/>
  <c r="L37" i="85"/>
  <c r="B37" i="85"/>
  <c r="T36" i="85"/>
  <c r="P36" i="85"/>
  <c r="H36" i="85"/>
  <c r="D36" i="85"/>
  <c r="L36" i="85" s="1"/>
  <c r="B36" i="85"/>
  <c r="Z35" i="85"/>
  <c r="X35" i="85"/>
  <c r="V35" i="85"/>
  <c r="N35" i="85"/>
  <c r="L35" i="85"/>
  <c r="B35" i="85"/>
  <c r="Z34" i="85"/>
  <c r="X34" i="85"/>
  <c r="V34" i="85"/>
  <c r="L34" i="85"/>
  <c r="N34" i="85" s="1"/>
  <c r="B34" i="85"/>
  <c r="X33" i="85"/>
  <c r="Z33" i="85" s="1"/>
  <c r="L33" i="85"/>
  <c r="N33" i="85" s="1"/>
  <c r="B33" i="85"/>
  <c r="Z32" i="85"/>
  <c r="X32" i="85"/>
  <c r="N32" i="85"/>
  <c r="L32" i="85"/>
  <c r="B32" i="85"/>
  <c r="X31" i="85"/>
  <c r="Z31" i="85" s="1"/>
  <c r="V31" i="85"/>
  <c r="N31" i="85"/>
  <c r="L31" i="85"/>
  <c r="B31" i="85"/>
  <c r="Z30" i="85"/>
  <c r="X30" i="85"/>
  <c r="V30" i="85"/>
  <c r="L30" i="85"/>
  <c r="N30" i="85" s="1"/>
  <c r="B30" i="85"/>
  <c r="X29" i="85"/>
  <c r="Z29" i="85" s="1"/>
  <c r="L29" i="85"/>
  <c r="N29" i="85" s="1"/>
  <c r="B29" i="85"/>
  <c r="Z28" i="85"/>
  <c r="X28" i="85"/>
  <c r="N28" i="85"/>
  <c r="L28" i="85"/>
  <c r="B28" i="85"/>
  <c r="X27" i="85"/>
  <c r="Z27" i="85" s="1"/>
  <c r="V27" i="85"/>
  <c r="N27" i="85"/>
  <c r="L27" i="85"/>
  <c r="B27" i="85"/>
  <c r="V26" i="85"/>
  <c r="T26" i="85"/>
  <c r="P26" i="85"/>
  <c r="X26" i="85" s="1"/>
  <c r="Z26" i="85" s="1"/>
  <c r="N26" i="85"/>
  <c r="L26" i="85"/>
  <c r="H26" i="85"/>
  <c r="D26" i="85"/>
  <c r="B26" i="85"/>
  <c r="T25" i="85"/>
  <c r="P25" i="85"/>
  <c r="X25" i="85" s="1"/>
  <c r="H25" i="85"/>
  <c r="D25" i="85"/>
  <c r="T23" i="85"/>
  <c r="Z21" i="85"/>
  <c r="X21" i="85"/>
  <c r="N21" i="85"/>
  <c r="L21" i="85"/>
  <c r="B21" i="85"/>
  <c r="Z20" i="85"/>
  <c r="X20" i="85"/>
  <c r="N20" i="85"/>
  <c r="L20" i="85"/>
  <c r="F20" i="85"/>
  <c r="B20" i="85"/>
  <c r="Z19" i="85"/>
  <c r="X19" i="85"/>
  <c r="L19" i="85"/>
  <c r="N19" i="85" s="1"/>
  <c r="B19" i="85"/>
  <c r="X18" i="85"/>
  <c r="Z18" i="85" s="1"/>
  <c r="V18" i="85"/>
  <c r="T18" i="85"/>
  <c r="P18" i="85"/>
  <c r="H18" i="85"/>
  <c r="D18" i="85"/>
  <c r="L18" i="85" s="1"/>
  <c r="N18" i="85" s="1"/>
  <c r="Z16" i="85"/>
  <c r="X16" i="85"/>
  <c r="P16" i="85"/>
  <c r="N16" i="85"/>
  <c r="D16" i="85"/>
  <c r="L16" i="85" s="1"/>
  <c r="B16" i="85"/>
  <c r="X15" i="85"/>
  <c r="Z15" i="85" s="1"/>
  <c r="P15" i="85"/>
  <c r="D15" i="85"/>
  <c r="L15" i="85" s="1"/>
  <c r="N15" i="85" s="1"/>
  <c r="B15" i="85"/>
  <c r="Z14" i="85"/>
  <c r="X14" i="85"/>
  <c r="P14" i="85"/>
  <c r="N14" i="85"/>
  <c r="L14" i="85"/>
  <c r="D14" i="85"/>
  <c r="B14" i="85"/>
  <c r="X13" i="85"/>
  <c r="Z13" i="85" s="1"/>
  <c r="P13" i="85"/>
  <c r="P12" i="85" s="1"/>
  <c r="R48" i="85" s="1"/>
  <c r="L13" i="85"/>
  <c r="N13" i="85" s="1"/>
  <c r="D13" i="85"/>
  <c r="D12" i="85" s="1"/>
  <c r="F46" i="85" s="1"/>
  <c r="B13" i="85"/>
  <c r="T12" i="85"/>
  <c r="V72" i="85" s="1"/>
  <c r="H12" i="85"/>
  <c r="D6" i="85"/>
  <c r="D4" i="85"/>
  <c r="J86" i="84"/>
  <c r="J83" i="84"/>
  <c r="Z81" i="84"/>
  <c r="X81" i="84"/>
  <c r="N81" i="84"/>
  <c r="L81" i="84"/>
  <c r="T77" i="84"/>
  <c r="Z77" i="84" s="1"/>
  <c r="P77" i="84"/>
  <c r="H77" i="84"/>
  <c r="N77" i="84" s="1"/>
  <c r="D77" i="84"/>
  <c r="L77" i="84" s="1"/>
  <c r="Z75" i="84"/>
  <c r="X75" i="84"/>
  <c r="N75" i="84"/>
  <c r="L75" i="84"/>
  <c r="B75" i="84"/>
  <c r="T74" i="84"/>
  <c r="Z74" i="84" s="1"/>
  <c r="P74" i="84"/>
  <c r="X74" i="84" s="1"/>
  <c r="N74" i="84"/>
  <c r="H74" i="84"/>
  <c r="D74" i="84"/>
  <c r="L74" i="84" s="1"/>
  <c r="B74" i="84"/>
  <c r="Z73" i="84"/>
  <c r="X73" i="84"/>
  <c r="V73" i="84"/>
  <c r="N73" i="84"/>
  <c r="L73" i="84"/>
  <c r="B73" i="84"/>
  <c r="T72" i="84"/>
  <c r="Z72" i="84" s="1"/>
  <c r="P72" i="84"/>
  <c r="X72" i="84" s="1"/>
  <c r="L72" i="84"/>
  <c r="J72" i="84"/>
  <c r="H72" i="84"/>
  <c r="N72" i="84" s="1"/>
  <c r="D72" i="84"/>
  <c r="B72" i="84"/>
  <c r="Z71" i="84"/>
  <c r="X71" i="84"/>
  <c r="N71" i="84"/>
  <c r="L71" i="84"/>
  <c r="B71" i="84"/>
  <c r="T70" i="84"/>
  <c r="Z70" i="84" s="1"/>
  <c r="P70" i="84"/>
  <c r="X70" i="84" s="1"/>
  <c r="H70" i="84"/>
  <c r="N70" i="84" s="1"/>
  <c r="D70" i="84"/>
  <c r="B70" i="84"/>
  <c r="Z69" i="84"/>
  <c r="X69" i="84"/>
  <c r="N69" i="84"/>
  <c r="L69" i="84"/>
  <c r="J69" i="84"/>
  <c r="B69" i="84"/>
  <c r="Z68" i="84"/>
  <c r="X68" i="84"/>
  <c r="N68" i="84"/>
  <c r="L68" i="84"/>
  <c r="B68" i="84"/>
  <c r="Z67" i="84"/>
  <c r="X67" i="84"/>
  <c r="V67" i="84"/>
  <c r="N67" i="84"/>
  <c r="L67" i="84"/>
  <c r="B67" i="84"/>
  <c r="T66" i="84"/>
  <c r="Z66" i="84" s="1"/>
  <c r="P66" i="84"/>
  <c r="X66" i="84" s="1"/>
  <c r="N66" i="84"/>
  <c r="H66" i="84"/>
  <c r="D66" i="84"/>
  <c r="L66" i="84" s="1"/>
  <c r="B66" i="84"/>
  <c r="Z65" i="84"/>
  <c r="X65" i="84"/>
  <c r="V65" i="84"/>
  <c r="N65" i="84"/>
  <c r="L65" i="84"/>
  <c r="B65" i="84"/>
  <c r="T64" i="84"/>
  <c r="Z64" i="84" s="1"/>
  <c r="P64" i="84"/>
  <c r="X64" i="84" s="1"/>
  <c r="L64" i="84"/>
  <c r="J64" i="84"/>
  <c r="H64" i="84"/>
  <c r="N64" i="84" s="1"/>
  <c r="D64" i="84"/>
  <c r="B64" i="84"/>
  <c r="Z63" i="84"/>
  <c r="X63" i="84"/>
  <c r="N63" i="84"/>
  <c r="L63" i="84"/>
  <c r="J63" i="84"/>
  <c r="B63" i="84"/>
  <c r="T62" i="84"/>
  <c r="Z62" i="84" s="1"/>
  <c r="P62" i="84"/>
  <c r="X62" i="84" s="1"/>
  <c r="H62" i="84"/>
  <c r="F62" i="84"/>
  <c r="D62" i="84"/>
  <c r="B62" i="84"/>
  <c r="Z61" i="84"/>
  <c r="X61" i="84"/>
  <c r="N61" i="84"/>
  <c r="L61" i="84"/>
  <c r="J61" i="84"/>
  <c r="B61" i="84"/>
  <c r="Z60" i="84"/>
  <c r="T60" i="84"/>
  <c r="P60" i="84"/>
  <c r="X60" i="84" s="1"/>
  <c r="H60" i="84"/>
  <c r="N60" i="84" s="1"/>
  <c r="D60" i="84"/>
  <c r="L60" i="84" s="1"/>
  <c r="B60" i="84"/>
  <c r="Z59" i="84"/>
  <c r="X59" i="84"/>
  <c r="N59" i="84"/>
  <c r="L59" i="84"/>
  <c r="B59" i="84"/>
  <c r="Z58" i="84"/>
  <c r="X58" i="84"/>
  <c r="V58" i="84"/>
  <c r="N58" i="84"/>
  <c r="L58" i="84"/>
  <c r="B58" i="84"/>
  <c r="Z57" i="84"/>
  <c r="V57" i="84"/>
  <c r="T57" i="84"/>
  <c r="P57" i="84"/>
  <c r="X57" i="84" s="1"/>
  <c r="N57" i="84"/>
  <c r="L57" i="84"/>
  <c r="H57" i="84"/>
  <c r="D57" i="84"/>
  <c r="B57" i="84"/>
  <c r="Z56" i="84"/>
  <c r="X56" i="84"/>
  <c r="N56" i="84"/>
  <c r="L56" i="84"/>
  <c r="B56" i="84"/>
  <c r="Z55" i="84"/>
  <c r="V55" i="84"/>
  <c r="T55" i="84"/>
  <c r="P55" i="84"/>
  <c r="X55" i="84" s="1"/>
  <c r="N55" i="84"/>
  <c r="L55" i="84"/>
  <c r="H55" i="84"/>
  <c r="D55" i="84"/>
  <c r="B55" i="84"/>
  <c r="Z54" i="84"/>
  <c r="X54" i="84"/>
  <c r="N54" i="84"/>
  <c r="L54" i="84"/>
  <c r="J54" i="84"/>
  <c r="B54" i="84"/>
  <c r="V53" i="84"/>
  <c r="T53" i="84"/>
  <c r="Z53" i="84" s="1"/>
  <c r="P53" i="84"/>
  <c r="X53" i="84" s="1"/>
  <c r="J53" i="84"/>
  <c r="H53" i="84"/>
  <c r="N53" i="84" s="1"/>
  <c r="D53" i="84"/>
  <c r="L53" i="84" s="1"/>
  <c r="B53" i="84"/>
  <c r="Z52" i="84"/>
  <c r="X52" i="84"/>
  <c r="N52" i="84"/>
  <c r="L52" i="84"/>
  <c r="B52" i="84"/>
  <c r="Z51" i="84"/>
  <c r="X51" i="84"/>
  <c r="T51" i="84"/>
  <c r="P51" i="84"/>
  <c r="N51" i="84"/>
  <c r="J51" i="84"/>
  <c r="H51" i="84"/>
  <c r="D51" i="84"/>
  <c r="L51" i="84" s="1"/>
  <c r="B51" i="84"/>
  <c r="Z50" i="84"/>
  <c r="X50" i="84"/>
  <c r="L50" i="84"/>
  <c r="N50" i="84" s="1"/>
  <c r="B50" i="84"/>
  <c r="Z49" i="84"/>
  <c r="X49" i="84"/>
  <c r="V49" i="84"/>
  <c r="T49" i="84"/>
  <c r="P49" i="84"/>
  <c r="H49" i="84"/>
  <c r="D49" i="84"/>
  <c r="L49" i="84" s="1"/>
  <c r="N49" i="84" s="1"/>
  <c r="B49" i="84"/>
  <c r="Z48" i="84"/>
  <c r="X48" i="84"/>
  <c r="N48" i="84"/>
  <c r="L48" i="84"/>
  <c r="B48" i="84"/>
  <c r="V47" i="84"/>
  <c r="T47" i="84"/>
  <c r="Z47" i="84" s="1"/>
  <c r="P47" i="84"/>
  <c r="J47" i="84"/>
  <c r="H47" i="84"/>
  <c r="N47" i="84" s="1"/>
  <c r="D47" i="84"/>
  <c r="L47" i="84" s="1"/>
  <c r="B47" i="84"/>
  <c r="Z46" i="84"/>
  <c r="X46" i="84"/>
  <c r="V46" i="84"/>
  <c r="N46" i="84"/>
  <c r="L46" i="84"/>
  <c r="B46" i="84"/>
  <c r="Z45" i="84"/>
  <c r="V45" i="84"/>
  <c r="T45" i="84"/>
  <c r="P45" i="84"/>
  <c r="X45" i="84" s="1"/>
  <c r="N45" i="84"/>
  <c r="L45" i="84"/>
  <c r="H45" i="84"/>
  <c r="D45" i="84"/>
  <c r="B45" i="84"/>
  <c r="Z44" i="84"/>
  <c r="X44" i="84"/>
  <c r="N44" i="84"/>
  <c r="L44" i="84"/>
  <c r="B44" i="84"/>
  <c r="Z43" i="84"/>
  <c r="X43" i="84"/>
  <c r="V43" i="84"/>
  <c r="N43" i="84"/>
  <c r="L43" i="84"/>
  <c r="J43" i="84"/>
  <c r="F43" i="84"/>
  <c r="B43" i="84"/>
  <c r="Z42" i="84"/>
  <c r="X42" i="84"/>
  <c r="N42" i="84"/>
  <c r="L42" i="84"/>
  <c r="B42" i="84"/>
  <c r="Z41" i="84"/>
  <c r="X41" i="84"/>
  <c r="V41" i="84"/>
  <c r="N41" i="84"/>
  <c r="L41" i="84"/>
  <c r="J41" i="84"/>
  <c r="B41" i="84"/>
  <c r="Z40" i="84"/>
  <c r="X40" i="84"/>
  <c r="N40" i="84"/>
  <c r="L40" i="84"/>
  <c r="B40" i="84"/>
  <c r="Z39" i="84"/>
  <c r="X39" i="84"/>
  <c r="V39" i="84"/>
  <c r="N39" i="84"/>
  <c r="L39" i="84"/>
  <c r="J39" i="84"/>
  <c r="F39" i="84"/>
  <c r="B39" i="84"/>
  <c r="Z38" i="84"/>
  <c r="X38" i="84"/>
  <c r="N38" i="84"/>
  <c r="L38" i="84"/>
  <c r="B38" i="84"/>
  <c r="Z37" i="84"/>
  <c r="X37" i="84"/>
  <c r="V37" i="84"/>
  <c r="N37" i="84"/>
  <c r="L37" i="84"/>
  <c r="J37" i="84"/>
  <c r="B37" i="84"/>
  <c r="Z36" i="84"/>
  <c r="X36" i="84"/>
  <c r="N36" i="84"/>
  <c r="L36" i="84"/>
  <c r="B36" i="84"/>
  <c r="Z35" i="84"/>
  <c r="X35" i="84"/>
  <c r="V35" i="84"/>
  <c r="N35" i="84"/>
  <c r="L35" i="84"/>
  <c r="J35" i="84"/>
  <c r="B35" i="84"/>
  <c r="T34" i="84"/>
  <c r="Z34" i="84" s="1"/>
  <c r="P34" i="84"/>
  <c r="X34" i="84" s="1"/>
  <c r="L34" i="84"/>
  <c r="H34" i="84"/>
  <c r="N34" i="84" s="1"/>
  <c r="D34" i="84"/>
  <c r="B34" i="84"/>
  <c r="Z33" i="84"/>
  <c r="X33" i="84"/>
  <c r="V33" i="84"/>
  <c r="N33" i="84"/>
  <c r="L33" i="84"/>
  <c r="J33" i="84"/>
  <c r="B33" i="84"/>
  <c r="Z32" i="84"/>
  <c r="X32" i="84"/>
  <c r="N32" i="84"/>
  <c r="L32" i="84"/>
  <c r="B32" i="84"/>
  <c r="Z31" i="84"/>
  <c r="X31" i="84"/>
  <c r="V31" i="84"/>
  <c r="N31" i="84"/>
  <c r="L31" i="84"/>
  <c r="B31" i="84"/>
  <c r="Z30" i="84"/>
  <c r="X30" i="84"/>
  <c r="N30" i="84"/>
  <c r="L30" i="84"/>
  <c r="J30" i="84"/>
  <c r="B30" i="84"/>
  <c r="Z29" i="84"/>
  <c r="X29" i="84"/>
  <c r="V29" i="84"/>
  <c r="N29" i="84"/>
  <c r="L29" i="84"/>
  <c r="J29" i="84"/>
  <c r="B29" i="84"/>
  <c r="Z28" i="84"/>
  <c r="X28" i="84"/>
  <c r="V28" i="84"/>
  <c r="N28" i="84"/>
  <c r="L28" i="84"/>
  <c r="B28" i="84"/>
  <c r="Z27" i="84"/>
  <c r="X27" i="84"/>
  <c r="V27" i="84"/>
  <c r="N27" i="84"/>
  <c r="L27" i="84"/>
  <c r="B27" i="84"/>
  <c r="Z26" i="84"/>
  <c r="X26" i="84"/>
  <c r="N26" i="84"/>
  <c r="L26" i="84"/>
  <c r="J26" i="84"/>
  <c r="B26" i="84"/>
  <c r="Z25" i="84"/>
  <c r="X25" i="84"/>
  <c r="V25" i="84"/>
  <c r="N25" i="84"/>
  <c r="L25" i="84"/>
  <c r="J25" i="84"/>
  <c r="B25" i="84"/>
  <c r="Z24" i="84"/>
  <c r="V24" i="84"/>
  <c r="T24" i="84"/>
  <c r="P24" i="84"/>
  <c r="X24" i="84" s="1"/>
  <c r="H24" i="84"/>
  <c r="N24" i="84" s="1"/>
  <c r="D24" i="84"/>
  <c r="B24" i="84"/>
  <c r="T23" i="84"/>
  <c r="P23" i="84"/>
  <c r="J23" i="84"/>
  <c r="H23" i="84"/>
  <c r="D23" i="84"/>
  <c r="J21" i="84"/>
  <c r="Z19" i="84"/>
  <c r="X19" i="84"/>
  <c r="N19" i="84"/>
  <c r="L19" i="84"/>
  <c r="J19" i="84"/>
  <c r="B19" i="84"/>
  <c r="Z18" i="84"/>
  <c r="X18" i="84"/>
  <c r="V18" i="84"/>
  <c r="N18" i="84"/>
  <c r="L18" i="84"/>
  <c r="B18" i="84"/>
  <c r="Z17" i="84"/>
  <c r="V17" i="84"/>
  <c r="T17" i="84"/>
  <c r="T21" i="84" s="1"/>
  <c r="Z21" i="84" s="1"/>
  <c r="P17" i="84"/>
  <c r="X17" i="84" s="1"/>
  <c r="N17" i="84"/>
  <c r="L17" i="84"/>
  <c r="H17" i="84"/>
  <c r="D17" i="84"/>
  <c r="Z15" i="84"/>
  <c r="P15" i="84"/>
  <c r="X15" i="84" s="1"/>
  <c r="N15" i="84"/>
  <c r="L15" i="84"/>
  <c r="D15" i="84"/>
  <c r="B15" i="84"/>
  <c r="Z14" i="84"/>
  <c r="P14" i="84"/>
  <c r="X14" i="84" s="1"/>
  <c r="N14" i="84"/>
  <c r="D14" i="84"/>
  <c r="L14" i="84" s="1"/>
  <c r="B14" i="84"/>
  <c r="Z13" i="84"/>
  <c r="P13" i="84"/>
  <c r="N13" i="84"/>
  <c r="L13" i="84"/>
  <c r="D13" i="84"/>
  <c r="B13" i="84"/>
  <c r="Z12" i="84"/>
  <c r="T12" i="84"/>
  <c r="V86" i="84" s="1"/>
  <c r="L12" i="84"/>
  <c r="H12" i="84"/>
  <c r="J75" i="84" s="1"/>
  <c r="D12" i="84"/>
  <c r="D6" i="84"/>
  <c r="D4" i="84"/>
  <c r="Z82" i="83"/>
  <c r="X82" i="83"/>
  <c r="N82" i="83"/>
  <c r="L82" i="83"/>
  <c r="X78" i="83"/>
  <c r="T78" i="83"/>
  <c r="Z78" i="83" s="1"/>
  <c r="P78" i="83"/>
  <c r="H78" i="83"/>
  <c r="N78" i="83" s="1"/>
  <c r="D78" i="83"/>
  <c r="L78" i="83" s="1"/>
  <c r="Z76" i="83"/>
  <c r="X76" i="83"/>
  <c r="N76" i="83"/>
  <c r="L76" i="83"/>
  <c r="B76" i="83"/>
  <c r="Z75" i="83"/>
  <c r="T75" i="83"/>
  <c r="P75" i="83"/>
  <c r="X75" i="83" s="1"/>
  <c r="N75" i="83"/>
  <c r="L75" i="83"/>
  <c r="H75" i="83"/>
  <c r="D75" i="83"/>
  <c r="B75" i="83"/>
  <c r="Z74" i="83"/>
  <c r="X74" i="83"/>
  <c r="N74" i="83"/>
  <c r="L74" i="83"/>
  <c r="B74" i="83"/>
  <c r="Z73" i="83"/>
  <c r="X73" i="83"/>
  <c r="N73" i="83"/>
  <c r="L73" i="83"/>
  <c r="B73" i="83"/>
  <c r="T72" i="83"/>
  <c r="Z72" i="83" s="1"/>
  <c r="P72" i="83"/>
  <c r="X72" i="83" s="1"/>
  <c r="L72" i="83"/>
  <c r="H72" i="83"/>
  <c r="N72" i="83" s="1"/>
  <c r="D72" i="83"/>
  <c r="B72" i="83"/>
  <c r="Z71" i="83"/>
  <c r="X71" i="83"/>
  <c r="N71" i="83"/>
  <c r="L71" i="83"/>
  <c r="B71" i="83"/>
  <c r="Z70" i="83"/>
  <c r="X70" i="83"/>
  <c r="N70" i="83"/>
  <c r="L70" i="83"/>
  <c r="B70" i="83"/>
  <c r="Z69" i="83"/>
  <c r="X69" i="83"/>
  <c r="V69" i="83"/>
  <c r="N69" i="83"/>
  <c r="L69" i="83"/>
  <c r="B69" i="83"/>
  <c r="Z68" i="83"/>
  <c r="X68" i="83"/>
  <c r="N68" i="83"/>
  <c r="L68" i="83"/>
  <c r="J68" i="83"/>
  <c r="B68" i="83"/>
  <c r="Z67" i="83"/>
  <c r="X67" i="83"/>
  <c r="N67" i="83"/>
  <c r="L67" i="83"/>
  <c r="B67" i="83"/>
  <c r="Z66" i="83"/>
  <c r="X66" i="83"/>
  <c r="N66" i="83"/>
  <c r="L66" i="83"/>
  <c r="B66" i="83"/>
  <c r="Z65" i="83"/>
  <c r="X65" i="83"/>
  <c r="N65" i="83"/>
  <c r="L65" i="83"/>
  <c r="B65" i="83"/>
  <c r="Z64" i="83"/>
  <c r="X64" i="83"/>
  <c r="N64" i="83"/>
  <c r="L64" i="83"/>
  <c r="J64" i="83"/>
  <c r="B64" i="83"/>
  <c r="T63" i="83"/>
  <c r="Z63" i="83" s="1"/>
  <c r="P63" i="83"/>
  <c r="X63" i="83" s="1"/>
  <c r="J63" i="83"/>
  <c r="H63" i="83"/>
  <c r="N63" i="83" s="1"/>
  <c r="D63" i="83"/>
  <c r="B63" i="83"/>
  <c r="Z62" i="83"/>
  <c r="X62" i="83"/>
  <c r="N62" i="83"/>
  <c r="L62" i="83"/>
  <c r="B62" i="83"/>
  <c r="Z61" i="83"/>
  <c r="X61" i="83"/>
  <c r="N61" i="83"/>
  <c r="L61" i="83"/>
  <c r="B61" i="83"/>
  <c r="X60" i="83"/>
  <c r="V60" i="83"/>
  <c r="T60" i="83"/>
  <c r="Z60" i="83" s="1"/>
  <c r="P60" i="83"/>
  <c r="H60" i="83"/>
  <c r="N60" i="83" s="1"/>
  <c r="D60" i="83"/>
  <c r="L60" i="83" s="1"/>
  <c r="B60" i="83"/>
  <c r="Z59" i="83"/>
  <c r="X59" i="83"/>
  <c r="N59" i="83"/>
  <c r="L59" i="83"/>
  <c r="B59" i="83"/>
  <c r="Z58" i="83"/>
  <c r="X58" i="83"/>
  <c r="N58" i="83"/>
  <c r="L58" i="83"/>
  <c r="B58" i="83"/>
  <c r="Z57" i="83"/>
  <c r="X57" i="83"/>
  <c r="N57" i="83"/>
  <c r="L57" i="83"/>
  <c r="B57" i="83"/>
  <c r="Z56" i="83"/>
  <c r="X56" i="83"/>
  <c r="N56" i="83"/>
  <c r="L56" i="83"/>
  <c r="B56" i="83"/>
  <c r="Z55" i="83"/>
  <c r="X55" i="83"/>
  <c r="T55" i="83"/>
  <c r="P55" i="83"/>
  <c r="N55" i="83"/>
  <c r="H55" i="83"/>
  <c r="D55" i="83"/>
  <c r="L55" i="83" s="1"/>
  <c r="B55" i="83"/>
  <c r="Z54" i="83"/>
  <c r="X54" i="83"/>
  <c r="N54" i="83"/>
  <c r="L54" i="83"/>
  <c r="B54" i="83"/>
  <c r="T53" i="83"/>
  <c r="Z53" i="83" s="1"/>
  <c r="P53" i="83"/>
  <c r="H53" i="83"/>
  <c r="N53" i="83" s="1"/>
  <c r="D53" i="83"/>
  <c r="L53" i="83" s="1"/>
  <c r="B53" i="83"/>
  <c r="Z52" i="83"/>
  <c r="X52" i="83"/>
  <c r="N52" i="83"/>
  <c r="L52" i="83"/>
  <c r="B52" i="83"/>
  <c r="Z51" i="83"/>
  <c r="T51" i="83"/>
  <c r="P51" i="83"/>
  <c r="X51" i="83" s="1"/>
  <c r="N51" i="83"/>
  <c r="L51" i="83"/>
  <c r="H51" i="83"/>
  <c r="D51" i="83"/>
  <c r="B51" i="83"/>
  <c r="X50" i="83"/>
  <c r="Z50" i="83" s="1"/>
  <c r="N50" i="83"/>
  <c r="L50" i="83"/>
  <c r="B50" i="83"/>
  <c r="T49" i="83"/>
  <c r="R49" i="83"/>
  <c r="P49" i="83"/>
  <c r="X49" i="83" s="1"/>
  <c r="Z49" i="83" s="1"/>
  <c r="N49" i="83"/>
  <c r="L49" i="83"/>
  <c r="H49" i="83"/>
  <c r="D49" i="83"/>
  <c r="B49" i="83"/>
  <c r="Z48" i="83"/>
  <c r="X48" i="83"/>
  <c r="N48" i="83"/>
  <c r="L48" i="83"/>
  <c r="J48" i="83"/>
  <c r="B48" i="83"/>
  <c r="T47" i="83"/>
  <c r="Z47" i="83" s="1"/>
  <c r="P47" i="83"/>
  <c r="X47" i="83" s="1"/>
  <c r="N47" i="83"/>
  <c r="H47" i="83"/>
  <c r="D47" i="83"/>
  <c r="L47" i="83" s="1"/>
  <c r="B47" i="83"/>
  <c r="Z46" i="83"/>
  <c r="X46" i="83"/>
  <c r="N46" i="83"/>
  <c r="L46" i="83"/>
  <c r="B46" i="83"/>
  <c r="Z45" i="83"/>
  <c r="X45" i="83"/>
  <c r="T45" i="83"/>
  <c r="R45" i="83"/>
  <c r="P45" i="83"/>
  <c r="N45" i="83"/>
  <c r="H45" i="83"/>
  <c r="D45" i="83"/>
  <c r="L45" i="83" s="1"/>
  <c r="B45" i="83"/>
  <c r="Z44" i="83"/>
  <c r="X44" i="83"/>
  <c r="N44" i="83"/>
  <c r="L44" i="83"/>
  <c r="B44" i="83"/>
  <c r="Z43" i="83"/>
  <c r="X43" i="83"/>
  <c r="T43" i="83"/>
  <c r="P43" i="83"/>
  <c r="N43" i="83"/>
  <c r="H43" i="83"/>
  <c r="D43" i="83"/>
  <c r="L43" i="83" s="1"/>
  <c r="B43" i="83"/>
  <c r="Z42" i="83"/>
  <c r="X42" i="83"/>
  <c r="N42" i="83"/>
  <c r="L42" i="83"/>
  <c r="B42" i="83"/>
  <c r="Z41" i="83"/>
  <c r="X41" i="83"/>
  <c r="N41" i="83"/>
  <c r="L41" i="83"/>
  <c r="B41" i="83"/>
  <c r="Z40" i="83"/>
  <c r="X40" i="83"/>
  <c r="N40" i="83"/>
  <c r="L40" i="83"/>
  <c r="J40" i="83"/>
  <c r="B40" i="83"/>
  <c r="Z39" i="83"/>
  <c r="X39" i="83"/>
  <c r="N39" i="83"/>
  <c r="L39" i="83"/>
  <c r="B39" i="83"/>
  <c r="Z38" i="83"/>
  <c r="X38" i="83"/>
  <c r="V38" i="83"/>
  <c r="N38" i="83"/>
  <c r="L38" i="83"/>
  <c r="B38" i="83"/>
  <c r="Z37" i="83"/>
  <c r="X37" i="83"/>
  <c r="N37" i="83"/>
  <c r="L37" i="83"/>
  <c r="B37" i="83"/>
  <c r="Z36" i="83"/>
  <c r="X36" i="83"/>
  <c r="N36" i="83"/>
  <c r="L36" i="83"/>
  <c r="J36" i="83"/>
  <c r="B36" i="83"/>
  <c r="Z35" i="83"/>
  <c r="X35" i="83"/>
  <c r="N35" i="83"/>
  <c r="L35" i="83"/>
  <c r="B35" i="83"/>
  <c r="Z34" i="83"/>
  <c r="X34" i="83"/>
  <c r="N34" i="83"/>
  <c r="L34" i="83"/>
  <c r="B34" i="83"/>
  <c r="Z33" i="83"/>
  <c r="X33" i="83"/>
  <c r="N33" i="83"/>
  <c r="L33" i="83"/>
  <c r="B33" i="83"/>
  <c r="T32" i="83"/>
  <c r="Z32" i="83" s="1"/>
  <c r="P32" i="83"/>
  <c r="X32" i="83" s="1"/>
  <c r="N32" i="83"/>
  <c r="H32" i="83"/>
  <c r="D32" i="83"/>
  <c r="L32" i="83" s="1"/>
  <c r="B32" i="83"/>
  <c r="Z31" i="83"/>
  <c r="X31" i="83"/>
  <c r="N31" i="83"/>
  <c r="L31" i="83"/>
  <c r="B31" i="83"/>
  <c r="Z30" i="83"/>
  <c r="X30" i="83"/>
  <c r="N30" i="83"/>
  <c r="L30" i="83"/>
  <c r="J30" i="83"/>
  <c r="B30" i="83"/>
  <c r="Z29" i="83"/>
  <c r="X29" i="83"/>
  <c r="N29" i="83"/>
  <c r="L29" i="83"/>
  <c r="J29" i="83"/>
  <c r="B29" i="83"/>
  <c r="Z28" i="83"/>
  <c r="X28" i="83"/>
  <c r="N28" i="83"/>
  <c r="L28" i="83"/>
  <c r="B28" i="83"/>
  <c r="Z27" i="83"/>
  <c r="X27" i="83"/>
  <c r="N27" i="83"/>
  <c r="L27" i="83"/>
  <c r="J27" i="83"/>
  <c r="B27" i="83"/>
  <c r="Z26" i="83"/>
  <c r="X26" i="83"/>
  <c r="R26" i="83"/>
  <c r="N26" i="83"/>
  <c r="L26" i="83"/>
  <c r="B26" i="83"/>
  <c r="Z25" i="83"/>
  <c r="X25" i="83"/>
  <c r="N25" i="83"/>
  <c r="L25" i="83"/>
  <c r="J25" i="83"/>
  <c r="B25" i="83"/>
  <c r="Z24" i="83"/>
  <c r="X24" i="83"/>
  <c r="N24" i="83"/>
  <c r="L24" i="83"/>
  <c r="B24" i="83"/>
  <c r="Z23" i="83"/>
  <c r="X23" i="83"/>
  <c r="N23" i="83"/>
  <c r="L23" i="83"/>
  <c r="J23" i="83"/>
  <c r="B23" i="83"/>
  <c r="X22" i="83"/>
  <c r="T22" i="83"/>
  <c r="Z22" i="83" s="1"/>
  <c r="P22" i="83"/>
  <c r="H22" i="83"/>
  <c r="N22" i="83" s="1"/>
  <c r="D22" i="83"/>
  <c r="B22" i="83"/>
  <c r="V21" i="83"/>
  <c r="T21" i="83"/>
  <c r="P21" i="83"/>
  <c r="J21" i="83"/>
  <c r="H21" i="83"/>
  <c r="D21" i="83"/>
  <c r="V19" i="83"/>
  <c r="J19" i="83"/>
  <c r="Z17" i="83"/>
  <c r="X17" i="83"/>
  <c r="V17" i="83"/>
  <c r="N17" i="83"/>
  <c r="L17" i="83"/>
  <c r="J17" i="83"/>
  <c r="B17" i="83"/>
  <c r="T16" i="83"/>
  <c r="Z16" i="83" s="1"/>
  <c r="P16" i="83"/>
  <c r="H16" i="83"/>
  <c r="N16" i="83" s="1"/>
  <c r="D16" i="83"/>
  <c r="L16" i="83" s="1"/>
  <c r="Z14" i="83"/>
  <c r="P14" i="83"/>
  <c r="X14" i="83" s="1"/>
  <c r="N14" i="83"/>
  <c r="D14" i="83"/>
  <c r="B14" i="83"/>
  <c r="Z13" i="83"/>
  <c r="P13" i="83"/>
  <c r="X13" i="83" s="1"/>
  <c r="N13" i="83"/>
  <c r="L13" i="83"/>
  <c r="D13" i="83"/>
  <c r="B13" i="83"/>
  <c r="T12" i="83"/>
  <c r="P12" i="83"/>
  <c r="N12" i="83"/>
  <c r="H12" i="83"/>
  <c r="J67" i="83" s="1"/>
  <c r="D6" i="83"/>
  <c r="D4" i="83"/>
  <c r="Z80" i="82"/>
  <c r="X80" i="82"/>
  <c r="R80" i="82"/>
  <c r="N80" i="82"/>
  <c r="L80" i="82"/>
  <c r="T76" i="82"/>
  <c r="Z76" i="82" s="1"/>
  <c r="P76" i="82"/>
  <c r="H76" i="82"/>
  <c r="D76" i="82"/>
  <c r="Z74" i="82"/>
  <c r="X74" i="82"/>
  <c r="N74" i="82"/>
  <c r="L74" i="82"/>
  <c r="F74" i="82"/>
  <c r="B74" i="82"/>
  <c r="Z73" i="82"/>
  <c r="T73" i="82"/>
  <c r="X73" i="82" s="1"/>
  <c r="P73" i="82"/>
  <c r="N73" i="82"/>
  <c r="H73" i="82"/>
  <c r="F73" i="82"/>
  <c r="D73" i="82"/>
  <c r="L73" i="82" s="1"/>
  <c r="B73" i="82"/>
  <c r="Z72" i="82"/>
  <c r="X72" i="82"/>
  <c r="N72" i="82"/>
  <c r="L72" i="82"/>
  <c r="B72" i="82"/>
  <c r="Z71" i="82"/>
  <c r="X71" i="82"/>
  <c r="V71" i="82"/>
  <c r="N71" i="82"/>
  <c r="L71" i="82"/>
  <c r="B71" i="82"/>
  <c r="T70" i="82"/>
  <c r="Z70" i="82" s="1"/>
  <c r="P70" i="82"/>
  <c r="X70" i="82" s="1"/>
  <c r="H70" i="82"/>
  <c r="N70" i="82" s="1"/>
  <c r="D70" i="82"/>
  <c r="L70" i="82" s="1"/>
  <c r="B70" i="82"/>
  <c r="Z69" i="82"/>
  <c r="X69" i="82"/>
  <c r="V69" i="82"/>
  <c r="N69" i="82"/>
  <c r="L69" i="82"/>
  <c r="B69" i="82"/>
  <c r="Z68" i="82"/>
  <c r="X68" i="82"/>
  <c r="N68" i="82"/>
  <c r="L68" i="82"/>
  <c r="F68" i="82"/>
  <c r="B68" i="82"/>
  <c r="Z67" i="82"/>
  <c r="X67" i="82"/>
  <c r="N67" i="82"/>
  <c r="L67" i="82"/>
  <c r="B67" i="82"/>
  <c r="Z66" i="82"/>
  <c r="X66" i="82"/>
  <c r="N66" i="82"/>
  <c r="L66" i="82"/>
  <c r="B66" i="82"/>
  <c r="Z65" i="82"/>
  <c r="X65" i="82"/>
  <c r="V65" i="82"/>
  <c r="N65" i="82"/>
  <c r="L65" i="82"/>
  <c r="B65" i="82"/>
  <c r="T64" i="82"/>
  <c r="Z64" i="82" s="1"/>
  <c r="P64" i="82"/>
  <c r="X64" i="82" s="1"/>
  <c r="N64" i="82"/>
  <c r="L64" i="82"/>
  <c r="H64" i="82"/>
  <c r="D64" i="82"/>
  <c r="B64" i="82"/>
  <c r="Z63" i="82"/>
  <c r="X63" i="82"/>
  <c r="N63" i="82"/>
  <c r="L63" i="82"/>
  <c r="J63" i="82"/>
  <c r="B63" i="82"/>
  <c r="Z62" i="82"/>
  <c r="X62" i="82"/>
  <c r="N62" i="82"/>
  <c r="L62" i="82"/>
  <c r="F62" i="82"/>
  <c r="B62" i="82"/>
  <c r="Z61" i="82"/>
  <c r="X61" i="82"/>
  <c r="N61" i="82"/>
  <c r="L61" i="82"/>
  <c r="J61" i="82"/>
  <c r="B61" i="82"/>
  <c r="Z60" i="82"/>
  <c r="X60" i="82"/>
  <c r="N60" i="82"/>
  <c r="L60" i="82"/>
  <c r="B60" i="82"/>
  <c r="Z59" i="82"/>
  <c r="T59" i="82"/>
  <c r="R59" i="82"/>
  <c r="P59" i="82"/>
  <c r="X59" i="82" s="1"/>
  <c r="N59" i="82"/>
  <c r="L59" i="82"/>
  <c r="H59" i="82"/>
  <c r="D59" i="82"/>
  <c r="B59" i="82"/>
  <c r="Z58" i="82"/>
  <c r="X58" i="82"/>
  <c r="N58" i="82"/>
  <c r="L58" i="82"/>
  <c r="B58" i="82"/>
  <c r="Z57" i="82"/>
  <c r="T57" i="82"/>
  <c r="P57" i="82"/>
  <c r="X57" i="82" s="1"/>
  <c r="N57" i="82"/>
  <c r="L57" i="82"/>
  <c r="J57" i="82"/>
  <c r="H57" i="82"/>
  <c r="D57" i="82"/>
  <c r="B57" i="82"/>
  <c r="Z56" i="82"/>
  <c r="X56" i="82"/>
  <c r="N56" i="82"/>
  <c r="L56" i="82"/>
  <c r="F56" i="82"/>
  <c r="B56" i="82"/>
  <c r="Z55" i="82"/>
  <c r="X55" i="82"/>
  <c r="N55" i="82"/>
  <c r="L55" i="82"/>
  <c r="B55" i="82"/>
  <c r="Z54" i="82"/>
  <c r="X54" i="82"/>
  <c r="T54" i="82"/>
  <c r="P54" i="82"/>
  <c r="H54" i="82"/>
  <c r="N54" i="82" s="1"/>
  <c r="D54" i="82"/>
  <c r="L54" i="82" s="1"/>
  <c r="B54" i="82"/>
  <c r="Z53" i="82"/>
  <c r="X53" i="82"/>
  <c r="N53" i="82"/>
  <c r="L53" i="82"/>
  <c r="J53" i="82"/>
  <c r="B53" i="82"/>
  <c r="T52" i="82"/>
  <c r="Z52" i="82" s="1"/>
  <c r="P52" i="82"/>
  <c r="H52" i="82"/>
  <c r="N52" i="82" s="1"/>
  <c r="D52" i="82"/>
  <c r="B52" i="82"/>
  <c r="Z51" i="82"/>
  <c r="X51" i="82"/>
  <c r="V51" i="82"/>
  <c r="N51" i="82"/>
  <c r="L51" i="82"/>
  <c r="J51" i="82"/>
  <c r="B51" i="82"/>
  <c r="T50" i="82"/>
  <c r="Z50" i="82" s="1"/>
  <c r="P50" i="82"/>
  <c r="H50" i="82"/>
  <c r="N50" i="82" s="1"/>
  <c r="D50" i="82"/>
  <c r="L50" i="82" s="1"/>
  <c r="B50" i="82"/>
  <c r="Z49" i="82"/>
  <c r="X49" i="82"/>
  <c r="V49" i="82"/>
  <c r="N49" i="82"/>
  <c r="L49" i="82"/>
  <c r="B49" i="82"/>
  <c r="T48" i="82"/>
  <c r="Z48" i="82" s="1"/>
  <c r="P48" i="82"/>
  <c r="X48" i="82" s="1"/>
  <c r="N48" i="82"/>
  <c r="L48" i="82"/>
  <c r="H48" i="82"/>
  <c r="D48" i="82"/>
  <c r="B48" i="82"/>
  <c r="Z47" i="82"/>
  <c r="X47" i="82"/>
  <c r="N47" i="82"/>
  <c r="L47" i="82"/>
  <c r="J47" i="82"/>
  <c r="B47" i="82"/>
  <c r="X46" i="82"/>
  <c r="Z46" i="82" s="1"/>
  <c r="N46" i="82"/>
  <c r="L46" i="82"/>
  <c r="F46" i="82"/>
  <c r="B46" i="82"/>
  <c r="Z45" i="82"/>
  <c r="T45" i="82"/>
  <c r="P45" i="82"/>
  <c r="X45" i="82" s="1"/>
  <c r="H45" i="82"/>
  <c r="F45" i="82"/>
  <c r="D45" i="82"/>
  <c r="L45" i="82" s="1"/>
  <c r="N45" i="82" s="1"/>
  <c r="B45" i="82"/>
  <c r="Z44" i="82"/>
  <c r="X44" i="82"/>
  <c r="N44" i="82"/>
  <c r="L44" i="82"/>
  <c r="B44" i="82"/>
  <c r="Z43" i="82"/>
  <c r="X43" i="82"/>
  <c r="V43" i="82"/>
  <c r="T43" i="82"/>
  <c r="P43" i="82"/>
  <c r="N43" i="82"/>
  <c r="J43" i="82"/>
  <c r="H43" i="82"/>
  <c r="D43" i="82"/>
  <c r="L43" i="82" s="1"/>
  <c r="B43" i="82"/>
  <c r="Z42" i="82"/>
  <c r="X42" i="82"/>
  <c r="N42" i="82"/>
  <c r="L42" i="82"/>
  <c r="F42" i="82"/>
  <c r="B42" i="82"/>
  <c r="V41" i="82"/>
  <c r="T41" i="82"/>
  <c r="Z41" i="82" s="1"/>
  <c r="R41" i="82"/>
  <c r="P41" i="82"/>
  <c r="N41" i="82"/>
  <c r="J41" i="82"/>
  <c r="H41" i="82"/>
  <c r="F41" i="82"/>
  <c r="D41" i="82"/>
  <c r="L41" i="82" s="1"/>
  <c r="B41" i="82"/>
  <c r="Z40" i="82"/>
  <c r="X40" i="82"/>
  <c r="R40" i="82"/>
  <c r="N40" i="82"/>
  <c r="L40" i="82"/>
  <c r="B40" i="82"/>
  <c r="Z39" i="82"/>
  <c r="X39" i="82"/>
  <c r="N39" i="82"/>
  <c r="L39" i="82"/>
  <c r="J39" i="82"/>
  <c r="B39" i="82"/>
  <c r="Z38" i="82"/>
  <c r="X38" i="82"/>
  <c r="N38" i="82"/>
  <c r="L38" i="82"/>
  <c r="F38" i="82"/>
  <c r="B38" i="82"/>
  <c r="Z37" i="82"/>
  <c r="X37" i="82"/>
  <c r="N37" i="82"/>
  <c r="L37" i="82"/>
  <c r="J37" i="82"/>
  <c r="B37" i="82"/>
  <c r="Z36" i="82"/>
  <c r="X36" i="82"/>
  <c r="R36" i="82"/>
  <c r="N36" i="82"/>
  <c r="L36" i="82"/>
  <c r="B36" i="82"/>
  <c r="Z35" i="82"/>
  <c r="X35" i="82"/>
  <c r="N35" i="82"/>
  <c r="L35" i="82"/>
  <c r="J35" i="82"/>
  <c r="B35" i="82"/>
  <c r="Z34" i="82"/>
  <c r="X34" i="82"/>
  <c r="N34" i="82"/>
  <c r="L34" i="82"/>
  <c r="F34" i="82"/>
  <c r="B34" i="82"/>
  <c r="Z33" i="82"/>
  <c r="X33" i="82"/>
  <c r="N33" i="82"/>
  <c r="L33" i="82"/>
  <c r="J33" i="82"/>
  <c r="B33" i="82"/>
  <c r="Z32" i="82"/>
  <c r="X32" i="82"/>
  <c r="R32" i="82"/>
  <c r="N32" i="82"/>
  <c r="L32" i="82"/>
  <c r="B32" i="82"/>
  <c r="Z31" i="82"/>
  <c r="X31" i="82"/>
  <c r="N31" i="82"/>
  <c r="L31" i="82"/>
  <c r="J31" i="82"/>
  <c r="B31" i="82"/>
  <c r="T30" i="82"/>
  <c r="Z30" i="82" s="1"/>
  <c r="P30" i="82"/>
  <c r="J30" i="82"/>
  <c r="H30" i="82"/>
  <c r="N30" i="82" s="1"/>
  <c r="D30" i="82"/>
  <c r="B30" i="82"/>
  <c r="Z29" i="82"/>
  <c r="X29" i="82"/>
  <c r="V29" i="82"/>
  <c r="N29" i="82"/>
  <c r="L29" i="82"/>
  <c r="J29" i="82"/>
  <c r="B29" i="82"/>
  <c r="Z28" i="82"/>
  <c r="X28" i="82"/>
  <c r="N28" i="82"/>
  <c r="L28" i="82"/>
  <c r="B28" i="82"/>
  <c r="Z27" i="82"/>
  <c r="X27" i="82"/>
  <c r="V27" i="82"/>
  <c r="N27" i="82"/>
  <c r="L27" i="82"/>
  <c r="J27" i="82"/>
  <c r="B27" i="82"/>
  <c r="Z26" i="82"/>
  <c r="X26" i="82"/>
  <c r="R26" i="82"/>
  <c r="N26" i="82"/>
  <c r="L26" i="82"/>
  <c r="B26" i="82"/>
  <c r="Z25" i="82"/>
  <c r="X25" i="82"/>
  <c r="V25" i="82"/>
  <c r="N25" i="82"/>
  <c r="L25" i="82"/>
  <c r="J25" i="82"/>
  <c r="B25" i="82"/>
  <c r="Z24" i="82"/>
  <c r="X24" i="82"/>
  <c r="N24" i="82"/>
  <c r="L24" i="82"/>
  <c r="B24" i="82"/>
  <c r="Z23" i="82"/>
  <c r="X23" i="82"/>
  <c r="V23" i="82"/>
  <c r="N23" i="82"/>
  <c r="L23" i="82"/>
  <c r="J23" i="82"/>
  <c r="B23" i="82"/>
  <c r="Z22" i="82"/>
  <c r="X22" i="82"/>
  <c r="R22" i="82"/>
  <c r="N22" i="82"/>
  <c r="L22" i="82"/>
  <c r="B22" i="82"/>
  <c r="Z21" i="82"/>
  <c r="V21" i="82"/>
  <c r="T21" i="82"/>
  <c r="P21" i="82"/>
  <c r="X21" i="82" s="1"/>
  <c r="N21" i="82"/>
  <c r="L21" i="82"/>
  <c r="J21" i="82"/>
  <c r="H21" i="82"/>
  <c r="D21" i="82"/>
  <c r="B21" i="82"/>
  <c r="T20" i="82"/>
  <c r="P20" i="82"/>
  <c r="H20" i="82"/>
  <c r="D20" i="82"/>
  <c r="L20" i="82" s="1"/>
  <c r="N20" i="82" s="1"/>
  <c r="P18" i="82"/>
  <c r="Z16" i="82"/>
  <c r="X16" i="82"/>
  <c r="N16" i="82"/>
  <c r="L16" i="82"/>
  <c r="J16" i="82"/>
  <c r="F16" i="82"/>
  <c r="B16" i="82"/>
  <c r="Z15" i="82"/>
  <c r="T15" i="82"/>
  <c r="X15" i="82" s="1"/>
  <c r="R15" i="82"/>
  <c r="P15" i="82"/>
  <c r="J15" i="82"/>
  <c r="H15" i="82"/>
  <c r="H18" i="82" s="1"/>
  <c r="N18" i="82" s="1"/>
  <c r="F15" i="82"/>
  <c r="D15" i="82"/>
  <c r="Z13" i="82"/>
  <c r="P13" i="82"/>
  <c r="X13" i="82" s="1"/>
  <c r="N13" i="82"/>
  <c r="L13" i="82"/>
  <c r="D13" i="82"/>
  <c r="B13" i="82"/>
  <c r="X12" i="82"/>
  <c r="T12" i="82"/>
  <c r="V66" i="82" s="1"/>
  <c r="P12" i="82"/>
  <c r="H12" i="82"/>
  <c r="J80" i="82" s="1"/>
  <c r="D12" i="82"/>
  <c r="F78" i="82" s="1"/>
  <c r="D6" i="82"/>
  <c r="D4" i="82"/>
  <c r="Z89" i="81"/>
  <c r="X89" i="81"/>
  <c r="N89" i="81"/>
  <c r="L89" i="81"/>
  <c r="Z85" i="81"/>
  <c r="X85" i="81"/>
  <c r="P85" i="81"/>
  <c r="N85" i="81"/>
  <c r="D85" i="81"/>
  <c r="L85" i="81" s="1"/>
  <c r="B85" i="81"/>
  <c r="Z84" i="81"/>
  <c r="P84" i="81"/>
  <c r="X84" i="81" s="1"/>
  <c r="N84" i="81"/>
  <c r="F84" i="81"/>
  <c r="D84" i="81"/>
  <c r="L84" i="81" s="1"/>
  <c r="B84" i="81"/>
  <c r="T83" i="81"/>
  <c r="Z83" i="81" s="1"/>
  <c r="P83" i="81"/>
  <c r="X83" i="81" s="1"/>
  <c r="H83" i="81"/>
  <c r="N83" i="81" s="1"/>
  <c r="X81" i="81"/>
  <c r="Z81" i="81" s="1"/>
  <c r="L81" i="81"/>
  <c r="N81" i="81" s="1"/>
  <c r="B81" i="81"/>
  <c r="Z80" i="81"/>
  <c r="X80" i="81"/>
  <c r="V80" i="81"/>
  <c r="T80" i="81"/>
  <c r="P80" i="81"/>
  <c r="N80" i="81"/>
  <c r="L80" i="81"/>
  <c r="H80" i="81"/>
  <c r="D80" i="81"/>
  <c r="B80" i="81"/>
  <c r="Z79" i="81"/>
  <c r="X79" i="81"/>
  <c r="N79" i="81"/>
  <c r="L79" i="81"/>
  <c r="F79" i="81"/>
  <c r="B79" i="81"/>
  <c r="T78" i="81"/>
  <c r="Z78" i="81" s="1"/>
  <c r="P78" i="81"/>
  <c r="N78" i="81"/>
  <c r="H78" i="81"/>
  <c r="L78" i="81" s="1"/>
  <c r="F78" i="81"/>
  <c r="D78" i="81"/>
  <c r="B78" i="81"/>
  <c r="X77" i="81"/>
  <c r="Z77" i="81" s="1"/>
  <c r="L77" i="81"/>
  <c r="N77" i="81" s="1"/>
  <c r="B77" i="81"/>
  <c r="Z76" i="81"/>
  <c r="T76" i="81"/>
  <c r="P76" i="81"/>
  <c r="X76" i="81" s="1"/>
  <c r="N76" i="81"/>
  <c r="H76" i="81"/>
  <c r="D76" i="81"/>
  <c r="L76" i="81" s="1"/>
  <c r="B76" i="81"/>
  <c r="Z75" i="81"/>
  <c r="X75" i="81"/>
  <c r="N75" i="81"/>
  <c r="L75" i="81"/>
  <c r="B75" i="81"/>
  <c r="Z74" i="81"/>
  <c r="X74" i="81"/>
  <c r="V74" i="81"/>
  <c r="N74" i="81"/>
  <c r="L74" i="81"/>
  <c r="B74" i="81"/>
  <c r="Z73" i="81"/>
  <c r="X73" i="81"/>
  <c r="N73" i="81"/>
  <c r="L73" i="81"/>
  <c r="B73" i="81"/>
  <c r="Z72" i="81"/>
  <c r="X72" i="81"/>
  <c r="V72" i="81"/>
  <c r="N72" i="81"/>
  <c r="L72" i="81"/>
  <c r="B72" i="81"/>
  <c r="Z71" i="81"/>
  <c r="X71" i="81"/>
  <c r="N71" i="81"/>
  <c r="L71" i="81"/>
  <c r="B71" i="81"/>
  <c r="Z70" i="81"/>
  <c r="X70" i="81"/>
  <c r="V70" i="81"/>
  <c r="N70" i="81"/>
  <c r="L70" i="81"/>
  <c r="B70" i="81"/>
  <c r="Z69" i="81"/>
  <c r="X69" i="81"/>
  <c r="N69" i="81"/>
  <c r="L69" i="81"/>
  <c r="B69" i="81"/>
  <c r="Z68" i="81"/>
  <c r="X68" i="81"/>
  <c r="V68" i="81"/>
  <c r="T68" i="81"/>
  <c r="P68" i="81"/>
  <c r="N68" i="81"/>
  <c r="L68" i="81"/>
  <c r="H68" i="81"/>
  <c r="D68" i="81"/>
  <c r="B68" i="81"/>
  <c r="Z67" i="81"/>
  <c r="X67" i="81"/>
  <c r="N67" i="81"/>
  <c r="L67" i="81"/>
  <c r="F67" i="81"/>
  <c r="B67" i="81"/>
  <c r="Z66" i="81"/>
  <c r="X66" i="81"/>
  <c r="N66" i="81"/>
  <c r="L66" i="81"/>
  <c r="B66" i="81"/>
  <c r="X65" i="81"/>
  <c r="T65" i="81"/>
  <c r="P65" i="81"/>
  <c r="N65" i="81"/>
  <c r="L65" i="81"/>
  <c r="H65" i="81"/>
  <c r="D65" i="81"/>
  <c r="B65" i="81"/>
  <c r="Z64" i="81"/>
  <c r="X64" i="81"/>
  <c r="N64" i="81"/>
  <c r="L64" i="81"/>
  <c r="B64" i="81"/>
  <c r="X63" i="81"/>
  <c r="Z63" i="81" s="1"/>
  <c r="L63" i="81"/>
  <c r="N63" i="81" s="1"/>
  <c r="F63" i="81"/>
  <c r="B63" i="81"/>
  <c r="Z62" i="81"/>
  <c r="X62" i="81"/>
  <c r="N62" i="81"/>
  <c r="L62" i="81"/>
  <c r="B62" i="81"/>
  <c r="X61" i="81"/>
  <c r="Z61" i="81" s="1"/>
  <c r="L61" i="81"/>
  <c r="N61" i="81" s="1"/>
  <c r="B61" i="81"/>
  <c r="T60" i="81"/>
  <c r="R60" i="81"/>
  <c r="P60" i="81"/>
  <c r="X60" i="81" s="1"/>
  <c r="Z60" i="81" s="1"/>
  <c r="N60" i="81"/>
  <c r="H60" i="81"/>
  <c r="D60" i="81"/>
  <c r="L60" i="81" s="1"/>
  <c r="B60" i="81"/>
  <c r="Z59" i="81"/>
  <c r="X59" i="81"/>
  <c r="N59" i="81"/>
  <c r="L59" i="81"/>
  <c r="B59" i="81"/>
  <c r="Z58" i="81"/>
  <c r="X58" i="81"/>
  <c r="V58" i="81"/>
  <c r="N58" i="81"/>
  <c r="L58" i="81"/>
  <c r="F58" i="81"/>
  <c r="B58" i="81"/>
  <c r="Z57" i="81"/>
  <c r="X57" i="81"/>
  <c r="N57" i="81"/>
  <c r="L57" i="81"/>
  <c r="B57" i="81"/>
  <c r="Z56" i="81"/>
  <c r="X56" i="81"/>
  <c r="N56" i="81"/>
  <c r="L56" i="81"/>
  <c r="B56" i="81"/>
  <c r="T55" i="81"/>
  <c r="Z55" i="81" s="1"/>
  <c r="P55" i="81"/>
  <c r="X55" i="81" s="1"/>
  <c r="H55" i="81"/>
  <c r="N55" i="81" s="1"/>
  <c r="D55" i="81"/>
  <c r="L55" i="81" s="1"/>
  <c r="B55" i="81"/>
  <c r="Z54" i="81"/>
  <c r="X54" i="81"/>
  <c r="V54" i="81"/>
  <c r="N54" i="81"/>
  <c r="L54" i="81"/>
  <c r="B54" i="81"/>
  <c r="T53" i="81"/>
  <c r="P53" i="81"/>
  <c r="X53" i="81" s="1"/>
  <c r="L53" i="81"/>
  <c r="N53" i="81" s="1"/>
  <c r="H53" i="81"/>
  <c r="D53" i="81"/>
  <c r="B53" i="81"/>
  <c r="Z52" i="81"/>
  <c r="X52" i="81"/>
  <c r="N52" i="81"/>
  <c r="L52" i="81"/>
  <c r="B52" i="81"/>
  <c r="T51" i="81"/>
  <c r="P51" i="81"/>
  <c r="L51" i="81"/>
  <c r="H51" i="81"/>
  <c r="N51" i="81" s="1"/>
  <c r="D51" i="81"/>
  <c r="B51" i="81"/>
  <c r="Z50" i="81"/>
  <c r="X50" i="81"/>
  <c r="N50" i="81"/>
  <c r="L50" i="81"/>
  <c r="F50" i="81"/>
  <c r="B50" i="81"/>
  <c r="T49" i="81"/>
  <c r="Z49" i="81" s="1"/>
  <c r="P49" i="81"/>
  <c r="X49" i="81" s="1"/>
  <c r="H49" i="81"/>
  <c r="N49" i="81" s="1"/>
  <c r="F49" i="81"/>
  <c r="D49" i="81"/>
  <c r="L49" i="81" s="1"/>
  <c r="B49" i="81"/>
  <c r="Z48" i="81"/>
  <c r="X48" i="81"/>
  <c r="N48" i="81"/>
  <c r="L48" i="81"/>
  <c r="B48" i="81"/>
  <c r="Z47" i="81"/>
  <c r="X47" i="81"/>
  <c r="T47" i="81"/>
  <c r="P47" i="81"/>
  <c r="H47" i="81"/>
  <c r="N47" i="81" s="1"/>
  <c r="D47" i="81"/>
  <c r="L47" i="81" s="1"/>
  <c r="B47" i="81"/>
  <c r="Z46" i="81"/>
  <c r="X46" i="81"/>
  <c r="N46" i="81"/>
  <c r="L46" i="81"/>
  <c r="B46" i="81"/>
  <c r="Z45" i="81"/>
  <c r="X45" i="81"/>
  <c r="V45" i="81"/>
  <c r="N45" i="81"/>
  <c r="L45" i="81"/>
  <c r="F45" i="81"/>
  <c r="B45" i="81"/>
  <c r="T44" i="81"/>
  <c r="P44" i="81"/>
  <c r="X44" i="81" s="1"/>
  <c r="Z44" i="81" s="1"/>
  <c r="H44" i="81"/>
  <c r="F44" i="81"/>
  <c r="D44" i="81"/>
  <c r="L44" i="81" s="1"/>
  <c r="N44" i="81" s="1"/>
  <c r="B44" i="81"/>
  <c r="Z43" i="81"/>
  <c r="X43" i="81"/>
  <c r="N43" i="81"/>
  <c r="L43" i="81"/>
  <c r="B43" i="81"/>
  <c r="Z42" i="81"/>
  <c r="X42" i="81"/>
  <c r="T42" i="81"/>
  <c r="P42" i="81"/>
  <c r="N42" i="81"/>
  <c r="L42" i="81"/>
  <c r="H42" i="81"/>
  <c r="D42" i="81"/>
  <c r="B42" i="81"/>
  <c r="Z41" i="81"/>
  <c r="X41" i="81"/>
  <c r="N41" i="81"/>
  <c r="L41" i="81"/>
  <c r="F41" i="81"/>
  <c r="B41" i="81"/>
  <c r="Z40" i="81"/>
  <c r="T40" i="81"/>
  <c r="X40" i="81" s="1"/>
  <c r="P40" i="81"/>
  <c r="H40" i="81"/>
  <c r="N40" i="81" s="1"/>
  <c r="F40" i="81"/>
  <c r="D40" i="81"/>
  <c r="B40" i="81"/>
  <c r="Z39" i="81"/>
  <c r="X39" i="81"/>
  <c r="R39" i="81"/>
  <c r="N39" i="81"/>
  <c r="L39" i="81"/>
  <c r="F39" i="81"/>
  <c r="B39" i="81"/>
  <c r="Z38" i="81"/>
  <c r="X38" i="81"/>
  <c r="N38" i="81"/>
  <c r="L38" i="81"/>
  <c r="B38" i="81"/>
  <c r="Z37" i="81"/>
  <c r="X37" i="81"/>
  <c r="N37" i="81"/>
  <c r="L37" i="81"/>
  <c r="F37" i="81"/>
  <c r="B37" i="81"/>
  <c r="Z36" i="81"/>
  <c r="X36" i="81"/>
  <c r="N36" i="81"/>
  <c r="L36" i="81"/>
  <c r="B36" i="81"/>
  <c r="Z35" i="81"/>
  <c r="X35" i="81"/>
  <c r="N35" i="81"/>
  <c r="L35" i="81"/>
  <c r="F35" i="81"/>
  <c r="B35" i="81"/>
  <c r="Z34" i="81"/>
  <c r="X34" i="81"/>
  <c r="N34" i="81"/>
  <c r="L34" i="81"/>
  <c r="J34" i="81"/>
  <c r="B34" i="81"/>
  <c r="Z33" i="81"/>
  <c r="X33" i="81"/>
  <c r="N33" i="81"/>
  <c r="L33" i="81"/>
  <c r="F33" i="81"/>
  <c r="B33" i="81"/>
  <c r="Z32" i="81"/>
  <c r="X32" i="81"/>
  <c r="N32" i="81"/>
  <c r="L32" i="81"/>
  <c r="B32" i="81"/>
  <c r="Z31" i="81"/>
  <c r="X31" i="81"/>
  <c r="N31" i="81"/>
  <c r="L31" i="81"/>
  <c r="F31" i="81"/>
  <c r="B31" i="81"/>
  <c r="Z30" i="81"/>
  <c r="X30" i="81"/>
  <c r="N30" i="81"/>
  <c r="L30" i="81"/>
  <c r="B30" i="81"/>
  <c r="V29" i="81"/>
  <c r="T29" i="81"/>
  <c r="Z29" i="81" s="1"/>
  <c r="P29" i="81"/>
  <c r="H29" i="81"/>
  <c r="D29" i="81"/>
  <c r="B29" i="81"/>
  <c r="Z28" i="81"/>
  <c r="X28" i="81"/>
  <c r="V28" i="81"/>
  <c r="N28" i="81"/>
  <c r="L28" i="81"/>
  <c r="B28" i="81"/>
  <c r="Z27" i="81"/>
  <c r="X27" i="81"/>
  <c r="N27" i="81"/>
  <c r="L27" i="81"/>
  <c r="F27" i="81"/>
  <c r="B27" i="81"/>
  <c r="Z26" i="81"/>
  <c r="X26" i="81"/>
  <c r="N26" i="81"/>
  <c r="L26" i="81"/>
  <c r="F26" i="81"/>
  <c r="B26" i="81"/>
  <c r="Z25" i="81"/>
  <c r="X25" i="81"/>
  <c r="N25" i="81"/>
  <c r="L25" i="81"/>
  <c r="B25" i="81"/>
  <c r="Z24" i="81"/>
  <c r="X24" i="81"/>
  <c r="N24" i="81"/>
  <c r="L24" i="81"/>
  <c r="B24" i="81"/>
  <c r="Z23" i="81"/>
  <c r="X23" i="81"/>
  <c r="R23" i="81"/>
  <c r="N23" i="81"/>
  <c r="L23" i="81"/>
  <c r="F23" i="81"/>
  <c r="B23" i="81"/>
  <c r="Z22" i="81"/>
  <c r="X22" i="81"/>
  <c r="N22" i="81"/>
  <c r="L22" i="81"/>
  <c r="F22" i="81"/>
  <c r="B22" i="81"/>
  <c r="Z21" i="81"/>
  <c r="X21" i="81"/>
  <c r="N21" i="81"/>
  <c r="L21" i="81"/>
  <c r="F21" i="81"/>
  <c r="B21" i="81"/>
  <c r="Z20" i="81"/>
  <c r="X20" i="81"/>
  <c r="V20" i="81"/>
  <c r="N20" i="81"/>
  <c r="L20" i="81"/>
  <c r="F20" i="81"/>
  <c r="B20" i="81"/>
  <c r="T19" i="81"/>
  <c r="P19" i="81"/>
  <c r="X19" i="81" s="1"/>
  <c r="H19" i="81"/>
  <c r="F19" i="81"/>
  <c r="D19" i="81"/>
  <c r="B19" i="81"/>
  <c r="T18" i="81"/>
  <c r="P18" i="81"/>
  <c r="H18" i="81"/>
  <c r="F18" i="81"/>
  <c r="D18" i="81"/>
  <c r="V16" i="81"/>
  <c r="F16" i="81"/>
  <c r="T14" i="81"/>
  <c r="Z14" i="81" s="1"/>
  <c r="P14" i="81"/>
  <c r="H14" i="81"/>
  <c r="N14" i="81" s="1"/>
  <c r="F14" i="81"/>
  <c r="D14" i="81"/>
  <c r="T12" i="81"/>
  <c r="V66" i="81" s="1"/>
  <c r="P12" i="81"/>
  <c r="H12" i="81"/>
  <c r="D12" i="81"/>
  <c r="F87" i="81" s="1"/>
  <c r="D6" i="81"/>
  <c r="D4" i="81"/>
  <c r="R36" i="80"/>
  <c r="Z34" i="80"/>
  <c r="X34" i="80"/>
  <c r="N34" i="80"/>
  <c r="L34" i="80"/>
  <c r="J34" i="80"/>
  <c r="V32" i="80"/>
  <c r="R32" i="80"/>
  <c r="Z30" i="80"/>
  <c r="T30" i="80"/>
  <c r="P30" i="80"/>
  <c r="X30" i="80" s="1"/>
  <c r="H30" i="80"/>
  <c r="N30" i="80" s="1"/>
  <c r="D30" i="80"/>
  <c r="Z28" i="80"/>
  <c r="X28" i="80"/>
  <c r="R28" i="80"/>
  <c r="N28" i="80"/>
  <c r="L28" i="80"/>
  <c r="B28" i="80"/>
  <c r="T27" i="80"/>
  <c r="X27" i="80" s="1"/>
  <c r="P27" i="80"/>
  <c r="N27" i="80"/>
  <c r="L27" i="80"/>
  <c r="H27" i="80"/>
  <c r="D27" i="80"/>
  <c r="B27" i="80"/>
  <c r="Z26" i="80"/>
  <c r="X26" i="80"/>
  <c r="N26" i="80"/>
  <c r="L26" i="80"/>
  <c r="J26" i="80"/>
  <c r="B26" i="80"/>
  <c r="X25" i="80"/>
  <c r="T25" i="80"/>
  <c r="Z25" i="80" s="1"/>
  <c r="P25" i="80"/>
  <c r="L25" i="80"/>
  <c r="H25" i="80"/>
  <c r="N25" i="80" s="1"/>
  <c r="D25" i="80"/>
  <c r="B25" i="80"/>
  <c r="Z24" i="80"/>
  <c r="X24" i="80"/>
  <c r="N24" i="80"/>
  <c r="L24" i="80"/>
  <c r="B24" i="80"/>
  <c r="T23" i="80"/>
  <c r="Z23" i="80" s="1"/>
  <c r="P23" i="80"/>
  <c r="L23" i="80"/>
  <c r="H23" i="80"/>
  <c r="N23" i="80" s="1"/>
  <c r="F23" i="80"/>
  <c r="D23" i="80"/>
  <c r="B23" i="80"/>
  <c r="Z22" i="80"/>
  <c r="X22" i="80"/>
  <c r="R22" i="80"/>
  <c r="N22" i="80"/>
  <c r="L22" i="80"/>
  <c r="B22" i="80"/>
  <c r="X21" i="80"/>
  <c r="Z21" i="80" s="1"/>
  <c r="T21" i="80"/>
  <c r="P21" i="80"/>
  <c r="H21" i="80"/>
  <c r="D21" i="80"/>
  <c r="L21" i="80" s="1"/>
  <c r="B21" i="80"/>
  <c r="Z20" i="80"/>
  <c r="X20" i="80"/>
  <c r="N20" i="80"/>
  <c r="L20" i="80"/>
  <c r="J20" i="80"/>
  <c r="B20" i="80"/>
  <c r="X19" i="80"/>
  <c r="T19" i="80"/>
  <c r="Z19" i="80" s="1"/>
  <c r="P19" i="80"/>
  <c r="H19" i="80"/>
  <c r="N19" i="80" s="1"/>
  <c r="D19" i="80"/>
  <c r="L19" i="80" s="1"/>
  <c r="B19" i="80"/>
  <c r="T18" i="80"/>
  <c r="X18" i="80" s="1"/>
  <c r="Z18" i="80" s="1"/>
  <c r="P18" i="80"/>
  <c r="H18" i="80"/>
  <c r="F18" i="80"/>
  <c r="D18" i="80"/>
  <c r="F16" i="80"/>
  <c r="Z14" i="80"/>
  <c r="T14" i="80"/>
  <c r="P14" i="80"/>
  <c r="X14" i="80" s="1"/>
  <c r="N14" i="80"/>
  <c r="L14" i="80"/>
  <c r="H14" i="80"/>
  <c r="F14" i="80"/>
  <c r="D14" i="80"/>
  <c r="Z12" i="80"/>
  <c r="T12" i="80"/>
  <c r="V25" i="80" s="1"/>
  <c r="P12" i="80"/>
  <c r="R18" i="80" s="1"/>
  <c r="H12" i="80"/>
  <c r="J25" i="80" s="1"/>
  <c r="D12" i="80"/>
  <c r="F39" i="80" s="1"/>
  <c r="D6" i="80"/>
  <c r="D4" i="80"/>
  <c r="V98" i="79"/>
  <c r="V95" i="79"/>
  <c r="Z93" i="79"/>
  <c r="X93" i="79"/>
  <c r="V93" i="79"/>
  <c r="N93" i="79"/>
  <c r="L93" i="79"/>
  <c r="Z89" i="79"/>
  <c r="T89" i="79"/>
  <c r="X89" i="79" s="1"/>
  <c r="P89" i="79"/>
  <c r="N89" i="79"/>
  <c r="H89" i="79"/>
  <c r="D89" i="79"/>
  <c r="L89" i="79" s="1"/>
  <c r="Z87" i="79"/>
  <c r="X87" i="79"/>
  <c r="N87" i="79"/>
  <c r="L87" i="79"/>
  <c r="B87" i="79"/>
  <c r="T86" i="79"/>
  <c r="Z86" i="79" s="1"/>
  <c r="P86" i="79"/>
  <c r="X86" i="79" s="1"/>
  <c r="H86" i="79"/>
  <c r="N86" i="79" s="1"/>
  <c r="D86" i="79"/>
  <c r="B86" i="79"/>
  <c r="Z85" i="79"/>
  <c r="X85" i="79"/>
  <c r="V85" i="79"/>
  <c r="N85" i="79"/>
  <c r="L85" i="79"/>
  <c r="J85" i="79"/>
  <c r="B85" i="79"/>
  <c r="T84" i="79"/>
  <c r="Z84" i="79" s="1"/>
  <c r="P84" i="79"/>
  <c r="X84" i="79" s="1"/>
  <c r="H84" i="79"/>
  <c r="N84" i="79" s="1"/>
  <c r="D84" i="79"/>
  <c r="L84" i="79" s="1"/>
  <c r="B84" i="79"/>
  <c r="Z83" i="79"/>
  <c r="X83" i="79"/>
  <c r="N83" i="79"/>
  <c r="L83" i="79"/>
  <c r="B83" i="79"/>
  <c r="X82" i="79"/>
  <c r="T82" i="79"/>
  <c r="Z82" i="79" s="1"/>
  <c r="P82" i="79"/>
  <c r="N82" i="79"/>
  <c r="H82" i="79"/>
  <c r="D82" i="79"/>
  <c r="L82" i="79" s="1"/>
  <c r="B82" i="79"/>
  <c r="Z81" i="79"/>
  <c r="X81" i="79"/>
  <c r="V81" i="79"/>
  <c r="N81" i="79"/>
  <c r="L81" i="79"/>
  <c r="B81" i="79"/>
  <c r="X80" i="79"/>
  <c r="T80" i="79"/>
  <c r="Z80" i="79" s="1"/>
  <c r="P80" i="79"/>
  <c r="J80" i="79"/>
  <c r="H80" i="79"/>
  <c r="N80" i="79" s="1"/>
  <c r="D80" i="79"/>
  <c r="L80" i="79" s="1"/>
  <c r="B80" i="79"/>
  <c r="Z79" i="79"/>
  <c r="X79" i="79"/>
  <c r="V79" i="79"/>
  <c r="N79" i="79"/>
  <c r="L79" i="79"/>
  <c r="B79" i="79"/>
  <c r="Z78" i="79"/>
  <c r="X78" i="79"/>
  <c r="V78" i="79"/>
  <c r="N78" i="79"/>
  <c r="L78" i="79"/>
  <c r="B78" i="79"/>
  <c r="Z77" i="79"/>
  <c r="X77" i="79"/>
  <c r="V77" i="79"/>
  <c r="N77" i="79"/>
  <c r="L77" i="79"/>
  <c r="J77" i="79"/>
  <c r="B77" i="79"/>
  <c r="Z76" i="79"/>
  <c r="X76" i="79"/>
  <c r="V76" i="79"/>
  <c r="N76" i="79"/>
  <c r="L76" i="79"/>
  <c r="B76" i="79"/>
  <c r="Z75" i="79"/>
  <c r="X75" i="79"/>
  <c r="V75" i="79"/>
  <c r="N75" i="79"/>
  <c r="L75" i="79"/>
  <c r="B75" i="79"/>
  <c r="Z74" i="79"/>
  <c r="X74" i="79"/>
  <c r="V74" i="79"/>
  <c r="N74" i="79"/>
  <c r="L74" i="79"/>
  <c r="B74" i="79"/>
  <c r="Z73" i="79"/>
  <c r="X73" i="79"/>
  <c r="V73" i="79"/>
  <c r="N73" i="79"/>
  <c r="L73" i="79"/>
  <c r="B73" i="79"/>
  <c r="Z72" i="79"/>
  <c r="X72" i="79"/>
  <c r="V72" i="79"/>
  <c r="N72" i="79"/>
  <c r="L72" i="79"/>
  <c r="B72" i="79"/>
  <c r="Z71" i="79"/>
  <c r="X71" i="79"/>
  <c r="V71" i="79"/>
  <c r="N71" i="79"/>
  <c r="L71" i="79"/>
  <c r="B71" i="79"/>
  <c r="V70" i="79"/>
  <c r="T70" i="79"/>
  <c r="Z70" i="79" s="1"/>
  <c r="P70" i="79"/>
  <c r="H70" i="79"/>
  <c r="N70" i="79" s="1"/>
  <c r="D70" i="79"/>
  <c r="L70" i="79" s="1"/>
  <c r="B70" i="79"/>
  <c r="Z69" i="79"/>
  <c r="X69" i="79"/>
  <c r="V69" i="79"/>
  <c r="N69" i="79"/>
  <c r="L69" i="79"/>
  <c r="B69" i="79"/>
  <c r="Z68" i="79"/>
  <c r="V68" i="79"/>
  <c r="T68" i="79"/>
  <c r="P68" i="79"/>
  <c r="X68" i="79" s="1"/>
  <c r="L68" i="79"/>
  <c r="H68" i="79"/>
  <c r="N68" i="79" s="1"/>
  <c r="D68" i="79"/>
  <c r="B68" i="79"/>
  <c r="Z67" i="79"/>
  <c r="X67" i="79"/>
  <c r="V67" i="79"/>
  <c r="N67" i="79"/>
  <c r="L67" i="79"/>
  <c r="B67" i="79"/>
  <c r="Z66" i="79"/>
  <c r="X66" i="79"/>
  <c r="V66" i="79"/>
  <c r="N66" i="79"/>
  <c r="L66" i="79"/>
  <c r="B66" i="79"/>
  <c r="Z65" i="79"/>
  <c r="X65" i="79"/>
  <c r="V65" i="79"/>
  <c r="N65" i="79"/>
  <c r="L65" i="79"/>
  <c r="B65" i="79"/>
  <c r="Z64" i="79"/>
  <c r="X64" i="79"/>
  <c r="V64" i="79"/>
  <c r="R64" i="79"/>
  <c r="N64" i="79"/>
  <c r="L64" i="79"/>
  <c r="B64" i="79"/>
  <c r="Z63" i="79"/>
  <c r="V63" i="79"/>
  <c r="T63" i="79"/>
  <c r="P63" i="79"/>
  <c r="X63" i="79" s="1"/>
  <c r="N63" i="79"/>
  <c r="H63" i="79"/>
  <c r="D63" i="79"/>
  <c r="L63" i="79" s="1"/>
  <c r="B63" i="79"/>
  <c r="Z62" i="79"/>
  <c r="X62" i="79"/>
  <c r="V62" i="79"/>
  <c r="N62" i="79"/>
  <c r="L62" i="79"/>
  <c r="B62" i="79"/>
  <c r="X61" i="79"/>
  <c r="V61" i="79"/>
  <c r="T61" i="79"/>
  <c r="Z61" i="79" s="1"/>
  <c r="P61" i="79"/>
  <c r="N61" i="79"/>
  <c r="H61" i="79"/>
  <c r="D61" i="79"/>
  <c r="L61" i="79" s="1"/>
  <c r="B61" i="79"/>
  <c r="Z60" i="79"/>
  <c r="X60" i="79"/>
  <c r="V60" i="79"/>
  <c r="N60" i="79"/>
  <c r="L60" i="79"/>
  <c r="B60" i="79"/>
  <c r="Z59" i="79"/>
  <c r="X59" i="79"/>
  <c r="N59" i="79"/>
  <c r="L59" i="79"/>
  <c r="B59" i="79"/>
  <c r="X58" i="79"/>
  <c r="T58" i="79"/>
  <c r="Z58" i="79" s="1"/>
  <c r="P58" i="79"/>
  <c r="N58" i="79"/>
  <c r="H58" i="79"/>
  <c r="D58" i="79"/>
  <c r="L58" i="79" s="1"/>
  <c r="B58" i="79"/>
  <c r="Z57" i="79"/>
  <c r="X57" i="79"/>
  <c r="V57" i="79"/>
  <c r="L57" i="79"/>
  <c r="N57" i="79" s="1"/>
  <c r="B57" i="79"/>
  <c r="V56" i="79"/>
  <c r="T56" i="79"/>
  <c r="P56" i="79"/>
  <c r="J56" i="79"/>
  <c r="H56" i="79"/>
  <c r="D56" i="79"/>
  <c r="L56" i="79" s="1"/>
  <c r="B56" i="79"/>
  <c r="Z55" i="79"/>
  <c r="X55" i="79"/>
  <c r="V55" i="79"/>
  <c r="N55" i="79"/>
  <c r="L55" i="79"/>
  <c r="B55" i="79"/>
  <c r="V54" i="79"/>
  <c r="T54" i="79"/>
  <c r="Z54" i="79" s="1"/>
  <c r="P54" i="79"/>
  <c r="X54" i="79" s="1"/>
  <c r="H54" i="79"/>
  <c r="N54" i="79" s="1"/>
  <c r="D54" i="79"/>
  <c r="L54" i="79" s="1"/>
  <c r="B54" i="79"/>
  <c r="Z53" i="79"/>
  <c r="X53" i="79"/>
  <c r="V53" i="79"/>
  <c r="N53" i="79"/>
  <c r="L53" i="79"/>
  <c r="B53" i="79"/>
  <c r="Z52" i="79"/>
  <c r="V52" i="79"/>
  <c r="T52" i="79"/>
  <c r="P52" i="79"/>
  <c r="X52" i="79" s="1"/>
  <c r="L52" i="79"/>
  <c r="H52" i="79"/>
  <c r="N52" i="79" s="1"/>
  <c r="D52" i="79"/>
  <c r="B52" i="79"/>
  <c r="Z51" i="79"/>
  <c r="X51" i="79"/>
  <c r="V51" i="79"/>
  <c r="N51" i="79"/>
  <c r="L51" i="79"/>
  <c r="J51" i="79"/>
  <c r="B51" i="79"/>
  <c r="V50" i="79"/>
  <c r="T50" i="79"/>
  <c r="Z50" i="79" s="1"/>
  <c r="P50" i="79"/>
  <c r="X50" i="79" s="1"/>
  <c r="H50" i="79"/>
  <c r="N50" i="79" s="1"/>
  <c r="D50" i="79"/>
  <c r="B50" i="79"/>
  <c r="X49" i="79"/>
  <c r="Z49" i="79" s="1"/>
  <c r="V49" i="79"/>
  <c r="N49" i="79"/>
  <c r="L49" i="79"/>
  <c r="J49" i="79"/>
  <c r="B49" i="79"/>
  <c r="Z48" i="79"/>
  <c r="X48" i="79"/>
  <c r="V48" i="79"/>
  <c r="N48" i="79"/>
  <c r="L48" i="79"/>
  <c r="B48" i="79"/>
  <c r="V47" i="79"/>
  <c r="T47" i="79"/>
  <c r="P47" i="79"/>
  <c r="X47" i="79" s="1"/>
  <c r="Z47" i="79" s="1"/>
  <c r="L47" i="79"/>
  <c r="H47" i="79"/>
  <c r="D47" i="79"/>
  <c r="B47" i="79"/>
  <c r="Z46" i="79"/>
  <c r="X46" i="79"/>
  <c r="N46" i="79"/>
  <c r="L46" i="79"/>
  <c r="J46" i="79"/>
  <c r="B46" i="79"/>
  <c r="Z45" i="79"/>
  <c r="X45" i="79"/>
  <c r="V45" i="79"/>
  <c r="T45" i="79"/>
  <c r="P45" i="79"/>
  <c r="H45" i="79"/>
  <c r="N45" i="79" s="1"/>
  <c r="D45" i="79"/>
  <c r="L45" i="79" s="1"/>
  <c r="B45" i="79"/>
  <c r="Z44" i="79"/>
  <c r="X44" i="79"/>
  <c r="V44" i="79"/>
  <c r="N44" i="79"/>
  <c r="L44" i="79"/>
  <c r="B44" i="79"/>
  <c r="Z43" i="79"/>
  <c r="V43" i="79"/>
  <c r="T43" i="79"/>
  <c r="X43" i="79" s="1"/>
  <c r="P43" i="79"/>
  <c r="N43" i="79"/>
  <c r="H43" i="79"/>
  <c r="D43" i="79"/>
  <c r="L43" i="79" s="1"/>
  <c r="B43" i="79"/>
  <c r="Z42" i="79"/>
  <c r="X42" i="79"/>
  <c r="V42" i="79"/>
  <c r="N42" i="79"/>
  <c r="L42" i="79"/>
  <c r="B42" i="79"/>
  <c r="Z41" i="79"/>
  <c r="X41" i="79"/>
  <c r="V41" i="79"/>
  <c r="N41" i="79"/>
  <c r="L41" i="79"/>
  <c r="J41" i="79"/>
  <c r="B41" i="79"/>
  <c r="Z40" i="79"/>
  <c r="X40" i="79"/>
  <c r="V40" i="79"/>
  <c r="N40" i="79"/>
  <c r="L40" i="79"/>
  <c r="B40" i="79"/>
  <c r="Z39" i="79"/>
  <c r="X39" i="79"/>
  <c r="V39" i="79"/>
  <c r="N39" i="79"/>
  <c r="L39" i="79"/>
  <c r="B39" i="79"/>
  <c r="Z38" i="79"/>
  <c r="X38" i="79"/>
  <c r="V38" i="79"/>
  <c r="N38" i="79"/>
  <c r="L38" i="79"/>
  <c r="B38" i="79"/>
  <c r="Z37" i="79"/>
  <c r="X37" i="79"/>
  <c r="V37" i="79"/>
  <c r="N37" i="79"/>
  <c r="L37" i="79"/>
  <c r="B37" i="79"/>
  <c r="Z36" i="79"/>
  <c r="X36" i="79"/>
  <c r="V36" i="79"/>
  <c r="N36" i="79"/>
  <c r="L36" i="79"/>
  <c r="B36" i="79"/>
  <c r="Z35" i="79"/>
  <c r="X35" i="79"/>
  <c r="V35" i="79"/>
  <c r="N35" i="79"/>
  <c r="L35" i="79"/>
  <c r="B35" i="79"/>
  <c r="Z34" i="79"/>
  <c r="X34" i="79"/>
  <c r="V34" i="79"/>
  <c r="R34" i="79"/>
  <c r="N34" i="79"/>
  <c r="L34" i="79"/>
  <c r="B34" i="79"/>
  <c r="Z33" i="79"/>
  <c r="X33" i="79"/>
  <c r="V33" i="79"/>
  <c r="N33" i="79"/>
  <c r="L33" i="79"/>
  <c r="J33" i="79"/>
  <c r="B33" i="79"/>
  <c r="V32" i="79"/>
  <c r="T32" i="79"/>
  <c r="Z32" i="79" s="1"/>
  <c r="P32" i="79"/>
  <c r="X32" i="79" s="1"/>
  <c r="H32" i="79"/>
  <c r="N32" i="79" s="1"/>
  <c r="D32" i="79"/>
  <c r="L32" i="79" s="1"/>
  <c r="B32" i="79"/>
  <c r="Z31" i="79"/>
  <c r="X31" i="79"/>
  <c r="N31" i="79"/>
  <c r="L31" i="79"/>
  <c r="B31" i="79"/>
  <c r="Z30" i="79"/>
  <c r="X30" i="79"/>
  <c r="N30" i="79"/>
  <c r="L30" i="79"/>
  <c r="J30" i="79"/>
  <c r="B30" i="79"/>
  <c r="Z29" i="79"/>
  <c r="X29" i="79"/>
  <c r="V29" i="79"/>
  <c r="N29" i="79"/>
  <c r="L29" i="79"/>
  <c r="B29" i="79"/>
  <c r="Z28" i="79"/>
  <c r="X28" i="79"/>
  <c r="V28" i="79"/>
  <c r="N28" i="79"/>
  <c r="L28" i="79"/>
  <c r="B28" i="79"/>
  <c r="Z27" i="79"/>
  <c r="X27" i="79"/>
  <c r="N27" i="79"/>
  <c r="L27" i="79"/>
  <c r="B27" i="79"/>
  <c r="Z26" i="79"/>
  <c r="X26" i="79"/>
  <c r="N26" i="79"/>
  <c r="L26" i="79"/>
  <c r="B26" i="79"/>
  <c r="Z25" i="79"/>
  <c r="X25" i="79"/>
  <c r="V25" i="79"/>
  <c r="N25" i="79"/>
  <c r="L25" i="79"/>
  <c r="B25" i="79"/>
  <c r="Z24" i="79"/>
  <c r="X24" i="79"/>
  <c r="V24" i="79"/>
  <c r="N24" i="79"/>
  <c r="L24" i="79"/>
  <c r="B24" i="79"/>
  <c r="T23" i="79"/>
  <c r="P23" i="79"/>
  <c r="N23" i="79"/>
  <c r="L23" i="79"/>
  <c r="J23" i="79"/>
  <c r="H23" i="79"/>
  <c r="D23" i="79"/>
  <c r="B23" i="79"/>
  <c r="V22" i="79"/>
  <c r="T22" i="79"/>
  <c r="P22" i="79"/>
  <c r="H22" i="79"/>
  <c r="D22" i="79"/>
  <c r="V20" i="79"/>
  <c r="T20" i="79"/>
  <c r="Z18" i="79"/>
  <c r="X18" i="79"/>
  <c r="V18" i="79"/>
  <c r="N18" i="79"/>
  <c r="L18" i="79"/>
  <c r="B18" i="79"/>
  <c r="Z17" i="79"/>
  <c r="X17" i="79"/>
  <c r="V17" i="79"/>
  <c r="N17" i="79"/>
  <c r="L17" i="79"/>
  <c r="J17" i="79"/>
  <c r="B17" i="79"/>
  <c r="V16" i="79"/>
  <c r="T16" i="79"/>
  <c r="Z16" i="79" s="1"/>
  <c r="P16" i="79"/>
  <c r="X16" i="79" s="1"/>
  <c r="J16" i="79"/>
  <c r="H16" i="79"/>
  <c r="N16" i="79" s="1"/>
  <c r="D16" i="79"/>
  <c r="L16" i="79" s="1"/>
  <c r="Z14" i="79"/>
  <c r="X14" i="79"/>
  <c r="P14" i="79"/>
  <c r="N14" i="79"/>
  <c r="D14" i="79"/>
  <c r="L14" i="79" s="1"/>
  <c r="B14" i="79"/>
  <c r="Z13" i="79"/>
  <c r="X13" i="79"/>
  <c r="P13" i="79"/>
  <c r="N13" i="79"/>
  <c r="L13" i="79"/>
  <c r="D13" i="79"/>
  <c r="B13" i="79"/>
  <c r="Z12" i="79"/>
  <c r="X12" i="79"/>
  <c r="T12" i="79"/>
  <c r="V82" i="79" s="1"/>
  <c r="P12" i="79"/>
  <c r="R27" i="79" s="1"/>
  <c r="H12" i="79"/>
  <c r="D6" i="79"/>
  <c r="D4" i="79"/>
  <c r="X33" i="78"/>
  <c r="Z33" i="78" s="1"/>
  <c r="L33" i="78"/>
  <c r="N33" i="78" s="1"/>
  <c r="Z29" i="78"/>
  <c r="X29" i="78"/>
  <c r="T29" i="78"/>
  <c r="P29" i="78"/>
  <c r="L29" i="78"/>
  <c r="H29" i="78"/>
  <c r="N29" i="78" s="1"/>
  <c r="D29" i="78"/>
  <c r="Z27" i="78"/>
  <c r="X27" i="78"/>
  <c r="N27" i="78"/>
  <c r="L27" i="78"/>
  <c r="B27" i="78"/>
  <c r="Z26" i="78"/>
  <c r="T26" i="78"/>
  <c r="X26" i="78" s="1"/>
  <c r="P26" i="78"/>
  <c r="N26" i="78"/>
  <c r="L26" i="78"/>
  <c r="J26" i="78"/>
  <c r="H26" i="78"/>
  <c r="D26" i="78"/>
  <c r="B26" i="78"/>
  <c r="Z25" i="78"/>
  <c r="X25" i="78"/>
  <c r="V25" i="78"/>
  <c r="L25" i="78"/>
  <c r="N25" i="78" s="1"/>
  <c r="B25" i="78"/>
  <c r="Z24" i="78"/>
  <c r="V24" i="78"/>
  <c r="T24" i="78"/>
  <c r="P24" i="78"/>
  <c r="X24" i="78" s="1"/>
  <c r="N24" i="78"/>
  <c r="H24" i="78"/>
  <c r="L24" i="78" s="1"/>
  <c r="D24" i="78"/>
  <c r="B24" i="78"/>
  <c r="T23" i="78"/>
  <c r="P23" i="78"/>
  <c r="X23" i="78" s="1"/>
  <c r="H23" i="78"/>
  <c r="D23" i="78"/>
  <c r="H21" i="78"/>
  <c r="Z19" i="78"/>
  <c r="X19" i="78"/>
  <c r="N19" i="78"/>
  <c r="L19" i="78"/>
  <c r="B19" i="78"/>
  <c r="Z18" i="78"/>
  <c r="X18" i="78"/>
  <c r="V18" i="78"/>
  <c r="N18" i="78"/>
  <c r="L18" i="78"/>
  <c r="B18" i="78"/>
  <c r="X17" i="78"/>
  <c r="Z17" i="78" s="1"/>
  <c r="L17" i="78"/>
  <c r="N17" i="78" s="1"/>
  <c r="B17" i="78"/>
  <c r="X16" i="78"/>
  <c r="V16" i="78"/>
  <c r="T16" i="78"/>
  <c r="P16" i="78"/>
  <c r="J16" i="78"/>
  <c r="H16" i="78"/>
  <c r="D16" i="78"/>
  <c r="L16" i="78" s="1"/>
  <c r="N16" i="78" s="1"/>
  <c r="Z14" i="78"/>
  <c r="P14" i="78"/>
  <c r="P12" i="78" s="1"/>
  <c r="N14" i="78"/>
  <c r="L14" i="78"/>
  <c r="D14" i="78"/>
  <c r="B14" i="78"/>
  <c r="X13" i="78"/>
  <c r="Z13" i="78" s="1"/>
  <c r="P13" i="78"/>
  <c r="N13" i="78"/>
  <c r="L13" i="78"/>
  <c r="D13" i="78"/>
  <c r="D12" i="78" s="1"/>
  <c r="F25" i="78" s="1"/>
  <c r="B13" i="78"/>
  <c r="T12" i="78"/>
  <c r="V23" i="78" s="1"/>
  <c r="H12" i="78"/>
  <c r="D6" i="78"/>
  <c r="D4" i="78"/>
  <c r="X125" i="77"/>
  <c r="Z125" i="77" s="1"/>
  <c r="N125" i="77"/>
  <c r="L125" i="77"/>
  <c r="J125" i="77"/>
  <c r="Z121" i="77"/>
  <c r="T121" i="77"/>
  <c r="P121" i="77"/>
  <c r="X121" i="77" s="1"/>
  <c r="N121" i="77"/>
  <c r="J121" i="77"/>
  <c r="H121" i="77"/>
  <c r="D121" i="77"/>
  <c r="L121" i="77" s="1"/>
  <c r="Z119" i="77"/>
  <c r="X119" i="77"/>
  <c r="L119" i="77"/>
  <c r="N119" i="77" s="1"/>
  <c r="B119" i="77"/>
  <c r="T118" i="77"/>
  <c r="P118" i="77"/>
  <c r="X118" i="77" s="1"/>
  <c r="H118" i="77"/>
  <c r="D118" i="77"/>
  <c r="L118" i="77" s="1"/>
  <c r="B118" i="77"/>
  <c r="Z117" i="77"/>
  <c r="X117" i="77"/>
  <c r="N117" i="77"/>
  <c r="L117" i="77"/>
  <c r="B117" i="77"/>
  <c r="Z116" i="77"/>
  <c r="X116" i="77"/>
  <c r="N116" i="77"/>
  <c r="L116" i="77"/>
  <c r="B116" i="77"/>
  <c r="X115" i="77"/>
  <c r="T115" i="77"/>
  <c r="P115" i="77"/>
  <c r="H115" i="77"/>
  <c r="D115" i="77"/>
  <c r="L115" i="77" s="1"/>
  <c r="N115" i="77" s="1"/>
  <c r="B115" i="77"/>
  <c r="Z114" i="77"/>
  <c r="X114" i="77"/>
  <c r="N114" i="77"/>
  <c r="L114" i="77"/>
  <c r="B114" i="77"/>
  <c r="T113" i="77"/>
  <c r="Z113" i="77" s="1"/>
  <c r="P113" i="77"/>
  <c r="N113" i="77"/>
  <c r="L113" i="77"/>
  <c r="H113" i="77"/>
  <c r="D113" i="77"/>
  <c r="B113" i="77"/>
  <c r="Z112" i="77"/>
  <c r="X112" i="77"/>
  <c r="V112" i="77"/>
  <c r="N112" i="77"/>
  <c r="L112" i="77"/>
  <c r="B112" i="77"/>
  <c r="Z111" i="77"/>
  <c r="X111" i="77"/>
  <c r="L111" i="77"/>
  <c r="N111" i="77" s="1"/>
  <c r="B111" i="77"/>
  <c r="X110" i="77"/>
  <c r="T110" i="77"/>
  <c r="P110" i="77"/>
  <c r="J110" i="77"/>
  <c r="H110" i="77"/>
  <c r="D110" i="77"/>
  <c r="B110" i="77"/>
  <c r="Z109" i="77"/>
  <c r="X109" i="77"/>
  <c r="N109" i="77"/>
  <c r="L109" i="77"/>
  <c r="B109" i="77"/>
  <c r="Z108" i="77"/>
  <c r="X108" i="77"/>
  <c r="N108" i="77"/>
  <c r="L108" i="77"/>
  <c r="B108" i="77"/>
  <c r="X107" i="77"/>
  <c r="Z107" i="77" s="1"/>
  <c r="V107" i="77"/>
  <c r="N107" i="77"/>
  <c r="L107" i="77"/>
  <c r="J107" i="77"/>
  <c r="B107" i="77"/>
  <c r="X106" i="77"/>
  <c r="Z106" i="77" s="1"/>
  <c r="L106" i="77"/>
  <c r="N106" i="77" s="1"/>
  <c r="J106" i="77"/>
  <c r="B106" i="77"/>
  <c r="Z105" i="77"/>
  <c r="X105" i="77"/>
  <c r="N105" i="77"/>
  <c r="L105" i="77"/>
  <c r="B105" i="77"/>
  <c r="Z104" i="77"/>
  <c r="X104" i="77"/>
  <c r="N104" i="77"/>
  <c r="L104" i="77"/>
  <c r="B104" i="77"/>
  <c r="T103" i="77"/>
  <c r="P103" i="77"/>
  <c r="H103" i="77"/>
  <c r="D103" i="77"/>
  <c r="L103" i="77" s="1"/>
  <c r="N103" i="77" s="1"/>
  <c r="B103" i="77"/>
  <c r="Z102" i="77"/>
  <c r="X102" i="77"/>
  <c r="N102" i="77"/>
  <c r="L102" i="77"/>
  <c r="B102" i="77"/>
  <c r="Z101" i="77"/>
  <c r="X101" i="77"/>
  <c r="N101" i="77"/>
  <c r="L101" i="77"/>
  <c r="B101" i="77"/>
  <c r="X100" i="77"/>
  <c r="T100" i="77"/>
  <c r="P100" i="77"/>
  <c r="J100" i="77"/>
  <c r="H100" i="77"/>
  <c r="N100" i="77" s="1"/>
  <c r="D100" i="77"/>
  <c r="L100" i="77" s="1"/>
  <c r="B100" i="77"/>
  <c r="Z99" i="77"/>
  <c r="X99" i="77"/>
  <c r="L99" i="77"/>
  <c r="N99" i="77" s="1"/>
  <c r="B99" i="77"/>
  <c r="X98" i="77"/>
  <c r="Z98" i="77" s="1"/>
  <c r="L98" i="77"/>
  <c r="N98" i="77" s="1"/>
  <c r="B98" i="77"/>
  <c r="Z97" i="77"/>
  <c r="X97" i="77"/>
  <c r="N97" i="77"/>
  <c r="L97" i="77"/>
  <c r="B97" i="77"/>
  <c r="T96" i="77"/>
  <c r="P96" i="77"/>
  <c r="H96" i="77"/>
  <c r="D96" i="77"/>
  <c r="L96" i="77" s="1"/>
  <c r="B96" i="77"/>
  <c r="X95" i="77"/>
  <c r="Z95" i="77" s="1"/>
  <c r="N95" i="77"/>
  <c r="L95" i="77"/>
  <c r="B95" i="77"/>
  <c r="Z94" i="77"/>
  <c r="X94" i="77"/>
  <c r="N94" i="77"/>
  <c r="L94" i="77"/>
  <c r="B94" i="77"/>
  <c r="Z93" i="77"/>
  <c r="X93" i="77"/>
  <c r="N93" i="77"/>
  <c r="L93" i="77"/>
  <c r="B93" i="77"/>
  <c r="X92" i="77"/>
  <c r="Z92" i="77" s="1"/>
  <c r="T92" i="77"/>
  <c r="P92" i="77"/>
  <c r="L92" i="77"/>
  <c r="H92" i="77"/>
  <c r="D92" i="77"/>
  <c r="B92" i="77"/>
  <c r="Z91" i="77"/>
  <c r="X91" i="77"/>
  <c r="N91" i="77"/>
  <c r="L91" i="77"/>
  <c r="B91" i="77"/>
  <c r="T90" i="77"/>
  <c r="P90" i="77"/>
  <c r="X90" i="77" s="1"/>
  <c r="Z90" i="77" s="1"/>
  <c r="L90" i="77"/>
  <c r="H90" i="77"/>
  <c r="D90" i="77"/>
  <c r="B90" i="77"/>
  <c r="Z89" i="77"/>
  <c r="X89" i="77"/>
  <c r="N89" i="77"/>
  <c r="L89" i="77"/>
  <c r="B89" i="77"/>
  <c r="T88" i="77"/>
  <c r="P88" i="77"/>
  <c r="H88" i="77"/>
  <c r="D88" i="77"/>
  <c r="B88" i="77"/>
  <c r="X87" i="77"/>
  <c r="Z87" i="77" s="1"/>
  <c r="N87" i="77"/>
  <c r="L87" i="77"/>
  <c r="J87" i="77"/>
  <c r="B87" i="77"/>
  <c r="X86" i="77"/>
  <c r="V86" i="77"/>
  <c r="T86" i="77"/>
  <c r="Z86" i="77" s="1"/>
  <c r="P86" i="77"/>
  <c r="H86" i="77"/>
  <c r="D86" i="77"/>
  <c r="L86" i="77" s="1"/>
  <c r="N86" i="77" s="1"/>
  <c r="B86" i="77"/>
  <c r="X85" i="77"/>
  <c r="Z85" i="77" s="1"/>
  <c r="N85" i="77"/>
  <c r="L85" i="77"/>
  <c r="B85" i="77"/>
  <c r="X84" i="77"/>
  <c r="T84" i="77"/>
  <c r="P84" i="77"/>
  <c r="H84" i="77"/>
  <c r="D84" i="77"/>
  <c r="B84" i="77"/>
  <c r="Z83" i="77"/>
  <c r="X83" i="77"/>
  <c r="N83" i="77"/>
  <c r="L83" i="77"/>
  <c r="J83" i="77"/>
  <c r="B83" i="77"/>
  <c r="Z82" i="77"/>
  <c r="X82" i="77"/>
  <c r="N82" i="77"/>
  <c r="L82" i="77"/>
  <c r="B82" i="77"/>
  <c r="T81" i="77"/>
  <c r="P81" i="77"/>
  <c r="N81" i="77"/>
  <c r="H81" i="77"/>
  <c r="D81" i="77"/>
  <c r="B81" i="77"/>
  <c r="Z80" i="77"/>
  <c r="X80" i="77"/>
  <c r="N80" i="77"/>
  <c r="L80" i="77"/>
  <c r="B80" i="77"/>
  <c r="T79" i="77"/>
  <c r="P79" i="77"/>
  <c r="X79" i="77" s="1"/>
  <c r="L79" i="77"/>
  <c r="N79" i="77" s="1"/>
  <c r="J79" i="77"/>
  <c r="H79" i="77"/>
  <c r="D79" i="77"/>
  <c r="B79" i="77"/>
  <c r="Z78" i="77"/>
  <c r="X78" i="77"/>
  <c r="N78" i="77"/>
  <c r="L78" i="77"/>
  <c r="J78" i="77"/>
  <c r="B78" i="77"/>
  <c r="T77" i="77"/>
  <c r="Z77" i="77" s="1"/>
  <c r="P77" i="77"/>
  <c r="X77" i="77" s="1"/>
  <c r="L77" i="77"/>
  <c r="J77" i="77"/>
  <c r="H77" i="77"/>
  <c r="N77" i="77" s="1"/>
  <c r="D77" i="77"/>
  <c r="B77" i="77"/>
  <c r="Z76" i="77"/>
  <c r="X76" i="77"/>
  <c r="N76" i="77"/>
  <c r="L76" i="77"/>
  <c r="B76" i="77"/>
  <c r="V75" i="77"/>
  <c r="T75" i="77"/>
  <c r="P75" i="77"/>
  <c r="L75" i="77"/>
  <c r="H75" i="77"/>
  <c r="N75" i="77" s="1"/>
  <c r="D75" i="77"/>
  <c r="B75" i="77"/>
  <c r="X74" i="77"/>
  <c r="Z74" i="77" s="1"/>
  <c r="N74" i="77"/>
  <c r="L74" i="77"/>
  <c r="B74" i="77"/>
  <c r="X73" i="77"/>
  <c r="Z73" i="77" s="1"/>
  <c r="T73" i="77"/>
  <c r="P73" i="77"/>
  <c r="J73" i="77"/>
  <c r="H73" i="77"/>
  <c r="D73" i="77"/>
  <c r="B73" i="77"/>
  <c r="X72" i="77"/>
  <c r="Z72" i="77" s="1"/>
  <c r="N72" i="77"/>
  <c r="L72" i="77"/>
  <c r="B72" i="77"/>
  <c r="Z71" i="77"/>
  <c r="T71" i="77"/>
  <c r="X71" i="77" s="1"/>
  <c r="P71" i="77"/>
  <c r="H71" i="77"/>
  <c r="D71" i="77"/>
  <c r="L71" i="77" s="1"/>
  <c r="B71" i="77"/>
  <c r="Z70" i="77"/>
  <c r="X70" i="77"/>
  <c r="L70" i="77"/>
  <c r="N70" i="77" s="1"/>
  <c r="J70" i="77"/>
  <c r="B70" i="77"/>
  <c r="T69" i="77"/>
  <c r="P69" i="77"/>
  <c r="X69" i="77" s="1"/>
  <c r="H69" i="77"/>
  <c r="D69" i="77"/>
  <c r="B69" i="77"/>
  <c r="Z68" i="77"/>
  <c r="X68" i="77"/>
  <c r="V68" i="77"/>
  <c r="N68" i="77"/>
  <c r="L68" i="77"/>
  <c r="B68" i="77"/>
  <c r="Z67" i="77"/>
  <c r="X67" i="77"/>
  <c r="N67" i="77"/>
  <c r="L67" i="77"/>
  <c r="J67" i="77"/>
  <c r="B67" i="77"/>
  <c r="X66" i="77"/>
  <c r="Z66" i="77" s="1"/>
  <c r="V66" i="77"/>
  <c r="N66" i="77"/>
  <c r="L66" i="77"/>
  <c r="J66" i="77"/>
  <c r="B66" i="77"/>
  <c r="X65" i="77"/>
  <c r="Z65" i="77" s="1"/>
  <c r="V65" i="77"/>
  <c r="N65" i="77"/>
  <c r="L65" i="77"/>
  <c r="B65" i="77"/>
  <c r="Z64" i="77"/>
  <c r="X64" i="77"/>
  <c r="N64" i="77"/>
  <c r="L64" i="77"/>
  <c r="B64" i="77"/>
  <c r="Z63" i="77"/>
  <c r="X63" i="77"/>
  <c r="V63" i="77"/>
  <c r="N63" i="77"/>
  <c r="L63" i="77"/>
  <c r="J63" i="77"/>
  <c r="B63" i="77"/>
  <c r="X62" i="77"/>
  <c r="Z62" i="77" s="1"/>
  <c r="N62" i="77"/>
  <c r="L62" i="77"/>
  <c r="J62" i="77"/>
  <c r="B62" i="77"/>
  <c r="Z61" i="77"/>
  <c r="X61" i="77"/>
  <c r="N61" i="77"/>
  <c r="L61" i="77"/>
  <c r="B61" i="77"/>
  <c r="Z60" i="77"/>
  <c r="X60" i="77"/>
  <c r="N60" i="77"/>
  <c r="L60" i="77"/>
  <c r="B60" i="77"/>
  <c r="Z59" i="77"/>
  <c r="X59" i="77"/>
  <c r="N59" i="77"/>
  <c r="L59" i="77"/>
  <c r="J59" i="77"/>
  <c r="B59" i="77"/>
  <c r="T58" i="77"/>
  <c r="P58" i="77"/>
  <c r="X58" i="77" s="1"/>
  <c r="J58" i="77"/>
  <c r="H58" i="77"/>
  <c r="N58" i="77" s="1"/>
  <c r="D58" i="77"/>
  <c r="L58" i="77" s="1"/>
  <c r="B58" i="77"/>
  <c r="Z57" i="77"/>
  <c r="X57" i="77"/>
  <c r="L57" i="77"/>
  <c r="N57" i="77" s="1"/>
  <c r="B57" i="77"/>
  <c r="X56" i="77"/>
  <c r="Z56" i="77" s="1"/>
  <c r="N56" i="77"/>
  <c r="L56" i="77"/>
  <c r="B56" i="77"/>
  <c r="Z55" i="77"/>
  <c r="X55" i="77"/>
  <c r="N55" i="77"/>
  <c r="L55" i="77"/>
  <c r="J55" i="77"/>
  <c r="B55" i="77"/>
  <c r="Z54" i="77"/>
  <c r="X54" i="77"/>
  <c r="N54" i="77"/>
  <c r="L54" i="77"/>
  <c r="J54" i="77"/>
  <c r="B54" i="77"/>
  <c r="X53" i="77"/>
  <c r="Z53" i="77" s="1"/>
  <c r="L53" i="77"/>
  <c r="N53" i="77" s="1"/>
  <c r="B53" i="77"/>
  <c r="X52" i="77"/>
  <c r="Z52" i="77" s="1"/>
  <c r="N52" i="77"/>
  <c r="L52" i="77"/>
  <c r="J52" i="77"/>
  <c r="B52" i="77"/>
  <c r="Z51" i="77"/>
  <c r="X51" i="77"/>
  <c r="N51" i="77"/>
  <c r="L51" i="77"/>
  <c r="B51" i="77"/>
  <c r="Z50" i="77"/>
  <c r="X50" i="77"/>
  <c r="L50" i="77"/>
  <c r="N50" i="77" s="1"/>
  <c r="B50" i="77"/>
  <c r="X49" i="77"/>
  <c r="Z49" i="77" s="1"/>
  <c r="N49" i="77"/>
  <c r="L49" i="77"/>
  <c r="B49" i="77"/>
  <c r="T48" i="77"/>
  <c r="X48" i="77" s="1"/>
  <c r="Z48" i="77" s="1"/>
  <c r="P48" i="77"/>
  <c r="L48" i="77"/>
  <c r="N48" i="77" s="1"/>
  <c r="J48" i="77"/>
  <c r="H48" i="77"/>
  <c r="D48" i="77"/>
  <c r="B48" i="77"/>
  <c r="T47" i="77"/>
  <c r="P47" i="77"/>
  <c r="H47" i="77"/>
  <c r="D47" i="77"/>
  <c r="H45" i="77"/>
  <c r="Z43" i="77"/>
  <c r="X43" i="77"/>
  <c r="V43" i="77"/>
  <c r="N43" i="77"/>
  <c r="L43" i="77"/>
  <c r="J43" i="77"/>
  <c r="B43" i="77"/>
  <c r="Z42" i="77"/>
  <c r="X42" i="77"/>
  <c r="V42" i="77"/>
  <c r="N42" i="77"/>
  <c r="L42" i="77"/>
  <c r="B42" i="77"/>
  <c r="Z41" i="77"/>
  <c r="X41" i="77"/>
  <c r="V41" i="77"/>
  <c r="N41" i="77"/>
  <c r="L41" i="77"/>
  <c r="J41" i="77"/>
  <c r="B41" i="77"/>
  <c r="Z40" i="77"/>
  <c r="X40" i="77"/>
  <c r="N40" i="77"/>
  <c r="L40" i="77"/>
  <c r="J40" i="77"/>
  <c r="B40" i="77"/>
  <c r="Z39" i="77"/>
  <c r="X39" i="77"/>
  <c r="N39" i="77"/>
  <c r="L39" i="77"/>
  <c r="J39" i="77"/>
  <c r="B39" i="77"/>
  <c r="Z38" i="77"/>
  <c r="X38" i="77"/>
  <c r="N38" i="77"/>
  <c r="L38" i="77"/>
  <c r="B38" i="77"/>
  <c r="Z37" i="77"/>
  <c r="X37" i="77"/>
  <c r="N37" i="77"/>
  <c r="L37" i="77"/>
  <c r="J37" i="77"/>
  <c r="B37" i="77"/>
  <c r="Z36" i="77"/>
  <c r="X36" i="77"/>
  <c r="L36" i="77"/>
  <c r="N36" i="77" s="1"/>
  <c r="B36" i="77"/>
  <c r="T35" i="77"/>
  <c r="P35" i="77"/>
  <c r="X35" i="77" s="1"/>
  <c r="N35" i="77"/>
  <c r="L35" i="77"/>
  <c r="J35" i="77"/>
  <c r="H35" i="77"/>
  <c r="D35" i="77"/>
  <c r="Z33" i="77"/>
  <c r="P33" i="77"/>
  <c r="X33" i="77" s="1"/>
  <c r="N33" i="77"/>
  <c r="D33" i="77"/>
  <c r="L33" i="77" s="1"/>
  <c r="B33" i="77"/>
  <c r="Z32" i="77"/>
  <c r="X32" i="77"/>
  <c r="P32" i="77"/>
  <c r="N32" i="77"/>
  <c r="D32" i="77"/>
  <c r="L32" i="77" s="1"/>
  <c r="B32" i="77"/>
  <c r="Z31" i="77"/>
  <c r="X31" i="77"/>
  <c r="P31" i="77"/>
  <c r="N31" i="77"/>
  <c r="D31" i="77"/>
  <c r="L31" i="77" s="1"/>
  <c r="B31" i="77"/>
  <c r="Z30" i="77"/>
  <c r="X30" i="77"/>
  <c r="P30" i="77"/>
  <c r="N30" i="77"/>
  <c r="D30" i="77"/>
  <c r="L30" i="77" s="1"/>
  <c r="B30" i="77"/>
  <c r="Z29" i="77"/>
  <c r="P29" i="77"/>
  <c r="X29" i="77" s="1"/>
  <c r="N29" i="77"/>
  <c r="L29" i="77"/>
  <c r="D29" i="77"/>
  <c r="B29" i="77"/>
  <c r="Z28" i="77"/>
  <c r="X28" i="77"/>
  <c r="P28" i="77"/>
  <c r="N28" i="77"/>
  <c r="L28" i="77"/>
  <c r="D28" i="77"/>
  <c r="B28" i="77"/>
  <c r="Z27" i="77"/>
  <c r="X27" i="77"/>
  <c r="P27" i="77"/>
  <c r="N27" i="77"/>
  <c r="L27" i="77"/>
  <c r="D27" i="77"/>
  <c r="B27" i="77"/>
  <c r="Z26" i="77"/>
  <c r="P26" i="77"/>
  <c r="X26" i="77" s="1"/>
  <c r="N26" i="77"/>
  <c r="D26" i="77"/>
  <c r="L26" i="77" s="1"/>
  <c r="B26" i="77"/>
  <c r="Z25" i="77"/>
  <c r="P25" i="77"/>
  <c r="X25" i="77" s="1"/>
  <c r="N25" i="77"/>
  <c r="L25" i="77"/>
  <c r="D25" i="77"/>
  <c r="B25" i="77"/>
  <c r="Z24" i="77"/>
  <c r="P24" i="77"/>
  <c r="X24" i="77" s="1"/>
  <c r="N24" i="77"/>
  <c r="L24" i="77"/>
  <c r="D24" i="77"/>
  <c r="B24" i="77"/>
  <c r="Z23" i="77"/>
  <c r="P23" i="77"/>
  <c r="X23" i="77" s="1"/>
  <c r="N23" i="77"/>
  <c r="D23" i="77"/>
  <c r="L23" i="77" s="1"/>
  <c r="B23" i="77"/>
  <c r="Z22" i="77"/>
  <c r="X22" i="77"/>
  <c r="P22" i="77"/>
  <c r="N22" i="77"/>
  <c r="D22" i="77"/>
  <c r="L22" i="77" s="1"/>
  <c r="B22" i="77"/>
  <c r="Z21" i="77"/>
  <c r="P21" i="77"/>
  <c r="X21" i="77" s="1"/>
  <c r="N21" i="77"/>
  <c r="D21" i="77"/>
  <c r="L21" i="77" s="1"/>
  <c r="B21" i="77"/>
  <c r="Z20" i="77"/>
  <c r="X20" i="77"/>
  <c r="P20" i="77"/>
  <c r="N20" i="77"/>
  <c r="D20" i="77"/>
  <c r="L20" i="77" s="1"/>
  <c r="B20" i="77"/>
  <c r="Z19" i="77"/>
  <c r="X19" i="77"/>
  <c r="P19" i="77"/>
  <c r="N19" i="77"/>
  <c r="D19" i="77"/>
  <c r="L19" i="77" s="1"/>
  <c r="B19" i="77"/>
  <c r="Z18" i="77"/>
  <c r="X18" i="77"/>
  <c r="P18" i="77"/>
  <c r="N18" i="77"/>
  <c r="D18" i="77"/>
  <c r="L18" i="77" s="1"/>
  <c r="B18" i="77"/>
  <c r="Z17" i="77"/>
  <c r="P17" i="77"/>
  <c r="X17" i="77" s="1"/>
  <c r="N17" i="77"/>
  <c r="L17" i="77"/>
  <c r="D17" i="77"/>
  <c r="B17" i="77"/>
  <c r="Z16" i="77"/>
  <c r="X16" i="77"/>
  <c r="P16" i="77"/>
  <c r="N16" i="77"/>
  <c r="L16" i="77"/>
  <c r="D16" i="77"/>
  <c r="B16" i="77"/>
  <c r="Z15" i="77"/>
  <c r="X15" i="77"/>
  <c r="P15" i="77"/>
  <c r="N15" i="77"/>
  <c r="L15" i="77"/>
  <c r="D15" i="77"/>
  <c r="B15" i="77"/>
  <c r="Z14" i="77"/>
  <c r="P14" i="77"/>
  <c r="X14" i="77" s="1"/>
  <c r="N14" i="77"/>
  <c r="D14" i="77"/>
  <c r="B14" i="77"/>
  <c r="P13" i="77"/>
  <c r="X13" i="77" s="1"/>
  <c r="Z13" i="77" s="1"/>
  <c r="L13" i="77"/>
  <c r="N13" i="77" s="1"/>
  <c r="D13" i="77"/>
  <c r="B13" i="77"/>
  <c r="T12" i="77"/>
  <c r="H12" i="77"/>
  <c r="J119" i="77" s="1"/>
  <c r="D6" i="77"/>
  <c r="D4" i="77"/>
  <c r="X92" i="76"/>
  <c r="Z92" i="76" s="1"/>
  <c r="V92" i="76"/>
  <c r="L92" i="76"/>
  <c r="N92" i="76" s="1"/>
  <c r="J92" i="76"/>
  <c r="X88" i="76"/>
  <c r="T88" i="76"/>
  <c r="Z88" i="76" s="1"/>
  <c r="P88" i="76"/>
  <c r="N88" i="76"/>
  <c r="H88" i="76"/>
  <c r="D88" i="76"/>
  <c r="L88" i="76" s="1"/>
  <c r="X86" i="76"/>
  <c r="Z86" i="76" s="1"/>
  <c r="L86" i="76"/>
  <c r="N86" i="76" s="1"/>
  <c r="J86" i="76"/>
  <c r="B86" i="76"/>
  <c r="Z85" i="76"/>
  <c r="X85" i="76"/>
  <c r="T85" i="76"/>
  <c r="P85" i="76"/>
  <c r="H85" i="76"/>
  <c r="D85" i="76"/>
  <c r="B85" i="76"/>
  <c r="Z84" i="76"/>
  <c r="X84" i="76"/>
  <c r="N84" i="76"/>
  <c r="L84" i="76"/>
  <c r="B84" i="76"/>
  <c r="V83" i="76"/>
  <c r="T83" i="76"/>
  <c r="P83" i="76"/>
  <c r="N83" i="76"/>
  <c r="H83" i="76"/>
  <c r="D83" i="76"/>
  <c r="L83" i="76" s="1"/>
  <c r="B83" i="76"/>
  <c r="X82" i="76"/>
  <c r="Z82" i="76" s="1"/>
  <c r="N82" i="76"/>
  <c r="L82" i="76"/>
  <c r="B82" i="76"/>
  <c r="X81" i="76"/>
  <c r="Z81" i="76" s="1"/>
  <c r="L81" i="76"/>
  <c r="N81" i="76" s="1"/>
  <c r="B81" i="76"/>
  <c r="X80" i="76"/>
  <c r="T80" i="76"/>
  <c r="Z80" i="76" s="1"/>
  <c r="P80" i="76"/>
  <c r="L80" i="76"/>
  <c r="N80" i="76" s="1"/>
  <c r="J80" i="76"/>
  <c r="H80" i="76"/>
  <c r="D80" i="76"/>
  <c r="B80" i="76"/>
  <c r="Z79" i="76"/>
  <c r="X79" i="76"/>
  <c r="N79" i="76"/>
  <c r="L79" i="76"/>
  <c r="J79" i="76"/>
  <c r="B79" i="76"/>
  <c r="X78" i="76"/>
  <c r="Z78" i="76" s="1"/>
  <c r="L78" i="76"/>
  <c r="N78" i="76" s="1"/>
  <c r="J78" i="76"/>
  <c r="B78" i="76"/>
  <c r="X77" i="76"/>
  <c r="Z77" i="76" s="1"/>
  <c r="N77" i="76"/>
  <c r="L77" i="76"/>
  <c r="B77" i="76"/>
  <c r="Z76" i="76"/>
  <c r="X76" i="76"/>
  <c r="N76" i="76"/>
  <c r="L76" i="76"/>
  <c r="B76" i="76"/>
  <c r="Z75" i="76"/>
  <c r="X75" i="76"/>
  <c r="N75" i="76"/>
  <c r="L75" i="76"/>
  <c r="J75" i="76"/>
  <c r="B75" i="76"/>
  <c r="X74" i="76"/>
  <c r="T74" i="76"/>
  <c r="Z74" i="76" s="1"/>
  <c r="P74" i="76"/>
  <c r="H74" i="76"/>
  <c r="J74" i="76" s="1"/>
  <c r="D74" i="76"/>
  <c r="B74" i="76"/>
  <c r="Z73" i="76"/>
  <c r="X73" i="76"/>
  <c r="L73" i="76"/>
  <c r="N73" i="76" s="1"/>
  <c r="B73" i="76"/>
  <c r="T72" i="76"/>
  <c r="P72" i="76"/>
  <c r="X72" i="76" s="1"/>
  <c r="Z72" i="76" s="1"/>
  <c r="J72" i="76"/>
  <c r="H72" i="76"/>
  <c r="N72" i="76" s="1"/>
  <c r="D72" i="76"/>
  <c r="L72" i="76" s="1"/>
  <c r="B72" i="76"/>
  <c r="Z71" i="76"/>
  <c r="X71" i="76"/>
  <c r="N71" i="76"/>
  <c r="L71" i="76"/>
  <c r="B71" i="76"/>
  <c r="X70" i="76"/>
  <c r="Z70" i="76" s="1"/>
  <c r="V70" i="76"/>
  <c r="L70" i="76"/>
  <c r="N70" i="76" s="1"/>
  <c r="B70" i="76"/>
  <c r="X69" i="76"/>
  <c r="Z69" i="76" s="1"/>
  <c r="N69" i="76"/>
  <c r="L69" i="76"/>
  <c r="B69" i="76"/>
  <c r="X68" i="76"/>
  <c r="T68" i="76"/>
  <c r="Z68" i="76" s="1"/>
  <c r="P68" i="76"/>
  <c r="L68" i="76"/>
  <c r="N68" i="76" s="1"/>
  <c r="J68" i="76"/>
  <c r="H68" i="76"/>
  <c r="D68" i="76"/>
  <c r="B68" i="76"/>
  <c r="Z67" i="76"/>
  <c r="X67" i="76"/>
  <c r="L67" i="76"/>
  <c r="N67" i="76" s="1"/>
  <c r="J67" i="76"/>
  <c r="B67" i="76"/>
  <c r="X66" i="76"/>
  <c r="Z66" i="76" s="1"/>
  <c r="N66" i="76"/>
  <c r="L66" i="76"/>
  <c r="J66" i="76"/>
  <c r="B66" i="76"/>
  <c r="Z65" i="76"/>
  <c r="X65" i="76"/>
  <c r="N65" i="76"/>
  <c r="L65" i="76"/>
  <c r="J65" i="76"/>
  <c r="B65" i="76"/>
  <c r="Z64" i="76"/>
  <c r="X64" i="76"/>
  <c r="R64" i="76"/>
  <c r="N64" i="76"/>
  <c r="L64" i="76"/>
  <c r="B64" i="76"/>
  <c r="T63" i="76"/>
  <c r="P63" i="76"/>
  <c r="N63" i="76"/>
  <c r="L63" i="76"/>
  <c r="H63" i="76"/>
  <c r="D63" i="76"/>
  <c r="B63" i="76"/>
  <c r="X62" i="76"/>
  <c r="Z62" i="76" s="1"/>
  <c r="V62" i="76"/>
  <c r="L62" i="76"/>
  <c r="N62" i="76" s="1"/>
  <c r="J62" i="76"/>
  <c r="B62" i="76"/>
  <c r="T61" i="76"/>
  <c r="P61" i="76"/>
  <c r="X61" i="76" s="1"/>
  <c r="Z61" i="76" s="1"/>
  <c r="J61" i="76"/>
  <c r="H61" i="76"/>
  <c r="D61" i="76"/>
  <c r="B61" i="76"/>
  <c r="X60" i="76"/>
  <c r="Z60" i="76" s="1"/>
  <c r="N60" i="76"/>
  <c r="L60" i="76"/>
  <c r="J60" i="76"/>
  <c r="B60" i="76"/>
  <c r="T59" i="76"/>
  <c r="X59" i="76" s="1"/>
  <c r="Z59" i="76" s="1"/>
  <c r="P59" i="76"/>
  <c r="H59" i="76"/>
  <c r="D59" i="76"/>
  <c r="L59" i="76" s="1"/>
  <c r="B59" i="76"/>
  <c r="X58" i="76"/>
  <c r="Z58" i="76" s="1"/>
  <c r="N58" i="76"/>
  <c r="L58" i="76"/>
  <c r="J58" i="76"/>
  <c r="B58" i="76"/>
  <c r="Z57" i="76"/>
  <c r="X57" i="76"/>
  <c r="T57" i="76"/>
  <c r="P57" i="76"/>
  <c r="H57" i="76"/>
  <c r="N57" i="76" s="1"/>
  <c r="D57" i="76"/>
  <c r="B57" i="76"/>
  <c r="Z56" i="76"/>
  <c r="X56" i="76"/>
  <c r="L56" i="76"/>
  <c r="N56" i="76" s="1"/>
  <c r="B56" i="76"/>
  <c r="T55" i="76"/>
  <c r="P55" i="76"/>
  <c r="J55" i="76"/>
  <c r="H55" i="76"/>
  <c r="D55" i="76"/>
  <c r="L55" i="76" s="1"/>
  <c r="N55" i="76" s="1"/>
  <c r="B55" i="76"/>
  <c r="X54" i="76"/>
  <c r="Z54" i="76" s="1"/>
  <c r="V54" i="76"/>
  <c r="N54" i="76"/>
  <c r="L54" i="76"/>
  <c r="B54" i="76"/>
  <c r="T53" i="76"/>
  <c r="P53" i="76"/>
  <c r="X53" i="76" s="1"/>
  <c r="N53" i="76"/>
  <c r="J53" i="76"/>
  <c r="H53" i="76"/>
  <c r="L53" i="76" s="1"/>
  <c r="D53" i="76"/>
  <c r="B53" i="76"/>
  <c r="Z52" i="76"/>
  <c r="X52" i="76"/>
  <c r="N52" i="76"/>
  <c r="L52" i="76"/>
  <c r="B52" i="76"/>
  <c r="Z51" i="76"/>
  <c r="X51" i="76"/>
  <c r="N51" i="76"/>
  <c r="L51" i="76"/>
  <c r="J51" i="76"/>
  <c r="B51" i="76"/>
  <c r="X50" i="76"/>
  <c r="T50" i="76"/>
  <c r="Z50" i="76" s="1"/>
  <c r="P50" i="76"/>
  <c r="H50" i="76"/>
  <c r="J50" i="76" s="1"/>
  <c r="D50" i="76"/>
  <c r="L50" i="76" s="1"/>
  <c r="B50" i="76"/>
  <c r="Z49" i="76"/>
  <c r="X49" i="76"/>
  <c r="L49" i="76"/>
  <c r="N49" i="76" s="1"/>
  <c r="B49" i="76"/>
  <c r="Z48" i="76"/>
  <c r="T48" i="76"/>
  <c r="P48" i="76"/>
  <c r="X48" i="76" s="1"/>
  <c r="J48" i="76"/>
  <c r="H48" i="76"/>
  <c r="N48" i="76" s="1"/>
  <c r="D48" i="76"/>
  <c r="L48" i="76" s="1"/>
  <c r="B48" i="76"/>
  <c r="Z47" i="76"/>
  <c r="X47" i="76"/>
  <c r="N47" i="76"/>
  <c r="L47" i="76"/>
  <c r="B47" i="76"/>
  <c r="X46" i="76"/>
  <c r="Z46" i="76" s="1"/>
  <c r="V46" i="76"/>
  <c r="T46" i="76"/>
  <c r="P46" i="76"/>
  <c r="L46" i="76"/>
  <c r="H46" i="76"/>
  <c r="N46" i="76" s="1"/>
  <c r="D46" i="76"/>
  <c r="B46" i="76"/>
  <c r="Z45" i="76"/>
  <c r="X45" i="76"/>
  <c r="N45" i="76"/>
  <c r="L45" i="76"/>
  <c r="J45" i="76"/>
  <c r="B45" i="76"/>
  <c r="T44" i="76"/>
  <c r="P44" i="76"/>
  <c r="X44" i="76" s="1"/>
  <c r="Z44" i="76" s="1"/>
  <c r="L44" i="76"/>
  <c r="H44" i="76"/>
  <c r="N44" i="76" s="1"/>
  <c r="D44" i="76"/>
  <c r="B44" i="76"/>
  <c r="Z43" i="76"/>
  <c r="X43" i="76"/>
  <c r="V43" i="76"/>
  <c r="N43" i="76"/>
  <c r="L43" i="76"/>
  <c r="J43" i="76"/>
  <c r="B43" i="76"/>
  <c r="Z42" i="76"/>
  <c r="X42" i="76"/>
  <c r="V42" i="76"/>
  <c r="N42" i="76"/>
  <c r="L42" i="76"/>
  <c r="J42" i="76"/>
  <c r="B42" i="76"/>
  <c r="Z41" i="76"/>
  <c r="X41" i="76"/>
  <c r="L41" i="76"/>
  <c r="N41" i="76" s="1"/>
  <c r="B41" i="76"/>
  <c r="Z40" i="76"/>
  <c r="X40" i="76"/>
  <c r="N40" i="76"/>
  <c r="L40" i="76"/>
  <c r="B40" i="76"/>
  <c r="Z39" i="76"/>
  <c r="X39" i="76"/>
  <c r="V39" i="76"/>
  <c r="N39" i="76"/>
  <c r="L39" i="76"/>
  <c r="J39" i="76"/>
  <c r="B39" i="76"/>
  <c r="X38" i="76"/>
  <c r="Z38" i="76" s="1"/>
  <c r="V38" i="76"/>
  <c r="L38" i="76"/>
  <c r="N38" i="76" s="1"/>
  <c r="J38" i="76"/>
  <c r="B38" i="76"/>
  <c r="Z37" i="76"/>
  <c r="X37" i="76"/>
  <c r="N37" i="76"/>
  <c r="L37" i="76"/>
  <c r="B37" i="76"/>
  <c r="Z36" i="76"/>
  <c r="X36" i="76"/>
  <c r="N36" i="76"/>
  <c r="L36" i="76"/>
  <c r="B36" i="76"/>
  <c r="X35" i="76"/>
  <c r="Z35" i="76" s="1"/>
  <c r="V35" i="76"/>
  <c r="N35" i="76"/>
  <c r="L35" i="76"/>
  <c r="J35" i="76"/>
  <c r="B35" i="76"/>
  <c r="Z34" i="76"/>
  <c r="X34" i="76"/>
  <c r="N34" i="76"/>
  <c r="L34" i="76"/>
  <c r="J34" i="76"/>
  <c r="B34" i="76"/>
  <c r="T33" i="76"/>
  <c r="P33" i="76"/>
  <c r="X33" i="76" s="1"/>
  <c r="Z33" i="76" s="1"/>
  <c r="H33" i="76"/>
  <c r="D33" i="76"/>
  <c r="B33" i="76"/>
  <c r="X32" i="76"/>
  <c r="Z32" i="76" s="1"/>
  <c r="N32" i="76"/>
  <c r="L32" i="76"/>
  <c r="J32" i="76"/>
  <c r="B32" i="76"/>
  <c r="Z31" i="76"/>
  <c r="X31" i="76"/>
  <c r="N31" i="76"/>
  <c r="L31" i="76"/>
  <c r="J31" i="76"/>
  <c r="B31" i="76"/>
  <c r="Z30" i="76"/>
  <c r="X30" i="76"/>
  <c r="V30" i="76"/>
  <c r="N30" i="76"/>
  <c r="L30" i="76"/>
  <c r="B30" i="76"/>
  <c r="X29" i="76"/>
  <c r="Z29" i="76" s="1"/>
  <c r="N29" i="76"/>
  <c r="L29" i="76"/>
  <c r="B29" i="76"/>
  <c r="X28" i="76"/>
  <c r="Z28" i="76" s="1"/>
  <c r="N28" i="76"/>
  <c r="L28" i="76"/>
  <c r="J28" i="76"/>
  <c r="B28" i="76"/>
  <c r="Z27" i="76"/>
  <c r="X27" i="76"/>
  <c r="N27" i="76"/>
  <c r="L27" i="76"/>
  <c r="J27" i="76"/>
  <c r="B27" i="76"/>
  <c r="X26" i="76"/>
  <c r="Z26" i="76" s="1"/>
  <c r="V26" i="76"/>
  <c r="L26" i="76"/>
  <c r="N26" i="76" s="1"/>
  <c r="B26" i="76"/>
  <c r="X25" i="76"/>
  <c r="Z25" i="76" s="1"/>
  <c r="N25" i="76"/>
  <c r="L25" i="76"/>
  <c r="B25" i="76"/>
  <c r="X24" i="76"/>
  <c r="T24" i="76"/>
  <c r="Z24" i="76" s="1"/>
  <c r="P24" i="76"/>
  <c r="J24" i="76"/>
  <c r="H24" i="76"/>
  <c r="D24" i="76"/>
  <c r="L24" i="76" s="1"/>
  <c r="N24" i="76" s="1"/>
  <c r="B24" i="76"/>
  <c r="T23" i="76"/>
  <c r="P23" i="76"/>
  <c r="H23" i="76"/>
  <c r="D23" i="76"/>
  <c r="Z19" i="76"/>
  <c r="X19" i="76"/>
  <c r="N19" i="76"/>
  <c r="L19" i="76"/>
  <c r="J19" i="76"/>
  <c r="B19" i="76"/>
  <c r="Z18" i="76"/>
  <c r="X18" i="76"/>
  <c r="N18" i="76"/>
  <c r="L18" i="76"/>
  <c r="J18" i="76"/>
  <c r="B18" i="76"/>
  <c r="X17" i="76"/>
  <c r="Z17" i="76" s="1"/>
  <c r="N17" i="76"/>
  <c r="L17" i="76"/>
  <c r="J17" i="76"/>
  <c r="B17" i="76"/>
  <c r="T16" i="76"/>
  <c r="P16" i="76"/>
  <c r="L16" i="76"/>
  <c r="H16" i="76"/>
  <c r="H21" i="76" s="1"/>
  <c r="D16" i="76"/>
  <c r="Z14" i="76"/>
  <c r="P14" i="76"/>
  <c r="X14" i="76" s="1"/>
  <c r="N14" i="76"/>
  <c r="L14" i="76"/>
  <c r="D14" i="76"/>
  <c r="B14" i="76"/>
  <c r="P13" i="76"/>
  <c r="P12" i="76" s="1"/>
  <c r="D13" i="76"/>
  <c r="B13" i="76"/>
  <c r="T12" i="76"/>
  <c r="V82" i="76" s="1"/>
  <c r="H12" i="76"/>
  <c r="J81" i="76" s="1"/>
  <c r="D6" i="76"/>
  <c r="D4" i="76"/>
  <c r="Z51" i="75"/>
  <c r="X51" i="75"/>
  <c r="V51" i="75"/>
  <c r="N51" i="75"/>
  <c r="L51" i="75"/>
  <c r="X47" i="75"/>
  <c r="T47" i="75"/>
  <c r="Z47" i="75" s="1"/>
  <c r="P47" i="75"/>
  <c r="N47" i="75"/>
  <c r="J47" i="75"/>
  <c r="H47" i="75"/>
  <c r="D47" i="75"/>
  <c r="L47" i="75" s="1"/>
  <c r="Z45" i="75"/>
  <c r="X45" i="75"/>
  <c r="N45" i="75"/>
  <c r="L45" i="75"/>
  <c r="J45" i="75"/>
  <c r="B45" i="75"/>
  <c r="Z44" i="75"/>
  <c r="X44" i="75"/>
  <c r="V44" i="75"/>
  <c r="N44" i="75"/>
  <c r="L44" i="75"/>
  <c r="B44" i="75"/>
  <c r="Z43" i="75"/>
  <c r="X43" i="75"/>
  <c r="V43" i="75"/>
  <c r="N43" i="75"/>
  <c r="L43" i="75"/>
  <c r="B43" i="75"/>
  <c r="Z42" i="75"/>
  <c r="X42" i="75"/>
  <c r="N42" i="75"/>
  <c r="L42" i="75"/>
  <c r="B42" i="75"/>
  <c r="Z41" i="75"/>
  <c r="X41" i="75"/>
  <c r="N41" i="75"/>
  <c r="L41" i="75"/>
  <c r="J41" i="75"/>
  <c r="B41" i="75"/>
  <c r="Z40" i="75"/>
  <c r="X40" i="75"/>
  <c r="V40" i="75"/>
  <c r="N40" i="75"/>
  <c r="L40" i="75"/>
  <c r="B40" i="75"/>
  <c r="Z39" i="75"/>
  <c r="X39" i="75"/>
  <c r="V39" i="75"/>
  <c r="N39" i="75"/>
  <c r="L39" i="75"/>
  <c r="B39" i="75"/>
  <c r="Z38" i="75"/>
  <c r="X38" i="75"/>
  <c r="N38" i="75"/>
  <c r="L38" i="75"/>
  <c r="B38" i="75"/>
  <c r="Z37" i="75"/>
  <c r="X37" i="75"/>
  <c r="N37" i="75"/>
  <c r="L37" i="75"/>
  <c r="J37" i="75"/>
  <c r="B37" i="75"/>
  <c r="Z36" i="75"/>
  <c r="X36" i="75"/>
  <c r="V36" i="75"/>
  <c r="N36" i="75"/>
  <c r="L36" i="75"/>
  <c r="B36" i="75"/>
  <c r="Z35" i="75"/>
  <c r="V35" i="75"/>
  <c r="T35" i="75"/>
  <c r="P35" i="75"/>
  <c r="X35" i="75" s="1"/>
  <c r="L35" i="75"/>
  <c r="H35" i="75"/>
  <c r="N35" i="75" s="1"/>
  <c r="D35" i="75"/>
  <c r="B35" i="75"/>
  <c r="Z34" i="75"/>
  <c r="X34" i="75"/>
  <c r="N34" i="75"/>
  <c r="L34" i="75"/>
  <c r="J34" i="75"/>
  <c r="B34" i="75"/>
  <c r="Z33" i="75"/>
  <c r="X33" i="75"/>
  <c r="V33" i="75"/>
  <c r="N33" i="75"/>
  <c r="L33" i="75"/>
  <c r="B33" i="75"/>
  <c r="Z32" i="75"/>
  <c r="X32" i="75"/>
  <c r="N32" i="75"/>
  <c r="L32" i="75"/>
  <c r="J32" i="75"/>
  <c r="B32" i="75"/>
  <c r="Z31" i="75"/>
  <c r="X31" i="75"/>
  <c r="N31" i="75"/>
  <c r="L31" i="75"/>
  <c r="J31" i="75"/>
  <c r="B31" i="75"/>
  <c r="Z30" i="75"/>
  <c r="X30" i="75"/>
  <c r="N30" i="75"/>
  <c r="L30" i="75"/>
  <c r="J30" i="75"/>
  <c r="B30" i="75"/>
  <c r="Z29" i="75"/>
  <c r="X29" i="75"/>
  <c r="V29" i="75"/>
  <c r="N29" i="75"/>
  <c r="L29" i="75"/>
  <c r="B29" i="75"/>
  <c r="Z28" i="75"/>
  <c r="X28" i="75"/>
  <c r="N28" i="75"/>
  <c r="L28" i="75"/>
  <c r="J28" i="75"/>
  <c r="B28" i="75"/>
  <c r="Z27" i="75"/>
  <c r="X27" i="75"/>
  <c r="N27" i="75"/>
  <c r="L27" i="75"/>
  <c r="J27" i="75"/>
  <c r="B27" i="75"/>
  <c r="Z26" i="75"/>
  <c r="X26" i="75"/>
  <c r="T26" i="75"/>
  <c r="P26" i="75"/>
  <c r="H26" i="75"/>
  <c r="D26" i="75"/>
  <c r="B26" i="75"/>
  <c r="T25" i="75"/>
  <c r="Z25" i="75" s="1"/>
  <c r="P25" i="75"/>
  <c r="X25" i="75" s="1"/>
  <c r="H25" i="75"/>
  <c r="N25" i="75" s="1"/>
  <c r="D25" i="75"/>
  <c r="T23" i="75"/>
  <c r="Z21" i="75"/>
  <c r="X21" i="75"/>
  <c r="N21" i="75"/>
  <c r="L21" i="75"/>
  <c r="B21" i="75"/>
  <c r="Z20" i="75"/>
  <c r="X20" i="75"/>
  <c r="V20" i="75"/>
  <c r="N20" i="75"/>
  <c r="L20" i="75"/>
  <c r="J20" i="75"/>
  <c r="B20" i="75"/>
  <c r="X19" i="75"/>
  <c r="Z19" i="75" s="1"/>
  <c r="V19" i="75"/>
  <c r="N19" i="75"/>
  <c r="L19" i="75"/>
  <c r="J19" i="75"/>
  <c r="B19" i="75"/>
  <c r="Z18" i="75"/>
  <c r="V18" i="75"/>
  <c r="T18" i="75"/>
  <c r="P18" i="75"/>
  <c r="X18" i="75" s="1"/>
  <c r="L18" i="75"/>
  <c r="H18" i="75"/>
  <c r="D18" i="75"/>
  <c r="Z16" i="75"/>
  <c r="P16" i="75"/>
  <c r="X16" i="75" s="1"/>
  <c r="N16" i="75"/>
  <c r="D16" i="75"/>
  <c r="L16" i="75" s="1"/>
  <c r="B16" i="75"/>
  <c r="Z15" i="75"/>
  <c r="P15" i="75"/>
  <c r="P12" i="75" s="1"/>
  <c r="N15" i="75"/>
  <c r="D15" i="75"/>
  <c r="L15" i="75" s="1"/>
  <c r="B15" i="75"/>
  <c r="Z14" i="75"/>
  <c r="P14" i="75"/>
  <c r="X14" i="75" s="1"/>
  <c r="N14" i="75"/>
  <c r="D14" i="75"/>
  <c r="L14" i="75" s="1"/>
  <c r="B14" i="75"/>
  <c r="Z13" i="75"/>
  <c r="X13" i="75"/>
  <c r="P13" i="75"/>
  <c r="D13" i="75"/>
  <c r="B13" i="75"/>
  <c r="T12" i="75"/>
  <c r="V34" i="75" s="1"/>
  <c r="H12" i="75"/>
  <c r="J42" i="75" s="1"/>
  <c r="D6" i="75"/>
  <c r="D4" i="75"/>
  <c r="Z72" i="74"/>
  <c r="X72" i="74"/>
  <c r="N72" i="74"/>
  <c r="L72" i="74"/>
  <c r="Z68" i="74"/>
  <c r="V68" i="74"/>
  <c r="T68" i="74"/>
  <c r="P68" i="74"/>
  <c r="X68" i="74" s="1"/>
  <c r="L68" i="74"/>
  <c r="H68" i="74"/>
  <c r="N68" i="74" s="1"/>
  <c r="D68" i="74"/>
  <c r="Z66" i="74"/>
  <c r="X66" i="74"/>
  <c r="N66" i="74"/>
  <c r="L66" i="74"/>
  <c r="B66" i="74"/>
  <c r="Z65" i="74"/>
  <c r="X65" i="74"/>
  <c r="T65" i="74"/>
  <c r="P65" i="74"/>
  <c r="L65" i="74"/>
  <c r="H65" i="74"/>
  <c r="N65" i="74" s="1"/>
  <c r="D65" i="74"/>
  <c r="B65" i="74"/>
  <c r="Z64" i="74"/>
  <c r="X64" i="74"/>
  <c r="N64" i="74"/>
  <c r="L64" i="74"/>
  <c r="B64" i="74"/>
  <c r="T63" i="74"/>
  <c r="Z63" i="74" s="1"/>
  <c r="P63" i="74"/>
  <c r="X63" i="74" s="1"/>
  <c r="H63" i="74"/>
  <c r="F63" i="74"/>
  <c r="D63" i="74"/>
  <c r="B63" i="74"/>
  <c r="Z62" i="74"/>
  <c r="X62" i="74"/>
  <c r="N62" i="74"/>
  <c r="L62" i="74"/>
  <c r="F62" i="74"/>
  <c r="B62" i="74"/>
  <c r="Z61" i="74"/>
  <c r="X61" i="74"/>
  <c r="N61" i="74"/>
  <c r="L61" i="74"/>
  <c r="B61" i="74"/>
  <c r="Z60" i="74"/>
  <c r="X60" i="74"/>
  <c r="V60" i="74"/>
  <c r="N60" i="74"/>
  <c r="L60" i="74"/>
  <c r="B60" i="74"/>
  <c r="Z59" i="74"/>
  <c r="X59" i="74"/>
  <c r="N59" i="74"/>
  <c r="L59" i="74"/>
  <c r="B59" i="74"/>
  <c r="T58" i="74"/>
  <c r="Z58" i="74" s="1"/>
  <c r="P58" i="74"/>
  <c r="H58" i="74"/>
  <c r="N58" i="74" s="1"/>
  <c r="D58" i="74"/>
  <c r="B58" i="74"/>
  <c r="Z57" i="74"/>
  <c r="X57" i="74"/>
  <c r="V57" i="74"/>
  <c r="N57" i="74"/>
  <c r="L57" i="74"/>
  <c r="J57" i="74"/>
  <c r="F57" i="74"/>
  <c r="B57" i="74"/>
  <c r="Z56" i="74"/>
  <c r="X56" i="74"/>
  <c r="N56" i="74"/>
  <c r="L56" i="74"/>
  <c r="B56" i="74"/>
  <c r="Z55" i="74"/>
  <c r="X55" i="74"/>
  <c r="V55" i="74"/>
  <c r="T55" i="74"/>
  <c r="P55" i="74"/>
  <c r="N55" i="74"/>
  <c r="H55" i="74"/>
  <c r="D55" i="74"/>
  <c r="L55" i="74" s="1"/>
  <c r="B55" i="74"/>
  <c r="Z54" i="74"/>
  <c r="X54" i="74"/>
  <c r="N54" i="74"/>
  <c r="L54" i="74"/>
  <c r="B54" i="74"/>
  <c r="Z53" i="74"/>
  <c r="X53" i="74"/>
  <c r="V53" i="74"/>
  <c r="N53" i="74"/>
  <c r="L53" i="74"/>
  <c r="B53" i="74"/>
  <c r="T52" i="74"/>
  <c r="Z52" i="74" s="1"/>
  <c r="P52" i="74"/>
  <c r="X52" i="74" s="1"/>
  <c r="N52" i="74"/>
  <c r="L52" i="74"/>
  <c r="H52" i="74"/>
  <c r="D52" i="74"/>
  <c r="B52" i="74"/>
  <c r="Z51" i="74"/>
  <c r="X51" i="74"/>
  <c r="N51" i="74"/>
  <c r="L51" i="74"/>
  <c r="J51" i="74"/>
  <c r="B51" i="74"/>
  <c r="T50" i="74"/>
  <c r="Z50" i="74" s="1"/>
  <c r="P50" i="74"/>
  <c r="L50" i="74"/>
  <c r="J50" i="74"/>
  <c r="H50" i="74"/>
  <c r="N50" i="74" s="1"/>
  <c r="D50" i="74"/>
  <c r="B50" i="74"/>
  <c r="Z49" i="74"/>
  <c r="X49" i="74"/>
  <c r="V49" i="74"/>
  <c r="N49" i="74"/>
  <c r="L49" i="74"/>
  <c r="B49" i="74"/>
  <c r="T48" i="74"/>
  <c r="Z48" i="74" s="1"/>
  <c r="P48" i="74"/>
  <c r="X48" i="74" s="1"/>
  <c r="H48" i="74"/>
  <c r="N48" i="74" s="1"/>
  <c r="F48" i="74"/>
  <c r="D48" i="74"/>
  <c r="B48" i="74"/>
  <c r="Z47" i="74"/>
  <c r="X47" i="74"/>
  <c r="N47" i="74"/>
  <c r="L47" i="74"/>
  <c r="B47" i="74"/>
  <c r="Z46" i="74"/>
  <c r="X46" i="74"/>
  <c r="T46" i="74"/>
  <c r="P46" i="74"/>
  <c r="H46" i="74"/>
  <c r="N46" i="74" s="1"/>
  <c r="D46" i="74"/>
  <c r="L46" i="74" s="1"/>
  <c r="B46" i="74"/>
  <c r="Z45" i="74"/>
  <c r="X45" i="74"/>
  <c r="V45" i="74"/>
  <c r="N45" i="74"/>
  <c r="L45" i="74"/>
  <c r="B45" i="74"/>
  <c r="V44" i="74"/>
  <c r="T44" i="74"/>
  <c r="Z44" i="74" s="1"/>
  <c r="P44" i="74"/>
  <c r="H44" i="74"/>
  <c r="N44" i="74" s="1"/>
  <c r="D44" i="74"/>
  <c r="B44" i="74"/>
  <c r="Z43" i="74"/>
  <c r="X43" i="74"/>
  <c r="V43" i="74"/>
  <c r="N43" i="74"/>
  <c r="L43" i="74"/>
  <c r="B43" i="74"/>
  <c r="V42" i="74"/>
  <c r="T42" i="74"/>
  <c r="Z42" i="74" s="1"/>
  <c r="P42" i="74"/>
  <c r="H42" i="74"/>
  <c r="N42" i="74" s="1"/>
  <c r="D42" i="74"/>
  <c r="L42" i="74" s="1"/>
  <c r="B42" i="74"/>
  <c r="Z41" i="74"/>
  <c r="X41" i="74"/>
  <c r="V41" i="74"/>
  <c r="N41" i="74"/>
  <c r="L41" i="74"/>
  <c r="B41" i="74"/>
  <c r="Z40" i="74"/>
  <c r="X40" i="74"/>
  <c r="N40" i="74"/>
  <c r="L40" i="74"/>
  <c r="J40" i="74"/>
  <c r="F40" i="74"/>
  <c r="B40" i="74"/>
  <c r="Z39" i="74"/>
  <c r="X39" i="74"/>
  <c r="N39" i="74"/>
  <c r="L39" i="74"/>
  <c r="B39" i="74"/>
  <c r="Z38" i="74"/>
  <c r="X38" i="74"/>
  <c r="N38" i="74"/>
  <c r="L38" i="74"/>
  <c r="B38" i="74"/>
  <c r="Z37" i="74"/>
  <c r="X37" i="74"/>
  <c r="V37" i="74"/>
  <c r="N37" i="74"/>
  <c r="L37" i="74"/>
  <c r="B37" i="74"/>
  <c r="Z36" i="74"/>
  <c r="X36" i="74"/>
  <c r="N36" i="74"/>
  <c r="L36" i="74"/>
  <c r="J36" i="74"/>
  <c r="F36" i="74"/>
  <c r="B36" i="74"/>
  <c r="Z35" i="74"/>
  <c r="X35" i="74"/>
  <c r="N35" i="74"/>
  <c r="L35" i="74"/>
  <c r="B35" i="74"/>
  <c r="Z34" i="74"/>
  <c r="X34" i="74"/>
  <c r="N34" i="74"/>
  <c r="L34" i="74"/>
  <c r="B34" i="74"/>
  <c r="Z33" i="74"/>
  <c r="X33" i="74"/>
  <c r="V33" i="74"/>
  <c r="N33" i="74"/>
  <c r="L33" i="74"/>
  <c r="B33" i="74"/>
  <c r="Z32" i="74"/>
  <c r="X32" i="74"/>
  <c r="N32" i="74"/>
  <c r="L32" i="74"/>
  <c r="J32" i="74"/>
  <c r="F32" i="74"/>
  <c r="B32" i="74"/>
  <c r="Z31" i="74"/>
  <c r="T31" i="74"/>
  <c r="P31" i="74"/>
  <c r="X31" i="74" s="1"/>
  <c r="H31" i="74"/>
  <c r="F31" i="74"/>
  <c r="D31" i="74"/>
  <c r="B31" i="74"/>
  <c r="Z30" i="74"/>
  <c r="X30" i="74"/>
  <c r="N30" i="74"/>
  <c r="L30" i="74"/>
  <c r="B30" i="74"/>
  <c r="Z29" i="74"/>
  <c r="X29" i="74"/>
  <c r="V29" i="74"/>
  <c r="N29" i="74"/>
  <c r="L29" i="74"/>
  <c r="B29" i="74"/>
  <c r="Z28" i="74"/>
  <c r="X28" i="74"/>
  <c r="V28" i="74"/>
  <c r="N28" i="74"/>
  <c r="L28" i="74"/>
  <c r="B28" i="74"/>
  <c r="Z27" i="74"/>
  <c r="X27" i="74"/>
  <c r="N27" i="74"/>
  <c r="L27" i="74"/>
  <c r="B27" i="74"/>
  <c r="Z26" i="74"/>
  <c r="X26" i="74"/>
  <c r="N26" i="74"/>
  <c r="L26" i="74"/>
  <c r="F26" i="74"/>
  <c r="B26" i="74"/>
  <c r="Z25" i="74"/>
  <c r="X25" i="74"/>
  <c r="V25" i="74"/>
  <c r="N25" i="74"/>
  <c r="L25" i="74"/>
  <c r="B25" i="74"/>
  <c r="Z24" i="74"/>
  <c r="X24" i="74"/>
  <c r="V24" i="74"/>
  <c r="N24" i="74"/>
  <c r="L24" i="74"/>
  <c r="B24" i="74"/>
  <c r="Z23" i="74"/>
  <c r="X23" i="74"/>
  <c r="N23" i="74"/>
  <c r="L23" i="74"/>
  <c r="B23" i="74"/>
  <c r="T22" i="74"/>
  <c r="Z22" i="74" s="1"/>
  <c r="P22" i="74"/>
  <c r="J22" i="74"/>
  <c r="H22" i="74"/>
  <c r="D22" i="74"/>
  <c r="B22" i="74"/>
  <c r="V21" i="74"/>
  <c r="T21" i="74"/>
  <c r="P21" i="74"/>
  <c r="J21" i="74"/>
  <c r="H21" i="74"/>
  <c r="D21" i="74"/>
  <c r="L21" i="74" s="1"/>
  <c r="N21" i="74" s="1"/>
  <c r="V19" i="74"/>
  <c r="J19" i="74"/>
  <c r="Z17" i="74"/>
  <c r="X17" i="74"/>
  <c r="V17" i="74"/>
  <c r="N17" i="74"/>
  <c r="L17" i="74"/>
  <c r="J17" i="74"/>
  <c r="F17" i="74"/>
  <c r="B17" i="74"/>
  <c r="Z16" i="74"/>
  <c r="X16" i="74"/>
  <c r="N16" i="74"/>
  <c r="L16" i="74"/>
  <c r="B16" i="74"/>
  <c r="Z15" i="74"/>
  <c r="X15" i="74"/>
  <c r="V15" i="74"/>
  <c r="T15" i="74"/>
  <c r="P15" i="74"/>
  <c r="N15" i="74"/>
  <c r="H15" i="74"/>
  <c r="D15" i="74"/>
  <c r="L15" i="74" s="1"/>
  <c r="Z13" i="74"/>
  <c r="P13" i="74"/>
  <c r="N13" i="74"/>
  <c r="L13" i="74"/>
  <c r="D13" i="74"/>
  <c r="B13" i="74"/>
  <c r="T12" i="74"/>
  <c r="V66" i="74" s="1"/>
  <c r="L12" i="74"/>
  <c r="H12" i="74"/>
  <c r="J59" i="74" s="1"/>
  <c r="D12" i="74"/>
  <c r="D6" i="74"/>
  <c r="D4" i="74"/>
  <c r="X81" i="73"/>
  <c r="Z81" i="73" s="1"/>
  <c r="N81" i="73"/>
  <c r="L81" i="73"/>
  <c r="Z77" i="73"/>
  <c r="X77" i="73"/>
  <c r="T77" i="73"/>
  <c r="P77" i="73"/>
  <c r="H77" i="73"/>
  <c r="N77" i="73" s="1"/>
  <c r="D77" i="73"/>
  <c r="L77" i="73" s="1"/>
  <c r="Z75" i="73"/>
  <c r="X75" i="73"/>
  <c r="L75" i="73"/>
  <c r="N75" i="73" s="1"/>
  <c r="B75" i="73"/>
  <c r="T74" i="73"/>
  <c r="P74" i="73"/>
  <c r="H74" i="73"/>
  <c r="D74" i="73"/>
  <c r="L74" i="73" s="1"/>
  <c r="N74" i="73" s="1"/>
  <c r="B74" i="73"/>
  <c r="X73" i="73"/>
  <c r="Z73" i="73" s="1"/>
  <c r="N73" i="73"/>
  <c r="L73" i="73"/>
  <c r="B73" i="73"/>
  <c r="T72" i="73"/>
  <c r="P72" i="73"/>
  <c r="X72" i="73" s="1"/>
  <c r="Z72" i="73" s="1"/>
  <c r="N72" i="73"/>
  <c r="L72" i="73"/>
  <c r="H72" i="73"/>
  <c r="D72" i="73"/>
  <c r="B72" i="73"/>
  <c r="Z71" i="73"/>
  <c r="X71" i="73"/>
  <c r="N71" i="73"/>
  <c r="L71" i="73"/>
  <c r="B71" i="73"/>
  <c r="Z70" i="73"/>
  <c r="X70" i="73"/>
  <c r="L70" i="73"/>
  <c r="N70" i="73" s="1"/>
  <c r="J70" i="73"/>
  <c r="B70" i="73"/>
  <c r="T69" i="73"/>
  <c r="Z69" i="73" s="1"/>
  <c r="P69" i="73"/>
  <c r="X69" i="73" s="1"/>
  <c r="H69" i="73"/>
  <c r="F69" i="73"/>
  <c r="D69" i="73"/>
  <c r="B69" i="73"/>
  <c r="Z68" i="73"/>
  <c r="X68" i="73"/>
  <c r="N68" i="73"/>
  <c r="L68" i="73"/>
  <c r="B68" i="73"/>
  <c r="Z67" i="73"/>
  <c r="X67" i="73"/>
  <c r="L67" i="73"/>
  <c r="N67" i="73" s="1"/>
  <c r="B67" i="73"/>
  <c r="X66" i="73"/>
  <c r="Z66" i="73" s="1"/>
  <c r="N66" i="73"/>
  <c r="L66" i="73"/>
  <c r="B66" i="73"/>
  <c r="T65" i="73"/>
  <c r="P65" i="73"/>
  <c r="X65" i="73" s="1"/>
  <c r="N65" i="73"/>
  <c r="L65" i="73"/>
  <c r="H65" i="73"/>
  <c r="D65" i="73"/>
  <c r="B65" i="73"/>
  <c r="Z64" i="73"/>
  <c r="X64" i="73"/>
  <c r="N64" i="73"/>
  <c r="L64" i="73"/>
  <c r="J64" i="73"/>
  <c r="B64" i="73"/>
  <c r="Z63" i="73"/>
  <c r="X63" i="73"/>
  <c r="N63" i="73"/>
  <c r="L63" i="73"/>
  <c r="F63" i="73"/>
  <c r="B63" i="73"/>
  <c r="Z62" i="73"/>
  <c r="X62" i="73"/>
  <c r="T62" i="73"/>
  <c r="P62" i="73"/>
  <c r="H62" i="73"/>
  <c r="D62" i="73"/>
  <c r="L62" i="73" s="1"/>
  <c r="N62" i="73" s="1"/>
  <c r="B62" i="73"/>
  <c r="X61" i="73"/>
  <c r="Z61" i="73" s="1"/>
  <c r="L61" i="73"/>
  <c r="N61" i="73" s="1"/>
  <c r="B61" i="73"/>
  <c r="Z60" i="73"/>
  <c r="X60" i="73"/>
  <c r="N60" i="73"/>
  <c r="L60" i="73"/>
  <c r="B60" i="73"/>
  <c r="T59" i="73"/>
  <c r="P59" i="73"/>
  <c r="X59" i="73" s="1"/>
  <c r="H59" i="73"/>
  <c r="N59" i="73" s="1"/>
  <c r="D59" i="73"/>
  <c r="L59" i="73" s="1"/>
  <c r="B59" i="73"/>
  <c r="X58" i="73"/>
  <c r="Z58" i="73" s="1"/>
  <c r="N58" i="73"/>
  <c r="L58" i="73"/>
  <c r="J58" i="73"/>
  <c r="B58" i="73"/>
  <c r="Z57" i="73"/>
  <c r="X57" i="73"/>
  <c r="N57" i="73"/>
  <c r="L57" i="73"/>
  <c r="J57" i="73"/>
  <c r="F57" i="73"/>
  <c r="B57" i="73"/>
  <c r="T56" i="73"/>
  <c r="P56" i="73"/>
  <c r="X56" i="73" s="1"/>
  <c r="Z56" i="73" s="1"/>
  <c r="J56" i="73"/>
  <c r="H56" i="73"/>
  <c r="D56" i="73"/>
  <c r="B56" i="73"/>
  <c r="X55" i="73"/>
  <c r="Z55" i="73" s="1"/>
  <c r="N55" i="73"/>
  <c r="L55" i="73"/>
  <c r="F55" i="73"/>
  <c r="B55" i="73"/>
  <c r="Z54" i="73"/>
  <c r="X54" i="73"/>
  <c r="T54" i="73"/>
  <c r="P54" i="73"/>
  <c r="N54" i="73"/>
  <c r="H54" i="73"/>
  <c r="D54" i="73"/>
  <c r="L54" i="73" s="1"/>
  <c r="B54" i="73"/>
  <c r="X53" i="73"/>
  <c r="Z53" i="73" s="1"/>
  <c r="L53" i="73"/>
  <c r="N53" i="73" s="1"/>
  <c r="B53" i="73"/>
  <c r="Z52" i="73"/>
  <c r="X52" i="73"/>
  <c r="T52" i="73"/>
  <c r="P52" i="73"/>
  <c r="J52" i="73"/>
  <c r="H52" i="73"/>
  <c r="N52" i="73" s="1"/>
  <c r="D52" i="73"/>
  <c r="L52" i="73" s="1"/>
  <c r="B52" i="73"/>
  <c r="Z51" i="73"/>
  <c r="X51" i="73"/>
  <c r="L51" i="73"/>
  <c r="N51" i="73" s="1"/>
  <c r="B51" i="73"/>
  <c r="T50" i="73"/>
  <c r="P50" i="73"/>
  <c r="H50" i="73"/>
  <c r="D50" i="73"/>
  <c r="L50" i="73" s="1"/>
  <c r="N50" i="73" s="1"/>
  <c r="B50" i="73"/>
  <c r="Z49" i="73"/>
  <c r="X49" i="73"/>
  <c r="N49" i="73"/>
  <c r="L49" i="73"/>
  <c r="B49" i="73"/>
  <c r="Z48" i="73"/>
  <c r="T48" i="73"/>
  <c r="P48" i="73"/>
  <c r="X48" i="73" s="1"/>
  <c r="N48" i="73"/>
  <c r="L48" i="73"/>
  <c r="J48" i="73"/>
  <c r="H48" i="73"/>
  <c r="D48" i="73"/>
  <c r="B48" i="73"/>
  <c r="Z47" i="73"/>
  <c r="X47" i="73"/>
  <c r="L47" i="73"/>
  <c r="N47" i="73" s="1"/>
  <c r="B47" i="73"/>
  <c r="T46" i="73"/>
  <c r="Z46" i="73" s="1"/>
  <c r="P46" i="73"/>
  <c r="X46" i="73" s="1"/>
  <c r="N46" i="73"/>
  <c r="L46" i="73"/>
  <c r="J46" i="73"/>
  <c r="H46" i="73"/>
  <c r="D46" i="73"/>
  <c r="B46" i="73"/>
  <c r="Z45" i="73"/>
  <c r="X45" i="73"/>
  <c r="N45" i="73"/>
  <c r="L45" i="73"/>
  <c r="J45" i="73"/>
  <c r="B45" i="73"/>
  <c r="Z44" i="73"/>
  <c r="X44" i="73"/>
  <c r="N44" i="73"/>
  <c r="L44" i="73"/>
  <c r="B44" i="73"/>
  <c r="X43" i="73"/>
  <c r="Z43" i="73" s="1"/>
  <c r="L43" i="73"/>
  <c r="N43" i="73" s="1"/>
  <c r="B43" i="73"/>
  <c r="Z42" i="73"/>
  <c r="X42" i="73"/>
  <c r="N42" i="73"/>
  <c r="L42" i="73"/>
  <c r="J42" i="73"/>
  <c r="B42" i="73"/>
  <c r="Z41" i="73"/>
  <c r="X41" i="73"/>
  <c r="N41" i="73"/>
  <c r="L41" i="73"/>
  <c r="J41" i="73"/>
  <c r="B41" i="73"/>
  <c r="Z40" i="73"/>
  <c r="X40" i="73"/>
  <c r="N40" i="73"/>
  <c r="L40" i="73"/>
  <c r="B40" i="73"/>
  <c r="X39" i="73"/>
  <c r="Z39" i="73" s="1"/>
  <c r="L39" i="73"/>
  <c r="N39" i="73" s="1"/>
  <c r="B39" i="73"/>
  <c r="Z38" i="73"/>
  <c r="X38" i="73"/>
  <c r="N38" i="73"/>
  <c r="L38" i="73"/>
  <c r="J38" i="73"/>
  <c r="B38" i="73"/>
  <c r="Z37" i="73"/>
  <c r="X37" i="73"/>
  <c r="N37" i="73"/>
  <c r="L37" i="73"/>
  <c r="J37" i="73"/>
  <c r="B37" i="73"/>
  <c r="Z36" i="73"/>
  <c r="X36" i="73"/>
  <c r="N36" i="73"/>
  <c r="L36" i="73"/>
  <c r="B36" i="73"/>
  <c r="X35" i="73"/>
  <c r="Z35" i="73" s="1"/>
  <c r="T35" i="73"/>
  <c r="P35" i="73"/>
  <c r="H35" i="73"/>
  <c r="D35" i="73"/>
  <c r="L35" i="73" s="1"/>
  <c r="B35" i="73"/>
  <c r="Z34" i="73"/>
  <c r="X34" i="73"/>
  <c r="N34" i="73"/>
  <c r="L34" i="73"/>
  <c r="J34" i="73"/>
  <c r="B34" i="73"/>
  <c r="X33" i="73"/>
  <c r="Z33" i="73" s="1"/>
  <c r="L33" i="73"/>
  <c r="N33" i="73" s="1"/>
  <c r="B33" i="73"/>
  <c r="Z32" i="73"/>
  <c r="X32" i="73"/>
  <c r="N32" i="73"/>
  <c r="L32" i="73"/>
  <c r="J32" i="73"/>
  <c r="B32" i="73"/>
  <c r="Z31" i="73"/>
  <c r="X31" i="73"/>
  <c r="N31" i="73"/>
  <c r="L31" i="73"/>
  <c r="J31" i="73"/>
  <c r="F31" i="73"/>
  <c r="B31" i="73"/>
  <c r="Z30" i="73"/>
  <c r="X30" i="73"/>
  <c r="N30" i="73"/>
  <c r="L30" i="73"/>
  <c r="J30" i="73"/>
  <c r="B30" i="73"/>
  <c r="X29" i="73"/>
  <c r="Z29" i="73" s="1"/>
  <c r="L29" i="73"/>
  <c r="N29" i="73" s="1"/>
  <c r="B29" i="73"/>
  <c r="Z28" i="73"/>
  <c r="X28" i="73"/>
  <c r="N28" i="73"/>
  <c r="L28" i="73"/>
  <c r="J28" i="73"/>
  <c r="B28" i="73"/>
  <c r="X27" i="73"/>
  <c r="Z27" i="73" s="1"/>
  <c r="N27" i="73"/>
  <c r="L27" i="73"/>
  <c r="J27" i="73"/>
  <c r="F27" i="73"/>
  <c r="B27" i="73"/>
  <c r="Z26" i="73"/>
  <c r="X26" i="73"/>
  <c r="N26" i="73"/>
  <c r="L26" i="73"/>
  <c r="J26" i="73"/>
  <c r="B26" i="73"/>
  <c r="X25" i="73"/>
  <c r="T25" i="73"/>
  <c r="P25" i="73"/>
  <c r="H25" i="73"/>
  <c r="D25" i="73"/>
  <c r="B25" i="73"/>
  <c r="T24" i="73"/>
  <c r="P24" i="73"/>
  <c r="H24" i="73"/>
  <c r="D24" i="73"/>
  <c r="Z20" i="73"/>
  <c r="X20" i="73"/>
  <c r="N20" i="73"/>
  <c r="L20" i="73"/>
  <c r="B20" i="73"/>
  <c r="Z19" i="73"/>
  <c r="X19" i="73"/>
  <c r="N19" i="73"/>
  <c r="L19" i="73"/>
  <c r="B19" i="73"/>
  <c r="Z18" i="73"/>
  <c r="X18" i="73"/>
  <c r="L18" i="73"/>
  <c r="N18" i="73" s="1"/>
  <c r="J18" i="73"/>
  <c r="B18" i="73"/>
  <c r="T17" i="73"/>
  <c r="P17" i="73"/>
  <c r="X17" i="73" s="1"/>
  <c r="H17" i="73"/>
  <c r="D17" i="73"/>
  <c r="Z15" i="73"/>
  <c r="X15" i="73"/>
  <c r="P15" i="73"/>
  <c r="N15" i="73"/>
  <c r="D15" i="73"/>
  <c r="L15" i="73" s="1"/>
  <c r="B15" i="73"/>
  <c r="P14" i="73"/>
  <c r="L14" i="73"/>
  <c r="N14" i="73" s="1"/>
  <c r="D14" i="73"/>
  <c r="B14" i="73"/>
  <c r="Z13" i="73"/>
  <c r="X13" i="73"/>
  <c r="P13" i="73"/>
  <c r="N13" i="73"/>
  <c r="L13" i="73"/>
  <c r="D13" i="73"/>
  <c r="D12" i="73" s="1"/>
  <c r="F54" i="73" s="1"/>
  <c r="B13" i="73"/>
  <c r="T12" i="73"/>
  <c r="V60" i="73" s="1"/>
  <c r="H12" i="73"/>
  <c r="J71" i="73" s="1"/>
  <c r="D6" i="73"/>
  <c r="D4" i="73"/>
  <c r="Z110" i="71"/>
  <c r="X110" i="71"/>
  <c r="V110" i="71"/>
  <c r="N110" i="71"/>
  <c r="L110" i="71"/>
  <c r="Z106" i="71"/>
  <c r="P106" i="71"/>
  <c r="X106" i="71" s="1"/>
  <c r="N106" i="71"/>
  <c r="L106" i="71"/>
  <c r="D106" i="71"/>
  <c r="B106" i="71"/>
  <c r="Z105" i="71"/>
  <c r="X105" i="71"/>
  <c r="P105" i="71"/>
  <c r="P104" i="71" s="1"/>
  <c r="X104" i="71" s="1"/>
  <c r="N105" i="71"/>
  <c r="L105" i="71"/>
  <c r="J105" i="71"/>
  <c r="D105" i="71"/>
  <c r="D104" i="71" s="1"/>
  <c r="B105" i="71"/>
  <c r="T104" i="71"/>
  <c r="L104" i="71"/>
  <c r="N104" i="71" s="1"/>
  <c r="H104" i="71"/>
  <c r="Z102" i="71"/>
  <c r="X102" i="71"/>
  <c r="N102" i="71"/>
  <c r="L102" i="71"/>
  <c r="B102" i="71"/>
  <c r="X101" i="71"/>
  <c r="T101" i="71"/>
  <c r="P101" i="71"/>
  <c r="H101" i="71"/>
  <c r="N101" i="71" s="1"/>
  <c r="D101" i="71"/>
  <c r="B101" i="71"/>
  <c r="Z100" i="71"/>
  <c r="X100" i="71"/>
  <c r="N100" i="71"/>
  <c r="L100" i="71"/>
  <c r="B100" i="71"/>
  <c r="T99" i="71"/>
  <c r="P99" i="71"/>
  <c r="H99" i="71"/>
  <c r="D99" i="71"/>
  <c r="L99" i="71" s="1"/>
  <c r="N99" i="71" s="1"/>
  <c r="B99" i="71"/>
  <c r="Z98" i="71"/>
  <c r="X98" i="71"/>
  <c r="N98" i="71"/>
  <c r="L98" i="71"/>
  <c r="J98" i="71"/>
  <c r="B98" i="71"/>
  <c r="X97" i="71"/>
  <c r="Z97" i="71" s="1"/>
  <c r="L97" i="71"/>
  <c r="N97" i="71" s="1"/>
  <c r="B97" i="71"/>
  <c r="Z96" i="71"/>
  <c r="X96" i="71"/>
  <c r="N96" i="71"/>
  <c r="L96" i="71"/>
  <c r="J96" i="71"/>
  <c r="B96" i="71"/>
  <c r="Z95" i="71"/>
  <c r="X95" i="71"/>
  <c r="N95" i="71"/>
  <c r="L95" i="71"/>
  <c r="J95" i="71"/>
  <c r="B95" i="71"/>
  <c r="V94" i="71"/>
  <c r="T94" i="71"/>
  <c r="X94" i="71" s="1"/>
  <c r="Z94" i="71" s="1"/>
  <c r="P94" i="71"/>
  <c r="H94" i="71"/>
  <c r="D94" i="71"/>
  <c r="B94" i="71"/>
  <c r="Z93" i="71"/>
  <c r="X93" i="71"/>
  <c r="N93" i="71"/>
  <c r="L93" i="71"/>
  <c r="B93" i="71"/>
  <c r="Z92" i="71"/>
  <c r="X92" i="71"/>
  <c r="V92" i="71"/>
  <c r="T92" i="71"/>
  <c r="P92" i="71"/>
  <c r="H92" i="71"/>
  <c r="N92" i="71" s="1"/>
  <c r="D92" i="71"/>
  <c r="L92" i="71" s="1"/>
  <c r="B92" i="71"/>
  <c r="X91" i="71"/>
  <c r="Z91" i="71" s="1"/>
  <c r="L91" i="71"/>
  <c r="N91" i="71" s="1"/>
  <c r="B91" i="71"/>
  <c r="Z90" i="71"/>
  <c r="X90" i="71"/>
  <c r="N90" i="71"/>
  <c r="L90" i="71"/>
  <c r="B90" i="71"/>
  <c r="X89" i="71"/>
  <c r="Z89" i="71" s="1"/>
  <c r="T89" i="71"/>
  <c r="P89" i="71"/>
  <c r="H89" i="71"/>
  <c r="D89" i="71"/>
  <c r="B89" i="71"/>
  <c r="X88" i="71"/>
  <c r="Z88" i="71" s="1"/>
  <c r="L88" i="71"/>
  <c r="N88" i="71" s="1"/>
  <c r="J88" i="71"/>
  <c r="B88" i="71"/>
  <c r="T87" i="71"/>
  <c r="P87" i="71"/>
  <c r="H87" i="71"/>
  <c r="D87" i="71"/>
  <c r="L87" i="71" s="1"/>
  <c r="B87" i="71"/>
  <c r="Z86" i="71"/>
  <c r="X86" i="71"/>
  <c r="L86" i="71"/>
  <c r="N86" i="71" s="1"/>
  <c r="J86" i="71"/>
  <c r="B86" i="71"/>
  <c r="T85" i="71"/>
  <c r="P85" i="71"/>
  <c r="X85" i="71" s="1"/>
  <c r="J85" i="71"/>
  <c r="H85" i="71"/>
  <c r="D85" i="71"/>
  <c r="B85" i="71"/>
  <c r="Z84" i="71"/>
  <c r="X84" i="71"/>
  <c r="N84" i="71"/>
  <c r="L84" i="71"/>
  <c r="B84" i="71"/>
  <c r="X83" i="71"/>
  <c r="Z83" i="71" s="1"/>
  <c r="L83" i="71"/>
  <c r="N83" i="71" s="1"/>
  <c r="B83" i="71"/>
  <c r="X82" i="71"/>
  <c r="T82" i="71"/>
  <c r="P82" i="71"/>
  <c r="N82" i="71"/>
  <c r="H82" i="71"/>
  <c r="D82" i="71"/>
  <c r="L82" i="71" s="1"/>
  <c r="B82" i="71"/>
  <c r="X81" i="71"/>
  <c r="Z81" i="71" s="1"/>
  <c r="L81" i="71"/>
  <c r="N81" i="71" s="1"/>
  <c r="B81" i="71"/>
  <c r="X80" i="71"/>
  <c r="Z80" i="71" s="1"/>
  <c r="T80" i="71"/>
  <c r="P80" i="71"/>
  <c r="N80" i="71"/>
  <c r="H80" i="71"/>
  <c r="L80" i="71" s="1"/>
  <c r="D80" i="71"/>
  <c r="B80" i="71"/>
  <c r="Z79" i="71"/>
  <c r="X79" i="71"/>
  <c r="V79" i="71"/>
  <c r="L79" i="71"/>
  <c r="N79" i="71" s="1"/>
  <c r="B79" i="71"/>
  <c r="T78" i="71"/>
  <c r="P78" i="71"/>
  <c r="X78" i="71" s="1"/>
  <c r="N78" i="71"/>
  <c r="L78" i="71"/>
  <c r="H78" i="71"/>
  <c r="D78" i="71"/>
  <c r="B78" i="71"/>
  <c r="X77" i="71"/>
  <c r="Z77" i="71" s="1"/>
  <c r="L77" i="71"/>
  <c r="N77" i="71" s="1"/>
  <c r="J77" i="71"/>
  <c r="B77" i="71"/>
  <c r="T76" i="71"/>
  <c r="P76" i="71"/>
  <c r="X76" i="71" s="1"/>
  <c r="Z76" i="71" s="1"/>
  <c r="L76" i="71"/>
  <c r="J76" i="71"/>
  <c r="H76" i="71"/>
  <c r="D76" i="71"/>
  <c r="B76" i="71"/>
  <c r="X75" i="71"/>
  <c r="Z75" i="71" s="1"/>
  <c r="N75" i="71"/>
  <c r="L75" i="71"/>
  <c r="J75" i="71"/>
  <c r="B75" i="71"/>
  <c r="Z74" i="71"/>
  <c r="T74" i="71"/>
  <c r="X74" i="71" s="1"/>
  <c r="P74" i="71"/>
  <c r="H74" i="71"/>
  <c r="D74" i="71"/>
  <c r="L74" i="71" s="1"/>
  <c r="N74" i="71" s="1"/>
  <c r="B74" i="71"/>
  <c r="Z73" i="71"/>
  <c r="X73" i="71"/>
  <c r="N73" i="71"/>
  <c r="L73" i="71"/>
  <c r="B73" i="71"/>
  <c r="Z72" i="71"/>
  <c r="X72" i="71"/>
  <c r="N72" i="71"/>
  <c r="L72" i="71"/>
  <c r="B72" i="71"/>
  <c r="Z71" i="71"/>
  <c r="X71" i="71"/>
  <c r="L71" i="71"/>
  <c r="N71" i="71" s="1"/>
  <c r="B71" i="71"/>
  <c r="Z70" i="71"/>
  <c r="X70" i="71"/>
  <c r="V70" i="71"/>
  <c r="N70" i="71"/>
  <c r="L70" i="71"/>
  <c r="J70" i="71"/>
  <c r="B70" i="71"/>
  <c r="Z69" i="71"/>
  <c r="X69" i="71"/>
  <c r="N69" i="71"/>
  <c r="L69" i="71"/>
  <c r="J69" i="71"/>
  <c r="B69" i="71"/>
  <c r="Z68" i="71"/>
  <c r="X68" i="71"/>
  <c r="N68" i="71"/>
  <c r="L68" i="71"/>
  <c r="B68" i="71"/>
  <c r="Z67" i="71"/>
  <c r="X67" i="71"/>
  <c r="N67" i="71"/>
  <c r="L67" i="71"/>
  <c r="B67" i="71"/>
  <c r="Z66" i="71"/>
  <c r="X66" i="71"/>
  <c r="N66" i="71"/>
  <c r="L66" i="71"/>
  <c r="B66" i="71"/>
  <c r="X65" i="71"/>
  <c r="Z65" i="71" s="1"/>
  <c r="L65" i="71"/>
  <c r="N65" i="71" s="1"/>
  <c r="J65" i="71"/>
  <c r="B65" i="71"/>
  <c r="Z64" i="71"/>
  <c r="X64" i="71"/>
  <c r="N64" i="71"/>
  <c r="L64" i="71"/>
  <c r="J64" i="71"/>
  <c r="B64" i="71"/>
  <c r="V63" i="71"/>
  <c r="T63" i="71"/>
  <c r="P63" i="71"/>
  <c r="H63" i="71"/>
  <c r="D63" i="71"/>
  <c r="L63" i="71" s="1"/>
  <c r="B63" i="71"/>
  <c r="X62" i="71"/>
  <c r="Z62" i="71" s="1"/>
  <c r="V62" i="71"/>
  <c r="N62" i="71"/>
  <c r="L62" i="71"/>
  <c r="J62" i="71"/>
  <c r="B62" i="71"/>
  <c r="X61" i="71"/>
  <c r="Z61" i="71" s="1"/>
  <c r="N61" i="71"/>
  <c r="L61" i="71"/>
  <c r="J61" i="71"/>
  <c r="B61" i="71"/>
  <c r="Z60" i="71"/>
  <c r="X60" i="71"/>
  <c r="V60" i="71"/>
  <c r="N60" i="71"/>
  <c r="L60" i="71"/>
  <c r="B60" i="71"/>
  <c r="Z59" i="71"/>
  <c r="X59" i="71"/>
  <c r="N59" i="71"/>
  <c r="L59" i="71"/>
  <c r="B59" i="71"/>
  <c r="Z58" i="71"/>
  <c r="X58" i="71"/>
  <c r="N58" i="71"/>
  <c r="L58" i="71"/>
  <c r="J58" i="71"/>
  <c r="B58" i="71"/>
  <c r="X57" i="71"/>
  <c r="Z57" i="71" s="1"/>
  <c r="V57" i="71"/>
  <c r="N57" i="71"/>
  <c r="L57" i="71"/>
  <c r="J57" i="71"/>
  <c r="B57" i="71"/>
  <c r="Z56" i="71"/>
  <c r="X56" i="71"/>
  <c r="V56" i="71"/>
  <c r="N56" i="71"/>
  <c r="L56" i="71"/>
  <c r="B56" i="71"/>
  <c r="Z55" i="71"/>
  <c r="X55" i="71"/>
  <c r="L55" i="71"/>
  <c r="N55" i="71" s="1"/>
  <c r="B55" i="71"/>
  <c r="X54" i="71"/>
  <c r="Z54" i="71" s="1"/>
  <c r="V54" i="71"/>
  <c r="N54" i="71"/>
  <c r="L54" i="71"/>
  <c r="J54" i="71"/>
  <c r="B54" i="71"/>
  <c r="X53" i="71"/>
  <c r="Z53" i="71" s="1"/>
  <c r="V53" i="71"/>
  <c r="N53" i="71"/>
  <c r="L53" i="71"/>
  <c r="B53" i="71"/>
  <c r="T52" i="71"/>
  <c r="P52" i="71"/>
  <c r="X52" i="71" s="1"/>
  <c r="Z52" i="71" s="1"/>
  <c r="J52" i="71"/>
  <c r="H52" i="71"/>
  <c r="L52" i="71" s="1"/>
  <c r="D52" i="71"/>
  <c r="B52" i="71"/>
  <c r="T51" i="71"/>
  <c r="P51" i="71"/>
  <c r="H51" i="71"/>
  <c r="J51" i="71" s="1"/>
  <c r="D51" i="71"/>
  <c r="L51" i="71" s="1"/>
  <c r="Z47" i="71"/>
  <c r="X47" i="71"/>
  <c r="N47" i="71"/>
  <c r="L47" i="71"/>
  <c r="B47" i="71"/>
  <c r="Z46" i="71"/>
  <c r="X46" i="71"/>
  <c r="N46" i="71"/>
  <c r="L46" i="71"/>
  <c r="J46" i="71"/>
  <c r="B46" i="71"/>
  <c r="Z45" i="71"/>
  <c r="X45" i="71"/>
  <c r="N45" i="71"/>
  <c r="L45" i="71"/>
  <c r="B45" i="71"/>
  <c r="Z44" i="71"/>
  <c r="X44" i="71"/>
  <c r="V44" i="71"/>
  <c r="N44" i="71"/>
  <c r="L44" i="71"/>
  <c r="J44" i="71"/>
  <c r="B44" i="71"/>
  <c r="Z43" i="71"/>
  <c r="X43" i="71"/>
  <c r="N43" i="71"/>
  <c r="L43" i="71"/>
  <c r="J43" i="71"/>
  <c r="B43" i="71"/>
  <c r="Z42" i="71"/>
  <c r="X42" i="71"/>
  <c r="N42" i="71"/>
  <c r="L42" i="71"/>
  <c r="J42" i="71"/>
  <c r="B42" i="71"/>
  <c r="Z41" i="71"/>
  <c r="X41" i="71"/>
  <c r="V41" i="71"/>
  <c r="N41" i="71"/>
  <c r="L41" i="71"/>
  <c r="B41" i="71"/>
  <c r="Z40" i="71"/>
  <c r="X40" i="71"/>
  <c r="N40" i="71"/>
  <c r="L40" i="71"/>
  <c r="J40" i="71"/>
  <c r="B40" i="71"/>
  <c r="Z39" i="71"/>
  <c r="X39" i="71"/>
  <c r="N39" i="71"/>
  <c r="L39" i="71"/>
  <c r="J39" i="71"/>
  <c r="B39" i="71"/>
  <c r="Z38" i="71"/>
  <c r="X38" i="71"/>
  <c r="V38" i="71"/>
  <c r="N38" i="71"/>
  <c r="L38" i="71"/>
  <c r="B38" i="71"/>
  <c r="Z37" i="71"/>
  <c r="X37" i="71"/>
  <c r="N37" i="71"/>
  <c r="L37" i="71"/>
  <c r="B37" i="71"/>
  <c r="Z36" i="71"/>
  <c r="X36" i="71"/>
  <c r="N36" i="71"/>
  <c r="L36" i="71"/>
  <c r="B36" i="71"/>
  <c r="Z35" i="71"/>
  <c r="X35" i="71"/>
  <c r="N35" i="71"/>
  <c r="L35" i="71"/>
  <c r="B35" i="71"/>
  <c r="Z34" i="71"/>
  <c r="X34" i="71"/>
  <c r="N34" i="71"/>
  <c r="L34" i="71"/>
  <c r="J34" i="71"/>
  <c r="B34" i="71"/>
  <c r="T33" i="71"/>
  <c r="Z33" i="71" s="1"/>
  <c r="P33" i="71"/>
  <c r="X33" i="71" s="1"/>
  <c r="H33" i="71"/>
  <c r="D33" i="71"/>
  <c r="L33" i="71" s="1"/>
  <c r="Z31" i="71"/>
  <c r="X31" i="71"/>
  <c r="P31" i="71"/>
  <c r="N31" i="71"/>
  <c r="D31" i="71"/>
  <c r="L31" i="71" s="1"/>
  <c r="B31" i="71"/>
  <c r="Z30" i="71"/>
  <c r="P30" i="71"/>
  <c r="X30" i="71" s="1"/>
  <c r="N30" i="71"/>
  <c r="D30" i="71"/>
  <c r="L30" i="71" s="1"/>
  <c r="B30" i="71"/>
  <c r="Z29" i="71"/>
  <c r="X29" i="71"/>
  <c r="P29" i="71"/>
  <c r="N29" i="71"/>
  <c r="D29" i="71"/>
  <c r="L29" i="71" s="1"/>
  <c r="B29" i="71"/>
  <c r="Z28" i="71"/>
  <c r="X28" i="71"/>
  <c r="P28" i="71"/>
  <c r="N28" i="71"/>
  <c r="L28" i="71"/>
  <c r="D28" i="71"/>
  <c r="B28" i="71"/>
  <c r="Z27" i="71"/>
  <c r="X27" i="71"/>
  <c r="P27" i="71"/>
  <c r="N27" i="71"/>
  <c r="D27" i="71"/>
  <c r="L27" i="71" s="1"/>
  <c r="B27" i="71"/>
  <c r="Z26" i="71"/>
  <c r="P26" i="71"/>
  <c r="X26" i="71" s="1"/>
  <c r="N26" i="71"/>
  <c r="L26" i="71"/>
  <c r="D26" i="71"/>
  <c r="B26" i="71"/>
  <c r="Z25" i="71"/>
  <c r="P25" i="71"/>
  <c r="X25" i="71" s="1"/>
  <c r="N25" i="71"/>
  <c r="L25" i="71"/>
  <c r="D25" i="71"/>
  <c r="B25" i="71"/>
  <c r="Z24" i="71"/>
  <c r="X24" i="71"/>
  <c r="P24" i="71"/>
  <c r="N24" i="71"/>
  <c r="L24" i="71"/>
  <c r="D24" i="71"/>
  <c r="B24" i="71"/>
  <c r="Z23" i="71"/>
  <c r="P23" i="71"/>
  <c r="X23" i="71" s="1"/>
  <c r="N23" i="71"/>
  <c r="D23" i="71"/>
  <c r="L23" i="71" s="1"/>
  <c r="B23" i="71"/>
  <c r="Z22" i="71"/>
  <c r="X22" i="71"/>
  <c r="P22" i="71"/>
  <c r="N22" i="71"/>
  <c r="D22" i="71"/>
  <c r="L22" i="71" s="1"/>
  <c r="B22" i="71"/>
  <c r="Z21" i="71"/>
  <c r="X21" i="71"/>
  <c r="P21" i="71"/>
  <c r="N21" i="71"/>
  <c r="L21" i="71"/>
  <c r="D21" i="71"/>
  <c r="B21" i="71"/>
  <c r="Z20" i="71"/>
  <c r="X20" i="71"/>
  <c r="P20" i="71"/>
  <c r="N20" i="71"/>
  <c r="L20" i="71"/>
  <c r="D20" i="71"/>
  <c r="B20" i="71"/>
  <c r="P19" i="71"/>
  <c r="X19" i="71" s="1"/>
  <c r="Z19" i="71" s="1"/>
  <c r="L19" i="71"/>
  <c r="N19" i="71" s="1"/>
  <c r="D19" i="71"/>
  <c r="B19" i="71"/>
  <c r="Z18" i="71"/>
  <c r="P18" i="71"/>
  <c r="X18" i="71" s="1"/>
  <c r="N18" i="71"/>
  <c r="L18" i="71"/>
  <c r="D18" i="71"/>
  <c r="B18" i="71"/>
  <c r="Z17" i="71"/>
  <c r="P17" i="71"/>
  <c r="X17" i="71" s="1"/>
  <c r="N17" i="71"/>
  <c r="L17" i="71"/>
  <c r="D17" i="71"/>
  <c r="B17" i="71"/>
  <c r="Z16" i="71"/>
  <c r="X16" i="71"/>
  <c r="P16" i="71"/>
  <c r="N16" i="71"/>
  <c r="L16" i="71"/>
  <c r="D16" i="71"/>
  <c r="B16" i="71"/>
  <c r="Z15" i="71"/>
  <c r="X15" i="71"/>
  <c r="P15" i="71"/>
  <c r="N15" i="71"/>
  <c r="D15" i="71"/>
  <c r="L15" i="71" s="1"/>
  <c r="B15" i="71"/>
  <c r="Z14" i="71"/>
  <c r="P14" i="71"/>
  <c r="N14" i="71"/>
  <c r="D14" i="71"/>
  <c r="L14" i="71" s="1"/>
  <c r="B14" i="71"/>
  <c r="P13" i="71"/>
  <c r="X13" i="71" s="1"/>
  <c r="Z13" i="71" s="1"/>
  <c r="L13" i="71"/>
  <c r="N13" i="71" s="1"/>
  <c r="D13" i="71"/>
  <c r="B13" i="71"/>
  <c r="T12" i="71"/>
  <c r="H12" i="71"/>
  <c r="J92" i="71" s="1"/>
  <c r="D6" i="71"/>
  <c r="D4" i="71"/>
  <c r="Z87" i="70"/>
  <c r="X87" i="70"/>
  <c r="V87" i="70"/>
  <c r="L87" i="70"/>
  <c r="N87" i="70" s="1"/>
  <c r="P83" i="70"/>
  <c r="X83" i="70" s="1"/>
  <c r="Z83" i="70" s="1"/>
  <c r="L83" i="70"/>
  <c r="N83" i="70" s="1"/>
  <c r="J83" i="70"/>
  <c r="D83" i="70"/>
  <c r="D82" i="70" s="1"/>
  <c r="B83" i="70"/>
  <c r="T82" i="70"/>
  <c r="Z82" i="70" s="1"/>
  <c r="P82" i="70"/>
  <c r="X82" i="70" s="1"/>
  <c r="L82" i="70"/>
  <c r="J82" i="70"/>
  <c r="H82" i="70"/>
  <c r="Z80" i="70"/>
  <c r="X80" i="70"/>
  <c r="N80" i="70"/>
  <c r="L80" i="70"/>
  <c r="B80" i="70"/>
  <c r="X79" i="70"/>
  <c r="V79" i="70"/>
  <c r="T79" i="70"/>
  <c r="Z79" i="70" s="1"/>
  <c r="P79" i="70"/>
  <c r="N79" i="70"/>
  <c r="H79" i="70"/>
  <c r="D79" i="70"/>
  <c r="L79" i="70" s="1"/>
  <c r="B79" i="70"/>
  <c r="Z78" i="70"/>
  <c r="X78" i="70"/>
  <c r="L78" i="70"/>
  <c r="N78" i="70" s="1"/>
  <c r="B78" i="70"/>
  <c r="X77" i="70"/>
  <c r="Z77" i="70" s="1"/>
  <c r="T77" i="70"/>
  <c r="P77" i="70"/>
  <c r="H77" i="70"/>
  <c r="D77" i="70"/>
  <c r="B77" i="70"/>
  <c r="Z76" i="70"/>
  <c r="X76" i="70"/>
  <c r="V76" i="70"/>
  <c r="N76" i="70"/>
  <c r="L76" i="70"/>
  <c r="B76" i="70"/>
  <c r="Z75" i="70"/>
  <c r="X75" i="70"/>
  <c r="V75" i="70"/>
  <c r="L75" i="70"/>
  <c r="N75" i="70" s="1"/>
  <c r="B75" i="70"/>
  <c r="X74" i="70"/>
  <c r="Z74" i="70" s="1"/>
  <c r="V74" i="70"/>
  <c r="L74" i="70"/>
  <c r="N74" i="70" s="1"/>
  <c r="J74" i="70"/>
  <c r="B74" i="70"/>
  <c r="Z73" i="70"/>
  <c r="X73" i="70"/>
  <c r="N73" i="70"/>
  <c r="L73" i="70"/>
  <c r="B73" i="70"/>
  <c r="Z72" i="70"/>
  <c r="X72" i="70"/>
  <c r="V72" i="70"/>
  <c r="N72" i="70"/>
  <c r="L72" i="70"/>
  <c r="B72" i="70"/>
  <c r="V71" i="70"/>
  <c r="T71" i="70"/>
  <c r="P71" i="70"/>
  <c r="X71" i="70" s="1"/>
  <c r="H71" i="70"/>
  <c r="D71" i="70"/>
  <c r="L71" i="70" s="1"/>
  <c r="N71" i="70" s="1"/>
  <c r="B71" i="70"/>
  <c r="Z70" i="70"/>
  <c r="X70" i="70"/>
  <c r="V70" i="70"/>
  <c r="N70" i="70"/>
  <c r="L70" i="70"/>
  <c r="B70" i="70"/>
  <c r="Z69" i="70"/>
  <c r="T69" i="70"/>
  <c r="P69" i="70"/>
  <c r="X69" i="70" s="1"/>
  <c r="L69" i="70"/>
  <c r="H69" i="70"/>
  <c r="N69" i="70" s="1"/>
  <c r="D69" i="70"/>
  <c r="B69" i="70"/>
  <c r="Z68" i="70"/>
  <c r="X68" i="70"/>
  <c r="N68" i="70"/>
  <c r="L68" i="70"/>
  <c r="J68" i="70"/>
  <c r="B68" i="70"/>
  <c r="T67" i="70"/>
  <c r="P67" i="70"/>
  <c r="N67" i="70"/>
  <c r="L67" i="70"/>
  <c r="H67" i="70"/>
  <c r="D67" i="70"/>
  <c r="B67" i="70"/>
  <c r="Z66" i="70"/>
  <c r="X66" i="70"/>
  <c r="V66" i="70"/>
  <c r="N66" i="70"/>
  <c r="L66" i="70"/>
  <c r="J66" i="70"/>
  <c r="B66" i="70"/>
  <c r="Z65" i="70"/>
  <c r="X65" i="70"/>
  <c r="L65" i="70"/>
  <c r="N65" i="70" s="1"/>
  <c r="B65" i="70"/>
  <c r="Z64" i="70"/>
  <c r="X64" i="70"/>
  <c r="V64" i="70"/>
  <c r="N64" i="70"/>
  <c r="L64" i="70"/>
  <c r="B64" i="70"/>
  <c r="T63" i="70"/>
  <c r="P63" i="70"/>
  <c r="H63" i="70"/>
  <c r="D63" i="70"/>
  <c r="L63" i="70" s="1"/>
  <c r="N63" i="70" s="1"/>
  <c r="B63" i="70"/>
  <c r="X62" i="70"/>
  <c r="Z62" i="70" s="1"/>
  <c r="V62" i="70"/>
  <c r="N62" i="70"/>
  <c r="L62" i="70"/>
  <c r="B62" i="70"/>
  <c r="X61" i="70"/>
  <c r="Z61" i="70" s="1"/>
  <c r="L61" i="70"/>
  <c r="N61" i="70" s="1"/>
  <c r="B61" i="70"/>
  <c r="T60" i="70"/>
  <c r="P60" i="70"/>
  <c r="X60" i="70" s="1"/>
  <c r="L60" i="70"/>
  <c r="J60" i="70"/>
  <c r="H60" i="70"/>
  <c r="N60" i="70" s="1"/>
  <c r="D60" i="70"/>
  <c r="B60" i="70"/>
  <c r="X59" i="70"/>
  <c r="Z59" i="70" s="1"/>
  <c r="V59" i="70"/>
  <c r="N59" i="70"/>
  <c r="L59" i="70"/>
  <c r="J59" i="70"/>
  <c r="B59" i="70"/>
  <c r="Z58" i="70"/>
  <c r="X58" i="70"/>
  <c r="T58" i="70"/>
  <c r="P58" i="70"/>
  <c r="H58" i="70"/>
  <c r="D58" i="70"/>
  <c r="B58" i="70"/>
  <c r="Z57" i="70"/>
  <c r="X57" i="70"/>
  <c r="L57" i="70"/>
  <c r="N57" i="70" s="1"/>
  <c r="B57" i="70"/>
  <c r="V56" i="70"/>
  <c r="T56" i="70"/>
  <c r="X56" i="70" s="1"/>
  <c r="Z56" i="70" s="1"/>
  <c r="P56" i="70"/>
  <c r="H56" i="70"/>
  <c r="N56" i="70" s="1"/>
  <c r="D56" i="70"/>
  <c r="L56" i="70" s="1"/>
  <c r="B56" i="70"/>
  <c r="X55" i="70"/>
  <c r="Z55" i="70" s="1"/>
  <c r="V55" i="70"/>
  <c r="L55" i="70"/>
  <c r="N55" i="70" s="1"/>
  <c r="B55" i="70"/>
  <c r="X54" i="70"/>
  <c r="V54" i="70"/>
  <c r="T54" i="70"/>
  <c r="Z54" i="70" s="1"/>
  <c r="P54" i="70"/>
  <c r="H54" i="70"/>
  <c r="N54" i="70" s="1"/>
  <c r="D54" i="70"/>
  <c r="L54" i="70" s="1"/>
  <c r="B54" i="70"/>
  <c r="Z53" i="70"/>
  <c r="X53" i="70"/>
  <c r="N53" i="70"/>
  <c r="L53" i="70"/>
  <c r="B53" i="70"/>
  <c r="T52" i="70"/>
  <c r="P52" i="70"/>
  <c r="N52" i="70"/>
  <c r="L52" i="70"/>
  <c r="H52" i="70"/>
  <c r="D52" i="70"/>
  <c r="B52" i="70"/>
  <c r="Z51" i="70"/>
  <c r="X51" i="70"/>
  <c r="V51" i="70"/>
  <c r="N51" i="70"/>
  <c r="L51" i="70"/>
  <c r="B51" i="70"/>
  <c r="Z50" i="70"/>
  <c r="X50" i="70"/>
  <c r="V50" i="70"/>
  <c r="N50" i="70"/>
  <c r="L50" i="70"/>
  <c r="J50" i="70"/>
  <c r="B50" i="70"/>
  <c r="Z49" i="70"/>
  <c r="X49" i="70"/>
  <c r="N49" i="70"/>
  <c r="L49" i="70"/>
  <c r="B49" i="70"/>
  <c r="Z48" i="70"/>
  <c r="X48" i="70"/>
  <c r="V48" i="70"/>
  <c r="N48" i="70"/>
  <c r="L48" i="70"/>
  <c r="B48" i="70"/>
  <c r="Z47" i="70"/>
  <c r="X47" i="70"/>
  <c r="V47" i="70"/>
  <c r="N47" i="70"/>
  <c r="L47" i="70"/>
  <c r="B47" i="70"/>
  <c r="Z46" i="70"/>
  <c r="X46" i="70"/>
  <c r="V46" i="70"/>
  <c r="N46" i="70"/>
  <c r="L46" i="70"/>
  <c r="J46" i="70"/>
  <c r="B46" i="70"/>
  <c r="Z45" i="70"/>
  <c r="X45" i="70"/>
  <c r="N45" i="70"/>
  <c r="L45" i="70"/>
  <c r="B45" i="70"/>
  <c r="Z44" i="70"/>
  <c r="X44" i="70"/>
  <c r="V44" i="70"/>
  <c r="N44" i="70"/>
  <c r="L44" i="70"/>
  <c r="B44" i="70"/>
  <c r="Z43" i="70"/>
  <c r="X43" i="70"/>
  <c r="V43" i="70"/>
  <c r="L43" i="70"/>
  <c r="N43" i="70" s="1"/>
  <c r="B43" i="70"/>
  <c r="Z42" i="70"/>
  <c r="X42" i="70"/>
  <c r="V42" i="70"/>
  <c r="N42" i="70"/>
  <c r="L42" i="70"/>
  <c r="J42" i="70"/>
  <c r="B42" i="70"/>
  <c r="T41" i="70"/>
  <c r="P41" i="70"/>
  <c r="X41" i="70" s="1"/>
  <c r="Z41" i="70" s="1"/>
  <c r="J41" i="70"/>
  <c r="H41" i="70"/>
  <c r="D41" i="70"/>
  <c r="L41" i="70" s="1"/>
  <c r="B41" i="70"/>
  <c r="Z40" i="70"/>
  <c r="X40" i="70"/>
  <c r="N40" i="70"/>
  <c r="L40" i="70"/>
  <c r="B40" i="70"/>
  <c r="X39" i="70"/>
  <c r="Z39" i="70" s="1"/>
  <c r="V39" i="70"/>
  <c r="L39" i="70"/>
  <c r="N39" i="70" s="1"/>
  <c r="B39" i="70"/>
  <c r="X38" i="70"/>
  <c r="Z38" i="70" s="1"/>
  <c r="V38" i="70"/>
  <c r="N38" i="70"/>
  <c r="L38" i="70"/>
  <c r="B38" i="70"/>
  <c r="Z37" i="70"/>
  <c r="X37" i="70"/>
  <c r="N37" i="70"/>
  <c r="L37" i="70"/>
  <c r="B37" i="70"/>
  <c r="Z36" i="70"/>
  <c r="X36" i="70"/>
  <c r="N36" i="70"/>
  <c r="L36" i="70"/>
  <c r="B36" i="70"/>
  <c r="X35" i="70"/>
  <c r="Z35" i="70" s="1"/>
  <c r="V35" i="70"/>
  <c r="L35" i="70"/>
  <c r="N35" i="70" s="1"/>
  <c r="B35" i="70"/>
  <c r="X34" i="70"/>
  <c r="Z34" i="70" s="1"/>
  <c r="V34" i="70"/>
  <c r="N34" i="70"/>
  <c r="L34" i="70"/>
  <c r="B34" i="70"/>
  <c r="X33" i="70"/>
  <c r="Z33" i="70" s="1"/>
  <c r="N33" i="70"/>
  <c r="L33" i="70"/>
  <c r="B33" i="70"/>
  <c r="Z32" i="70"/>
  <c r="X32" i="70"/>
  <c r="N32" i="70"/>
  <c r="L32" i="70"/>
  <c r="B32" i="70"/>
  <c r="X31" i="70"/>
  <c r="V31" i="70"/>
  <c r="T31" i="70"/>
  <c r="Z31" i="70" s="1"/>
  <c r="P31" i="70"/>
  <c r="H31" i="70"/>
  <c r="D31" i="70"/>
  <c r="L31" i="70" s="1"/>
  <c r="N31" i="70" s="1"/>
  <c r="B31" i="70"/>
  <c r="T30" i="70"/>
  <c r="P30" i="70"/>
  <c r="H30" i="70"/>
  <c r="D30" i="70"/>
  <c r="Z26" i="70"/>
  <c r="T26" i="70"/>
  <c r="P26" i="70"/>
  <c r="X26" i="70" s="1"/>
  <c r="H26" i="70"/>
  <c r="F26" i="70"/>
  <c r="D26" i="70"/>
  <c r="Z24" i="70"/>
  <c r="X24" i="70"/>
  <c r="P24" i="70"/>
  <c r="N24" i="70"/>
  <c r="D24" i="70"/>
  <c r="L24" i="70" s="1"/>
  <c r="B24" i="70"/>
  <c r="Z23" i="70"/>
  <c r="P23" i="70"/>
  <c r="X23" i="70" s="1"/>
  <c r="N23" i="70"/>
  <c r="D23" i="70"/>
  <c r="L23" i="70" s="1"/>
  <c r="B23" i="70"/>
  <c r="Z22" i="70"/>
  <c r="P22" i="70"/>
  <c r="X22" i="70" s="1"/>
  <c r="N22" i="70"/>
  <c r="L22" i="70"/>
  <c r="D22" i="70"/>
  <c r="B22" i="70"/>
  <c r="Z21" i="70"/>
  <c r="X21" i="70"/>
  <c r="P21" i="70"/>
  <c r="N21" i="70"/>
  <c r="L21" i="70"/>
  <c r="D21" i="70"/>
  <c r="B21" i="70"/>
  <c r="Z20" i="70"/>
  <c r="P20" i="70"/>
  <c r="X20" i="70" s="1"/>
  <c r="N20" i="70"/>
  <c r="D20" i="70"/>
  <c r="L20" i="70" s="1"/>
  <c r="B20" i="70"/>
  <c r="Z19" i="70"/>
  <c r="X19" i="70"/>
  <c r="P19" i="70"/>
  <c r="N19" i="70"/>
  <c r="D19" i="70"/>
  <c r="L19" i="70" s="1"/>
  <c r="B19" i="70"/>
  <c r="Z18" i="70"/>
  <c r="X18" i="70"/>
  <c r="P18" i="70"/>
  <c r="N18" i="70"/>
  <c r="L18" i="70"/>
  <c r="D18" i="70"/>
  <c r="B18" i="70"/>
  <c r="Z17" i="70"/>
  <c r="X17" i="70"/>
  <c r="P17" i="70"/>
  <c r="N17" i="70"/>
  <c r="D17" i="70"/>
  <c r="L17" i="70" s="1"/>
  <c r="B17" i="70"/>
  <c r="Z16" i="70"/>
  <c r="P16" i="70"/>
  <c r="X16" i="70" s="1"/>
  <c r="N16" i="70"/>
  <c r="L16" i="70"/>
  <c r="D16" i="70"/>
  <c r="B16" i="70"/>
  <c r="Z15" i="70"/>
  <c r="P15" i="70"/>
  <c r="X15" i="70" s="1"/>
  <c r="N15" i="70"/>
  <c r="L15" i="70"/>
  <c r="D15" i="70"/>
  <c r="B15" i="70"/>
  <c r="Z14" i="70"/>
  <c r="P14" i="70"/>
  <c r="X14" i="70" s="1"/>
  <c r="N14" i="70"/>
  <c r="L14" i="70"/>
  <c r="D14" i="70"/>
  <c r="B14" i="70"/>
  <c r="X13" i="70"/>
  <c r="Z13" i="70" s="1"/>
  <c r="P13" i="70"/>
  <c r="L13" i="70"/>
  <c r="N13" i="70" s="1"/>
  <c r="D13" i="70"/>
  <c r="D12" i="70" s="1"/>
  <c r="B13" i="70"/>
  <c r="T12" i="70"/>
  <c r="V78" i="70" s="1"/>
  <c r="H12" i="70"/>
  <c r="J87" i="70" s="1"/>
  <c r="D6" i="70"/>
  <c r="D4" i="70"/>
  <c r="Z157" i="69"/>
  <c r="X157" i="69"/>
  <c r="N157" i="69"/>
  <c r="L157" i="69"/>
  <c r="Z153" i="69"/>
  <c r="P153" i="69"/>
  <c r="X153" i="69" s="1"/>
  <c r="N153" i="69"/>
  <c r="L153" i="69"/>
  <c r="D153" i="69"/>
  <c r="B153" i="69"/>
  <c r="P152" i="69"/>
  <c r="N152" i="69"/>
  <c r="L152" i="69"/>
  <c r="J152" i="69"/>
  <c r="D152" i="69"/>
  <c r="B152" i="69"/>
  <c r="X151" i="69"/>
  <c r="Z151" i="69" s="1"/>
  <c r="P151" i="69"/>
  <c r="N151" i="69"/>
  <c r="L151" i="69"/>
  <c r="D151" i="69"/>
  <c r="B151" i="69"/>
  <c r="Z150" i="69"/>
  <c r="P150" i="69"/>
  <c r="X150" i="69" s="1"/>
  <c r="N150" i="69"/>
  <c r="L150" i="69"/>
  <c r="J150" i="69"/>
  <c r="D150" i="69"/>
  <c r="D149" i="69" s="1"/>
  <c r="L149" i="69" s="1"/>
  <c r="B150" i="69"/>
  <c r="T149" i="69"/>
  <c r="J149" i="69"/>
  <c r="H149" i="69"/>
  <c r="Z147" i="69"/>
  <c r="X147" i="69"/>
  <c r="N147" i="69"/>
  <c r="L147" i="69"/>
  <c r="B147" i="69"/>
  <c r="X146" i="69"/>
  <c r="Z146" i="69" s="1"/>
  <c r="L146" i="69"/>
  <c r="N146" i="69" s="1"/>
  <c r="B146" i="69"/>
  <c r="X145" i="69"/>
  <c r="T145" i="69"/>
  <c r="P145" i="69"/>
  <c r="H145" i="69"/>
  <c r="D145" i="69"/>
  <c r="L145" i="69" s="1"/>
  <c r="B145" i="69"/>
  <c r="X144" i="69"/>
  <c r="Z144" i="69" s="1"/>
  <c r="N144" i="69"/>
  <c r="L144" i="69"/>
  <c r="B144" i="69"/>
  <c r="T143" i="69"/>
  <c r="P143" i="69"/>
  <c r="N143" i="69"/>
  <c r="H143" i="69"/>
  <c r="D143" i="69"/>
  <c r="L143" i="69" s="1"/>
  <c r="B143" i="69"/>
  <c r="Z142" i="69"/>
  <c r="X142" i="69"/>
  <c r="L142" i="69"/>
  <c r="N142" i="69" s="1"/>
  <c r="B142" i="69"/>
  <c r="T141" i="69"/>
  <c r="Z141" i="69" s="1"/>
  <c r="P141" i="69"/>
  <c r="X141" i="69" s="1"/>
  <c r="J141" i="69"/>
  <c r="H141" i="69"/>
  <c r="L141" i="69" s="1"/>
  <c r="N141" i="69" s="1"/>
  <c r="D141" i="69"/>
  <c r="B141" i="69"/>
  <c r="X140" i="69"/>
  <c r="Z140" i="69" s="1"/>
  <c r="L140" i="69"/>
  <c r="N140" i="69" s="1"/>
  <c r="B140" i="69"/>
  <c r="Z139" i="69"/>
  <c r="X139" i="69"/>
  <c r="N139" i="69"/>
  <c r="L139" i="69"/>
  <c r="B139" i="69"/>
  <c r="X138" i="69"/>
  <c r="Z138" i="69" s="1"/>
  <c r="L138" i="69"/>
  <c r="N138" i="69" s="1"/>
  <c r="B138" i="69"/>
  <c r="X137" i="69"/>
  <c r="Z137" i="69" s="1"/>
  <c r="N137" i="69"/>
  <c r="L137" i="69"/>
  <c r="B137" i="69"/>
  <c r="X136" i="69"/>
  <c r="Z136" i="69" s="1"/>
  <c r="N136" i="69"/>
  <c r="L136" i="69"/>
  <c r="B136" i="69"/>
  <c r="Z135" i="69"/>
  <c r="X135" i="69"/>
  <c r="N135" i="69"/>
  <c r="L135" i="69"/>
  <c r="B135" i="69"/>
  <c r="X134" i="69"/>
  <c r="Z134" i="69" s="1"/>
  <c r="L134" i="69"/>
  <c r="N134" i="69" s="1"/>
  <c r="B134" i="69"/>
  <c r="X133" i="69"/>
  <c r="V133" i="69"/>
  <c r="T133" i="69"/>
  <c r="Z133" i="69" s="1"/>
  <c r="P133" i="69"/>
  <c r="H133" i="69"/>
  <c r="N133" i="69" s="1"/>
  <c r="D133" i="69"/>
  <c r="L133" i="69" s="1"/>
  <c r="B133" i="69"/>
  <c r="Z132" i="69"/>
  <c r="X132" i="69"/>
  <c r="N132" i="69"/>
  <c r="L132" i="69"/>
  <c r="B132" i="69"/>
  <c r="Z131" i="69"/>
  <c r="X131" i="69"/>
  <c r="N131" i="69"/>
  <c r="L131" i="69"/>
  <c r="J131" i="69"/>
  <c r="B131" i="69"/>
  <c r="T130" i="69"/>
  <c r="P130" i="69"/>
  <c r="N130" i="69"/>
  <c r="L130" i="69"/>
  <c r="H130" i="69"/>
  <c r="D130" i="69"/>
  <c r="B130" i="69"/>
  <c r="X129" i="69"/>
  <c r="Z129" i="69" s="1"/>
  <c r="L129" i="69"/>
  <c r="N129" i="69" s="1"/>
  <c r="J129" i="69"/>
  <c r="B129" i="69"/>
  <c r="Z128" i="69"/>
  <c r="X128" i="69"/>
  <c r="N128" i="69"/>
  <c r="L128" i="69"/>
  <c r="B128" i="69"/>
  <c r="Z127" i="69"/>
  <c r="X127" i="69"/>
  <c r="V127" i="69"/>
  <c r="N127" i="69"/>
  <c r="L127" i="69"/>
  <c r="B127" i="69"/>
  <c r="V126" i="69"/>
  <c r="T126" i="69"/>
  <c r="P126" i="69"/>
  <c r="H126" i="69"/>
  <c r="D126" i="69"/>
  <c r="L126" i="69" s="1"/>
  <c r="N126" i="69" s="1"/>
  <c r="B126" i="69"/>
  <c r="X125" i="69"/>
  <c r="Z125" i="69" s="1"/>
  <c r="V125" i="69"/>
  <c r="N125" i="69"/>
  <c r="L125" i="69"/>
  <c r="B125" i="69"/>
  <c r="T124" i="69"/>
  <c r="P124" i="69"/>
  <c r="X124" i="69" s="1"/>
  <c r="Z124" i="69" s="1"/>
  <c r="L124" i="69"/>
  <c r="N124" i="69" s="1"/>
  <c r="H124" i="69"/>
  <c r="D124" i="69"/>
  <c r="B124" i="69"/>
  <c r="Z123" i="69"/>
  <c r="X123" i="69"/>
  <c r="N123" i="69"/>
  <c r="L123" i="69"/>
  <c r="J123" i="69"/>
  <c r="B123" i="69"/>
  <c r="T122" i="69"/>
  <c r="P122" i="69"/>
  <c r="L122" i="69"/>
  <c r="H122" i="69"/>
  <c r="N122" i="69" s="1"/>
  <c r="D122" i="69"/>
  <c r="B122" i="69"/>
  <c r="Z121" i="69"/>
  <c r="X121" i="69"/>
  <c r="N121" i="69"/>
  <c r="L121" i="69"/>
  <c r="J121" i="69"/>
  <c r="B121" i="69"/>
  <c r="Z120" i="69"/>
  <c r="X120" i="69"/>
  <c r="L120" i="69"/>
  <c r="N120" i="69" s="1"/>
  <c r="B120" i="69"/>
  <c r="V119" i="69"/>
  <c r="T119" i="69"/>
  <c r="X119" i="69" s="1"/>
  <c r="Z119" i="69" s="1"/>
  <c r="P119" i="69"/>
  <c r="H119" i="69"/>
  <c r="N119" i="69" s="1"/>
  <c r="D119" i="69"/>
  <c r="L119" i="69" s="1"/>
  <c r="B119" i="69"/>
  <c r="X118" i="69"/>
  <c r="Z118" i="69" s="1"/>
  <c r="N118" i="69"/>
  <c r="L118" i="69"/>
  <c r="B118" i="69"/>
  <c r="X117" i="69"/>
  <c r="V117" i="69"/>
  <c r="T117" i="69"/>
  <c r="Z117" i="69" s="1"/>
  <c r="P117" i="69"/>
  <c r="H117" i="69"/>
  <c r="N117" i="69" s="1"/>
  <c r="D117" i="69"/>
  <c r="L117" i="69" s="1"/>
  <c r="B117" i="69"/>
  <c r="Z116" i="69"/>
  <c r="X116" i="69"/>
  <c r="N116" i="69"/>
  <c r="L116" i="69"/>
  <c r="B116" i="69"/>
  <c r="Z115" i="69"/>
  <c r="X115" i="69"/>
  <c r="N115" i="69"/>
  <c r="L115" i="69"/>
  <c r="J115" i="69"/>
  <c r="B115" i="69"/>
  <c r="T114" i="69"/>
  <c r="P114" i="69"/>
  <c r="N114" i="69"/>
  <c r="L114" i="69"/>
  <c r="H114" i="69"/>
  <c r="D114" i="69"/>
  <c r="B114" i="69"/>
  <c r="X113" i="69"/>
  <c r="Z113" i="69" s="1"/>
  <c r="L113" i="69"/>
  <c r="N113" i="69" s="1"/>
  <c r="J113" i="69"/>
  <c r="B113" i="69"/>
  <c r="T112" i="69"/>
  <c r="P112" i="69"/>
  <c r="X112" i="69" s="1"/>
  <c r="Z112" i="69" s="1"/>
  <c r="H112" i="69"/>
  <c r="D112" i="69"/>
  <c r="B112" i="69"/>
  <c r="Z111" i="69"/>
  <c r="X111" i="69"/>
  <c r="N111" i="69"/>
  <c r="L111" i="69"/>
  <c r="B111" i="69"/>
  <c r="X110" i="69"/>
  <c r="Z110" i="69" s="1"/>
  <c r="L110" i="69"/>
  <c r="N110" i="69" s="1"/>
  <c r="B110" i="69"/>
  <c r="X109" i="69"/>
  <c r="V109" i="69"/>
  <c r="T109" i="69"/>
  <c r="P109" i="69"/>
  <c r="H109" i="69"/>
  <c r="D109" i="69"/>
  <c r="L109" i="69" s="1"/>
  <c r="B109" i="69"/>
  <c r="Z108" i="69"/>
  <c r="X108" i="69"/>
  <c r="N108" i="69"/>
  <c r="L108" i="69"/>
  <c r="B108" i="69"/>
  <c r="T107" i="69"/>
  <c r="P107" i="69"/>
  <c r="N107" i="69"/>
  <c r="H107" i="69"/>
  <c r="D107" i="69"/>
  <c r="L107" i="69" s="1"/>
  <c r="B107" i="69"/>
  <c r="Z106" i="69"/>
  <c r="X106" i="69"/>
  <c r="N106" i="69"/>
  <c r="L106" i="69"/>
  <c r="B106" i="69"/>
  <c r="T105" i="69"/>
  <c r="Z105" i="69" s="1"/>
  <c r="P105" i="69"/>
  <c r="X105" i="69" s="1"/>
  <c r="N105" i="69"/>
  <c r="J105" i="69"/>
  <c r="H105" i="69"/>
  <c r="L105" i="69" s="1"/>
  <c r="D105" i="69"/>
  <c r="B105" i="69"/>
  <c r="X104" i="69"/>
  <c r="Z104" i="69" s="1"/>
  <c r="N104" i="69"/>
  <c r="L104" i="69"/>
  <c r="B104" i="69"/>
  <c r="T103" i="69"/>
  <c r="Z103" i="69" s="1"/>
  <c r="P103" i="69"/>
  <c r="X103" i="69" s="1"/>
  <c r="L103" i="69"/>
  <c r="J103" i="69"/>
  <c r="H103" i="69"/>
  <c r="D103" i="69"/>
  <c r="B103" i="69"/>
  <c r="Z102" i="69"/>
  <c r="X102" i="69"/>
  <c r="N102" i="69"/>
  <c r="L102" i="69"/>
  <c r="J102" i="69"/>
  <c r="B102" i="69"/>
  <c r="Z101" i="69"/>
  <c r="X101" i="69"/>
  <c r="N101" i="69"/>
  <c r="L101" i="69"/>
  <c r="B101" i="69"/>
  <c r="Z100" i="69"/>
  <c r="X100" i="69"/>
  <c r="N100" i="69"/>
  <c r="L100" i="69"/>
  <c r="B100" i="69"/>
  <c r="Z99" i="69"/>
  <c r="X99" i="69"/>
  <c r="N99" i="69"/>
  <c r="L99" i="69"/>
  <c r="J99" i="69"/>
  <c r="B99" i="69"/>
  <c r="Z98" i="69"/>
  <c r="X98" i="69"/>
  <c r="N98" i="69"/>
  <c r="L98" i="69"/>
  <c r="J98" i="69"/>
  <c r="B98" i="69"/>
  <c r="Z97" i="69"/>
  <c r="X97" i="69"/>
  <c r="N97" i="69"/>
  <c r="L97" i="69"/>
  <c r="B97" i="69"/>
  <c r="Z96" i="69"/>
  <c r="X96" i="69"/>
  <c r="N96" i="69"/>
  <c r="L96" i="69"/>
  <c r="B96" i="69"/>
  <c r="Z95" i="69"/>
  <c r="X95" i="69"/>
  <c r="N95" i="69"/>
  <c r="L95" i="69"/>
  <c r="J95" i="69"/>
  <c r="B95" i="69"/>
  <c r="X94" i="69"/>
  <c r="Z94" i="69" s="1"/>
  <c r="N94" i="69"/>
  <c r="L94" i="69"/>
  <c r="J94" i="69"/>
  <c r="B94" i="69"/>
  <c r="Z93" i="69"/>
  <c r="X93" i="69"/>
  <c r="N93" i="69"/>
  <c r="L93" i="69"/>
  <c r="B93" i="69"/>
  <c r="T92" i="69"/>
  <c r="P92" i="69"/>
  <c r="H92" i="69"/>
  <c r="D92" i="69"/>
  <c r="B92" i="69"/>
  <c r="Z91" i="69"/>
  <c r="X91" i="69"/>
  <c r="N91" i="69"/>
  <c r="L91" i="69"/>
  <c r="B91" i="69"/>
  <c r="Z90" i="69"/>
  <c r="X90" i="69"/>
  <c r="V90" i="69"/>
  <c r="L90" i="69"/>
  <c r="N90" i="69" s="1"/>
  <c r="B90" i="69"/>
  <c r="X89" i="69"/>
  <c r="Z89" i="69" s="1"/>
  <c r="L89" i="69"/>
  <c r="N89" i="69" s="1"/>
  <c r="J89" i="69"/>
  <c r="B89" i="69"/>
  <c r="Z88" i="69"/>
  <c r="X88" i="69"/>
  <c r="N88" i="69"/>
  <c r="L88" i="69"/>
  <c r="B88" i="69"/>
  <c r="Z87" i="69"/>
  <c r="X87" i="69"/>
  <c r="N87" i="69"/>
  <c r="L87" i="69"/>
  <c r="B87" i="69"/>
  <c r="Z86" i="69"/>
  <c r="X86" i="69"/>
  <c r="V86" i="69"/>
  <c r="L86" i="69"/>
  <c r="N86" i="69" s="1"/>
  <c r="B86" i="69"/>
  <c r="X85" i="69"/>
  <c r="Z85" i="69" s="1"/>
  <c r="L85" i="69"/>
  <c r="N85" i="69" s="1"/>
  <c r="J85" i="69"/>
  <c r="B85" i="69"/>
  <c r="Z84" i="69"/>
  <c r="X84" i="69"/>
  <c r="L84" i="69"/>
  <c r="N84" i="69" s="1"/>
  <c r="B84" i="69"/>
  <c r="Z83" i="69"/>
  <c r="X83" i="69"/>
  <c r="V83" i="69"/>
  <c r="N83" i="69"/>
  <c r="L83" i="69"/>
  <c r="B83" i="69"/>
  <c r="T82" i="69"/>
  <c r="P82" i="69"/>
  <c r="H82" i="69"/>
  <c r="D82" i="69"/>
  <c r="L82" i="69" s="1"/>
  <c r="N82" i="69" s="1"/>
  <c r="B82" i="69"/>
  <c r="T81" i="69"/>
  <c r="P81" i="69"/>
  <c r="X81" i="69" s="1"/>
  <c r="H81" i="69"/>
  <c r="D81" i="69"/>
  <c r="L81" i="69" s="1"/>
  <c r="H79" i="69"/>
  <c r="Z77" i="69"/>
  <c r="X77" i="69"/>
  <c r="V77" i="69"/>
  <c r="N77" i="69"/>
  <c r="L77" i="69"/>
  <c r="B77" i="69"/>
  <c r="Z76" i="69"/>
  <c r="X76" i="69"/>
  <c r="N76" i="69"/>
  <c r="L76" i="69"/>
  <c r="B76" i="69"/>
  <c r="Z75" i="69"/>
  <c r="X75" i="69"/>
  <c r="N75" i="69"/>
  <c r="L75" i="69"/>
  <c r="B75" i="69"/>
  <c r="Z74" i="69"/>
  <c r="X74" i="69"/>
  <c r="V74" i="69"/>
  <c r="N74" i="69"/>
  <c r="L74" i="69"/>
  <c r="J74" i="69"/>
  <c r="B74" i="69"/>
  <c r="Z73" i="69"/>
  <c r="X73" i="69"/>
  <c r="V73" i="69"/>
  <c r="N73" i="69"/>
  <c r="L73" i="69"/>
  <c r="B73" i="69"/>
  <c r="Z72" i="69"/>
  <c r="X72" i="69"/>
  <c r="N72" i="69"/>
  <c r="L72" i="69"/>
  <c r="B72" i="69"/>
  <c r="Z71" i="69"/>
  <c r="X71" i="69"/>
  <c r="N71" i="69"/>
  <c r="L71" i="69"/>
  <c r="B71" i="69"/>
  <c r="Z70" i="69"/>
  <c r="X70" i="69"/>
  <c r="N70" i="69"/>
  <c r="L70" i="69"/>
  <c r="J70" i="69"/>
  <c r="B70" i="69"/>
  <c r="Z69" i="69"/>
  <c r="X69" i="69"/>
  <c r="V69" i="69"/>
  <c r="N69" i="69"/>
  <c r="L69" i="69"/>
  <c r="B69" i="69"/>
  <c r="Z68" i="69"/>
  <c r="X68" i="69"/>
  <c r="N68" i="69"/>
  <c r="L68" i="69"/>
  <c r="B68" i="69"/>
  <c r="Z67" i="69"/>
  <c r="X67" i="69"/>
  <c r="N67" i="69"/>
  <c r="L67" i="69"/>
  <c r="B67" i="69"/>
  <c r="Z66" i="69"/>
  <c r="X66" i="69"/>
  <c r="V66" i="69"/>
  <c r="N66" i="69"/>
  <c r="L66" i="69"/>
  <c r="J66" i="69"/>
  <c r="B66" i="69"/>
  <c r="Z65" i="69"/>
  <c r="X65" i="69"/>
  <c r="V65" i="69"/>
  <c r="N65" i="69"/>
  <c r="L65" i="69"/>
  <c r="B65" i="69"/>
  <c r="Z64" i="69"/>
  <c r="X64" i="69"/>
  <c r="N64" i="69"/>
  <c r="L64" i="69"/>
  <c r="B64" i="69"/>
  <c r="Z63" i="69"/>
  <c r="X63" i="69"/>
  <c r="N63" i="69"/>
  <c r="L63" i="69"/>
  <c r="B63" i="69"/>
  <c r="Z62" i="69"/>
  <c r="X62" i="69"/>
  <c r="V62" i="69"/>
  <c r="N62" i="69"/>
  <c r="L62" i="69"/>
  <c r="J62" i="69"/>
  <c r="B62" i="69"/>
  <c r="Z61" i="69"/>
  <c r="X61" i="69"/>
  <c r="V61" i="69"/>
  <c r="N61" i="69"/>
  <c r="L61" i="69"/>
  <c r="B61" i="69"/>
  <c r="Z60" i="69"/>
  <c r="X60" i="69"/>
  <c r="N60" i="69"/>
  <c r="L60" i="69"/>
  <c r="B60" i="69"/>
  <c r="Z59" i="69"/>
  <c r="X59" i="69"/>
  <c r="N59" i="69"/>
  <c r="L59" i="69"/>
  <c r="B59" i="69"/>
  <c r="Z58" i="69"/>
  <c r="X58" i="69"/>
  <c r="N58" i="69"/>
  <c r="L58" i="69"/>
  <c r="J58" i="69"/>
  <c r="B58" i="69"/>
  <c r="Z57" i="69"/>
  <c r="X57" i="69"/>
  <c r="V57" i="69"/>
  <c r="N57" i="69"/>
  <c r="L57" i="69"/>
  <c r="B57" i="69"/>
  <c r="Z56" i="69"/>
  <c r="X56" i="69"/>
  <c r="N56" i="69"/>
  <c r="L56" i="69"/>
  <c r="B56" i="69"/>
  <c r="Z55" i="69"/>
  <c r="X55" i="69"/>
  <c r="N55" i="69"/>
  <c r="L55" i="69"/>
  <c r="B55" i="69"/>
  <c r="X54" i="69"/>
  <c r="Z54" i="69" s="1"/>
  <c r="V54" i="69"/>
  <c r="L54" i="69"/>
  <c r="N54" i="69" s="1"/>
  <c r="J54" i="69"/>
  <c r="B54" i="69"/>
  <c r="V53" i="69"/>
  <c r="T53" i="69"/>
  <c r="P53" i="69"/>
  <c r="X53" i="69" s="1"/>
  <c r="H53" i="69"/>
  <c r="D53" i="69"/>
  <c r="L53" i="69" s="1"/>
  <c r="Z51" i="69"/>
  <c r="P51" i="69"/>
  <c r="X51" i="69" s="1"/>
  <c r="N51" i="69"/>
  <c r="D51" i="69"/>
  <c r="L51" i="69" s="1"/>
  <c r="B51" i="69"/>
  <c r="Z50" i="69"/>
  <c r="P50" i="69"/>
  <c r="X50" i="69" s="1"/>
  <c r="N50" i="69"/>
  <c r="L50" i="69"/>
  <c r="D50" i="69"/>
  <c r="B50" i="69"/>
  <c r="Z49" i="69"/>
  <c r="P49" i="69"/>
  <c r="X49" i="69" s="1"/>
  <c r="N49" i="69"/>
  <c r="L49" i="69"/>
  <c r="D49" i="69"/>
  <c r="B49" i="69"/>
  <c r="Z48" i="69"/>
  <c r="X48" i="69"/>
  <c r="P48" i="69"/>
  <c r="N48" i="69"/>
  <c r="L48" i="69"/>
  <c r="D48" i="69"/>
  <c r="B48" i="69"/>
  <c r="Z47" i="69"/>
  <c r="X47" i="69"/>
  <c r="P47" i="69"/>
  <c r="N47" i="69"/>
  <c r="D47" i="69"/>
  <c r="L47" i="69" s="1"/>
  <c r="B47" i="69"/>
  <c r="Z46" i="69"/>
  <c r="P46" i="69"/>
  <c r="X46" i="69" s="1"/>
  <c r="N46" i="69"/>
  <c r="D46" i="69"/>
  <c r="L46" i="69" s="1"/>
  <c r="B46" i="69"/>
  <c r="Z45" i="69"/>
  <c r="P45" i="69"/>
  <c r="X45" i="69" s="1"/>
  <c r="N45" i="69"/>
  <c r="L45" i="69"/>
  <c r="D45" i="69"/>
  <c r="B45" i="69"/>
  <c r="Z44" i="69"/>
  <c r="X44" i="69"/>
  <c r="P44" i="69"/>
  <c r="N44" i="69"/>
  <c r="L44" i="69"/>
  <c r="D44" i="69"/>
  <c r="B44" i="69"/>
  <c r="Z43" i="69"/>
  <c r="X43" i="69"/>
  <c r="P43" i="69"/>
  <c r="N43" i="69"/>
  <c r="D43" i="69"/>
  <c r="L43" i="69" s="1"/>
  <c r="B43" i="69"/>
  <c r="Z42" i="69"/>
  <c r="P42" i="69"/>
  <c r="X42" i="69" s="1"/>
  <c r="N42" i="69"/>
  <c r="D42" i="69"/>
  <c r="L42" i="69" s="1"/>
  <c r="B42" i="69"/>
  <c r="Z41" i="69"/>
  <c r="X41" i="69"/>
  <c r="P41" i="69"/>
  <c r="N41" i="69"/>
  <c r="L41" i="69"/>
  <c r="D41" i="69"/>
  <c r="B41" i="69"/>
  <c r="Z40" i="69"/>
  <c r="X40" i="69"/>
  <c r="P40" i="69"/>
  <c r="N40" i="69"/>
  <c r="D40" i="69"/>
  <c r="L40" i="69" s="1"/>
  <c r="B40" i="69"/>
  <c r="Z39" i="69"/>
  <c r="P39" i="69"/>
  <c r="X39" i="69" s="1"/>
  <c r="N39" i="69"/>
  <c r="L39" i="69"/>
  <c r="D39" i="69"/>
  <c r="B39" i="69"/>
  <c r="Z38" i="69"/>
  <c r="P38" i="69"/>
  <c r="X38" i="69" s="1"/>
  <c r="N38" i="69"/>
  <c r="L38" i="69"/>
  <c r="D38" i="69"/>
  <c r="B38" i="69"/>
  <c r="Z37" i="69"/>
  <c r="P37" i="69"/>
  <c r="X37" i="69" s="1"/>
  <c r="N37" i="69"/>
  <c r="L37" i="69"/>
  <c r="D37" i="69"/>
  <c r="B37" i="69"/>
  <c r="Z36" i="69"/>
  <c r="X36" i="69"/>
  <c r="P36" i="69"/>
  <c r="N36" i="69"/>
  <c r="L36" i="69"/>
  <c r="D36" i="69"/>
  <c r="B36" i="69"/>
  <c r="Z35" i="69"/>
  <c r="X35" i="69"/>
  <c r="P35" i="69"/>
  <c r="N35" i="69"/>
  <c r="D35" i="69"/>
  <c r="L35" i="69" s="1"/>
  <c r="B35" i="69"/>
  <c r="Z34" i="69"/>
  <c r="P34" i="69"/>
  <c r="X34" i="69" s="1"/>
  <c r="N34" i="69"/>
  <c r="D34" i="69"/>
  <c r="L34" i="69" s="1"/>
  <c r="B34" i="69"/>
  <c r="Z33" i="69"/>
  <c r="P33" i="69"/>
  <c r="X33" i="69" s="1"/>
  <c r="N33" i="69"/>
  <c r="L33" i="69"/>
  <c r="D33" i="69"/>
  <c r="B33" i="69"/>
  <c r="Z32" i="69"/>
  <c r="X32" i="69"/>
  <c r="P32" i="69"/>
  <c r="N32" i="69"/>
  <c r="L32" i="69"/>
  <c r="D32" i="69"/>
  <c r="B32" i="69"/>
  <c r="Z31" i="69"/>
  <c r="P31" i="69"/>
  <c r="X31" i="69" s="1"/>
  <c r="N31" i="69"/>
  <c r="D31" i="69"/>
  <c r="L31" i="69" s="1"/>
  <c r="B31" i="69"/>
  <c r="Z30" i="69"/>
  <c r="P30" i="69"/>
  <c r="X30" i="69" s="1"/>
  <c r="N30" i="69"/>
  <c r="D30" i="69"/>
  <c r="L30" i="69" s="1"/>
  <c r="B30" i="69"/>
  <c r="Z29" i="69"/>
  <c r="X29" i="69"/>
  <c r="P29" i="69"/>
  <c r="N29" i="69"/>
  <c r="L29" i="69"/>
  <c r="D29" i="69"/>
  <c r="B29" i="69"/>
  <c r="Z28" i="69"/>
  <c r="X28" i="69"/>
  <c r="P28" i="69"/>
  <c r="N28" i="69"/>
  <c r="L28" i="69"/>
  <c r="D28" i="69"/>
  <c r="B28" i="69"/>
  <c r="Z27" i="69"/>
  <c r="P27" i="69"/>
  <c r="X27" i="69" s="1"/>
  <c r="N27" i="69"/>
  <c r="L27" i="69"/>
  <c r="D27" i="69"/>
  <c r="B27" i="69"/>
  <c r="Z26" i="69"/>
  <c r="P26" i="69"/>
  <c r="X26" i="69" s="1"/>
  <c r="N26" i="69"/>
  <c r="L26" i="69"/>
  <c r="D26" i="69"/>
  <c r="B26" i="69"/>
  <c r="Z25" i="69"/>
  <c r="P25" i="69"/>
  <c r="X25" i="69" s="1"/>
  <c r="N25" i="69"/>
  <c r="L25" i="69"/>
  <c r="D25" i="69"/>
  <c r="B25" i="69"/>
  <c r="Z24" i="69"/>
  <c r="P24" i="69"/>
  <c r="X24" i="69" s="1"/>
  <c r="N24" i="69"/>
  <c r="D24" i="69"/>
  <c r="L24" i="69" s="1"/>
  <c r="B24" i="69"/>
  <c r="Z23" i="69"/>
  <c r="X23" i="69"/>
  <c r="P23" i="69"/>
  <c r="N23" i="69"/>
  <c r="D23" i="69"/>
  <c r="L23" i="69" s="1"/>
  <c r="B23" i="69"/>
  <c r="Z22" i="69"/>
  <c r="P22" i="69"/>
  <c r="X22" i="69" s="1"/>
  <c r="N22" i="69"/>
  <c r="D22" i="69"/>
  <c r="L22" i="69" s="1"/>
  <c r="B22" i="69"/>
  <c r="Z21" i="69"/>
  <c r="P21" i="69"/>
  <c r="X21" i="69" s="1"/>
  <c r="N21" i="69"/>
  <c r="L21" i="69"/>
  <c r="D21" i="69"/>
  <c r="B21" i="69"/>
  <c r="Z20" i="69"/>
  <c r="X20" i="69"/>
  <c r="P20" i="69"/>
  <c r="N20" i="69"/>
  <c r="L20" i="69"/>
  <c r="D20" i="69"/>
  <c r="B20" i="69"/>
  <c r="Z19" i="69"/>
  <c r="X19" i="69"/>
  <c r="P19" i="69"/>
  <c r="N19" i="69"/>
  <c r="D19" i="69"/>
  <c r="L19" i="69" s="1"/>
  <c r="B19" i="69"/>
  <c r="Z18" i="69"/>
  <c r="P18" i="69"/>
  <c r="X18" i="69" s="1"/>
  <c r="N18" i="69"/>
  <c r="D18" i="69"/>
  <c r="L18" i="69" s="1"/>
  <c r="B18" i="69"/>
  <c r="Z17" i="69"/>
  <c r="X17" i="69"/>
  <c r="P17" i="69"/>
  <c r="N17" i="69"/>
  <c r="L17" i="69"/>
  <c r="D17" i="69"/>
  <c r="B17" i="69"/>
  <c r="Z16" i="69"/>
  <c r="X16" i="69"/>
  <c r="P16" i="69"/>
  <c r="N16" i="69"/>
  <c r="D16" i="69"/>
  <c r="L16" i="69" s="1"/>
  <c r="B16" i="69"/>
  <c r="Z15" i="69"/>
  <c r="P15" i="69"/>
  <c r="X15" i="69" s="1"/>
  <c r="N15" i="69"/>
  <c r="D15" i="69"/>
  <c r="B15" i="69"/>
  <c r="Z14" i="69"/>
  <c r="P14" i="69"/>
  <c r="X14" i="69" s="1"/>
  <c r="N14" i="69"/>
  <c r="L14" i="69"/>
  <c r="D14" i="69"/>
  <c r="B14" i="69"/>
  <c r="P13" i="69"/>
  <c r="N13" i="69"/>
  <c r="L13" i="69"/>
  <c r="D13" i="69"/>
  <c r="B13" i="69"/>
  <c r="T12" i="69"/>
  <c r="V91" i="69" s="1"/>
  <c r="H12" i="69"/>
  <c r="J153" i="69" s="1"/>
  <c r="D6" i="69"/>
  <c r="D4" i="69"/>
  <c r="R78" i="67"/>
  <c r="X76" i="67"/>
  <c r="Z76" i="67" s="1"/>
  <c r="N76" i="67"/>
  <c r="L76" i="67"/>
  <c r="J76" i="67"/>
  <c r="F76" i="67"/>
  <c r="T72" i="67"/>
  <c r="Z72" i="67" s="1"/>
  <c r="P72" i="67"/>
  <c r="N72" i="67"/>
  <c r="H72" i="67"/>
  <c r="D72" i="67"/>
  <c r="L72" i="67" s="1"/>
  <c r="Z70" i="67"/>
  <c r="X70" i="67"/>
  <c r="V70" i="67"/>
  <c r="N70" i="67"/>
  <c r="L70" i="67"/>
  <c r="J70" i="67"/>
  <c r="B70" i="67"/>
  <c r="T69" i="67"/>
  <c r="Z69" i="67" s="1"/>
  <c r="P69" i="67"/>
  <c r="X69" i="67" s="1"/>
  <c r="H69" i="67"/>
  <c r="N69" i="67" s="1"/>
  <c r="D69" i="67"/>
  <c r="B69" i="67"/>
  <c r="Z68" i="67"/>
  <c r="X68" i="67"/>
  <c r="N68" i="67"/>
  <c r="L68" i="67"/>
  <c r="B68" i="67"/>
  <c r="Z67" i="67"/>
  <c r="T67" i="67"/>
  <c r="P67" i="67"/>
  <c r="X67" i="67" s="1"/>
  <c r="H67" i="67"/>
  <c r="F67" i="67"/>
  <c r="D67" i="67"/>
  <c r="B67" i="67"/>
  <c r="Z66" i="67"/>
  <c r="X66" i="67"/>
  <c r="N66" i="67"/>
  <c r="L66" i="67"/>
  <c r="J66" i="67"/>
  <c r="B66" i="67"/>
  <c r="Z65" i="67"/>
  <c r="X65" i="67"/>
  <c r="V65" i="67"/>
  <c r="N65" i="67"/>
  <c r="L65" i="67"/>
  <c r="B65" i="67"/>
  <c r="V64" i="67"/>
  <c r="T64" i="67"/>
  <c r="P64" i="67"/>
  <c r="H64" i="67"/>
  <c r="D64" i="67"/>
  <c r="L64" i="67" s="1"/>
  <c r="B64" i="67"/>
  <c r="Z63" i="67"/>
  <c r="X63" i="67"/>
  <c r="V63" i="67"/>
  <c r="N63" i="67"/>
  <c r="L63" i="67"/>
  <c r="J63" i="67"/>
  <c r="B63" i="67"/>
  <c r="X62" i="67"/>
  <c r="Z62" i="67" s="1"/>
  <c r="L62" i="67"/>
  <c r="N62" i="67" s="1"/>
  <c r="F62" i="67"/>
  <c r="B62" i="67"/>
  <c r="Z61" i="67"/>
  <c r="X61" i="67"/>
  <c r="N61" i="67"/>
  <c r="L61" i="67"/>
  <c r="B61" i="67"/>
  <c r="X60" i="67"/>
  <c r="T60" i="67"/>
  <c r="P60" i="67"/>
  <c r="J60" i="67"/>
  <c r="H60" i="67"/>
  <c r="N60" i="67" s="1"/>
  <c r="F60" i="67"/>
  <c r="D60" i="67"/>
  <c r="L60" i="67" s="1"/>
  <c r="B60" i="67"/>
  <c r="Z59" i="67"/>
  <c r="X59" i="67"/>
  <c r="N59" i="67"/>
  <c r="L59" i="67"/>
  <c r="J59" i="67"/>
  <c r="B59" i="67"/>
  <c r="T58" i="67"/>
  <c r="P58" i="67"/>
  <c r="H58" i="67"/>
  <c r="D58" i="67"/>
  <c r="L58" i="67" s="1"/>
  <c r="B58" i="67"/>
  <c r="Z57" i="67"/>
  <c r="X57" i="67"/>
  <c r="V57" i="67"/>
  <c r="N57" i="67"/>
  <c r="L57" i="67"/>
  <c r="B57" i="67"/>
  <c r="Z56" i="67"/>
  <c r="X56" i="67"/>
  <c r="N56" i="67"/>
  <c r="L56" i="67"/>
  <c r="B56" i="67"/>
  <c r="T55" i="67"/>
  <c r="P55" i="67"/>
  <c r="X55" i="67" s="1"/>
  <c r="N55" i="67"/>
  <c r="J55" i="67"/>
  <c r="H55" i="67"/>
  <c r="D55" i="67"/>
  <c r="L55" i="67" s="1"/>
  <c r="B55" i="67"/>
  <c r="X54" i="67"/>
  <c r="Z54" i="67" s="1"/>
  <c r="N54" i="67"/>
  <c r="L54" i="67"/>
  <c r="F54" i="67"/>
  <c r="B54" i="67"/>
  <c r="T53" i="67"/>
  <c r="P53" i="67"/>
  <c r="X53" i="67" s="1"/>
  <c r="Z53" i="67" s="1"/>
  <c r="N53" i="67"/>
  <c r="L53" i="67"/>
  <c r="J53" i="67"/>
  <c r="H53" i="67"/>
  <c r="F53" i="67"/>
  <c r="D53" i="67"/>
  <c r="B53" i="67"/>
  <c r="Z52" i="67"/>
  <c r="X52" i="67"/>
  <c r="N52" i="67"/>
  <c r="L52" i="67"/>
  <c r="J52" i="67"/>
  <c r="F52" i="67"/>
  <c r="B52" i="67"/>
  <c r="Z51" i="67"/>
  <c r="T51" i="67"/>
  <c r="X51" i="67" s="1"/>
  <c r="P51" i="67"/>
  <c r="H51" i="67"/>
  <c r="D51" i="67"/>
  <c r="B51" i="67"/>
  <c r="X50" i="67"/>
  <c r="Z50" i="67" s="1"/>
  <c r="L50" i="67"/>
  <c r="N50" i="67" s="1"/>
  <c r="J50" i="67"/>
  <c r="B50" i="67"/>
  <c r="Z49" i="67"/>
  <c r="T49" i="67"/>
  <c r="P49" i="67"/>
  <c r="X49" i="67" s="1"/>
  <c r="J49" i="67"/>
  <c r="H49" i="67"/>
  <c r="D49" i="67"/>
  <c r="L49" i="67" s="1"/>
  <c r="B49" i="67"/>
  <c r="X48" i="67"/>
  <c r="Z48" i="67" s="1"/>
  <c r="N48" i="67"/>
  <c r="L48" i="67"/>
  <c r="B48" i="67"/>
  <c r="X47" i="67"/>
  <c r="Z47" i="67" s="1"/>
  <c r="T47" i="67"/>
  <c r="R47" i="67"/>
  <c r="P47" i="67"/>
  <c r="H47" i="67"/>
  <c r="D47" i="67"/>
  <c r="L47" i="67" s="1"/>
  <c r="N47" i="67" s="1"/>
  <c r="B47" i="67"/>
  <c r="Z46" i="67"/>
  <c r="X46" i="67"/>
  <c r="R46" i="67"/>
  <c r="N46" i="67"/>
  <c r="L46" i="67"/>
  <c r="J46" i="67"/>
  <c r="B46" i="67"/>
  <c r="Z45" i="67"/>
  <c r="X45" i="67"/>
  <c r="N45" i="67"/>
  <c r="L45" i="67"/>
  <c r="J45" i="67"/>
  <c r="B45" i="67"/>
  <c r="Z44" i="67"/>
  <c r="X44" i="67"/>
  <c r="N44" i="67"/>
  <c r="L44" i="67"/>
  <c r="J44" i="67"/>
  <c r="F44" i="67"/>
  <c r="B44" i="67"/>
  <c r="Z43" i="67"/>
  <c r="X43" i="67"/>
  <c r="N43" i="67"/>
  <c r="L43" i="67"/>
  <c r="J43" i="67"/>
  <c r="B43" i="67"/>
  <c r="Z42" i="67"/>
  <c r="X42" i="67"/>
  <c r="N42" i="67"/>
  <c r="L42" i="67"/>
  <c r="J42" i="67"/>
  <c r="B42" i="67"/>
  <c r="Z41" i="67"/>
  <c r="X41" i="67"/>
  <c r="R41" i="67"/>
  <c r="N41" i="67"/>
  <c r="L41" i="67"/>
  <c r="J41" i="67"/>
  <c r="B41" i="67"/>
  <c r="Z40" i="67"/>
  <c r="X40" i="67"/>
  <c r="N40" i="67"/>
  <c r="L40" i="67"/>
  <c r="J40" i="67"/>
  <c r="F40" i="67"/>
  <c r="B40" i="67"/>
  <c r="Z39" i="67"/>
  <c r="X39" i="67"/>
  <c r="N39" i="67"/>
  <c r="L39" i="67"/>
  <c r="J39" i="67"/>
  <c r="B39" i="67"/>
  <c r="Z38" i="67"/>
  <c r="X38" i="67"/>
  <c r="R38" i="67"/>
  <c r="N38" i="67"/>
  <c r="L38" i="67"/>
  <c r="J38" i="67"/>
  <c r="B38" i="67"/>
  <c r="Z37" i="67"/>
  <c r="X37" i="67"/>
  <c r="R37" i="67"/>
  <c r="N37" i="67"/>
  <c r="L37" i="67"/>
  <c r="J37" i="67"/>
  <c r="B37" i="67"/>
  <c r="T36" i="67"/>
  <c r="Z36" i="67" s="1"/>
  <c r="P36" i="67"/>
  <c r="X36" i="67" s="1"/>
  <c r="H36" i="67"/>
  <c r="D36" i="67"/>
  <c r="B36" i="67"/>
  <c r="Z35" i="67"/>
  <c r="X35" i="67"/>
  <c r="L35" i="67"/>
  <c r="N35" i="67" s="1"/>
  <c r="J35" i="67"/>
  <c r="B35" i="67"/>
  <c r="X34" i="67"/>
  <c r="Z34" i="67" s="1"/>
  <c r="L34" i="67"/>
  <c r="N34" i="67" s="1"/>
  <c r="J34" i="67"/>
  <c r="B34" i="67"/>
  <c r="Z33" i="67"/>
  <c r="X33" i="67"/>
  <c r="V33" i="67"/>
  <c r="N33" i="67"/>
  <c r="L33" i="67"/>
  <c r="B33" i="67"/>
  <c r="Z32" i="67"/>
  <c r="X32" i="67"/>
  <c r="N32" i="67"/>
  <c r="L32" i="67"/>
  <c r="B32" i="67"/>
  <c r="Z31" i="67"/>
  <c r="X31" i="67"/>
  <c r="L31" i="67"/>
  <c r="N31" i="67" s="1"/>
  <c r="J31" i="67"/>
  <c r="B31" i="67"/>
  <c r="X30" i="67"/>
  <c r="Z30" i="67" s="1"/>
  <c r="L30" i="67"/>
  <c r="N30" i="67" s="1"/>
  <c r="J30" i="67"/>
  <c r="B30" i="67"/>
  <c r="Z29" i="67"/>
  <c r="X29" i="67"/>
  <c r="V29" i="67"/>
  <c r="N29" i="67"/>
  <c r="L29" i="67"/>
  <c r="B29" i="67"/>
  <c r="Z28" i="67"/>
  <c r="X28" i="67"/>
  <c r="R28" i="67"/>
  <c r="L28" i="67"/>
  <c r="N28" i="67" s="1"/>
  <c r="B28" i="67"/>
  <c r="Z27" i="67"/>
  <c r="X27" i="67"/>
  <c r="L27" i="67"/>
  <c r="N27" i="67" s="1"/>
  <c r="J27" i="67"/>
  <c r="B27" i="67"/>
  <c r="T26" i="67"/>
  <c r="Z26" i="67" s="1"/>
  <c r="P26" i="67"/>
  <c r="X26" i="67" s="1"/>
  <c r="H26" i="67"/>
  <c r="D26" i="67"/>
  <c r="L26" i="67" s="1"/>
  <c r="B26" i="67"/>
  <c r="T25" i="67"/>
  <c r="P25" i="67"/>
  <c r="X25" i="67" s="1"/>
  <c r="Z25" i="67" s="1"/>
  <c r="H25" i="67"/>
  <c r="J25" i="67" s="1"/>
  <c r="F25" i="67"/>
  <c r="D25" i="67"/>
  <c r="J23" i="67"/>
  <c r="H23" i="67"/>
  <c r="F23" i="67"/>
  <c r="Z21" i="67"/>
  <c r="X21" i="67"/>
  <c r="N21" i="67"/>
  <c r="L21" i="67"/>
  <c r="J21" i="67"/>
  <c r="B21" i="67"/>
  <c r="X20" i="67"/>
  <c r="Z20" i="67" s="1"/>
  <c r="N20" i="67"/>
  <c r="L20" i="67"/>
  <c r="J20" i="67"/>
  <c r="B20" i="67"/>
  <c r="X19" i="67"/>
  <c r="Z19" i="67" s="1"/>
  <c r="T19" i="67"/>
  <c r="R19" i="67"/>
  <c r="P19" i="67"/>
  <c r="H19" i="67"/>
  <c r="D19" i="67"/>
  <c r="L19" i="67" s="1"/>
  <c r="N19" i="67" s="1"/>
  <c r="Z17" i="67"/>
  <c r="X17" i="67"/>
  <c r="P17" i="67"/>
  <c r="N17" i="67"/>
  <c r="L17" i="67"/>
  <c r="D17" i="67"/>
  <c r="B17" i="67"/>
  <c r="Z16" i="67"/>
  <c r="P16" i="67"/>
  <c r="X16" i="67" s="1"/>
  <c r="N16" i="67"/>
  <c r="L16" i="67"/>
  <c r="D16" i="67"/>
  <c r="B16" i="67"/>
  <c r="Z15" i="67"/>
  <c r="P15" i="67"/>
  <c r="X15" i="67" s="1"/>
  <c r="N15" i="67"/>
  <c r="L15" i="67"/>
  <c r="D15" i="67"/>
  <c r="B15" i="67"/>
  <c r="X14" i="67"/>
  <c r="Z14" i="67" s="1"/>
  <c r="P14" i="67"/>
  <c r="L14" i="67"/>
  <c r="N14" i="67" s="1"/>
  <c r="D14" i="67"/>
  <c r="D12" i="67" s="1"/>
  <c r="B14" i="67"/>
  <c r="Z13" i="67"/>
  <c r="P13" i="67"/>
  <c r="X13" i="67" s="1"/>
  <c r="N13" i="67"/>
  <c r="D13" i="67"/>
  <c r="L13" i="67" s="1"/>
  <c r="B13" i="67"/>
  <c r="T12" i="67"/>
  <c r="V19" i="67" s="1"/>
  <c r="P12" i="67"/>
  <c r="L12" i="67"/>
  <c r="N12" i="67" s="1"/>
  <c r="H12" i="67"/>
  <c r="J68" i="67" s="1"/>
  <c r="D6" i="67"/>
  <c r="D4" i="67"/>
  <c r="X122" i="66"/>
  <c r="Z122" i="66" s="1"/>
  <c r="L122" i="66"/>
  <c r="N122" i="66" s="1"/>
  <c r="Z118" i="66"/>
  <c r="X118" i="66"/>
  <c r="P118" i="66"/>
  <c r="N118" i="66"/>
  <c r="D118" i="66"/>
  <c r="L118" i="66" s="1"/>
  <c r="B118" i="66"/>
  <c r="P117" i="66"/>
  <c r="X117" i="66" s="1"/>
  <c r="Z117" i="66" s="1"/>
  <c r="N117" i="66"/>
  <c r="D117" i="66"/>
  <c r="L117" i="66" s="1"/>
  <c r="B117" i="66"/>
  <c r="X116" i="66"/>
  <c r="Z116" i="66" s="1"/>
  <c r="P116" i="66"/>
  <c r="D116" i="66"/>
  <c r="L116" i="66" s="1"/>
  <c r="N116" i="66" s="1"/>
  <c r="B116" i="66"/>
  <c r="Z115" i="66"/>
  <c r="V115" i="66"/>
  <c r="T115" i="66"/>
  <c r="P115" i="66"/>
  <c r="X115" i="66" s="1"/>
  <c r="H115" i="66"/>
  <c r="N115" i="66" s="1"/>
  <c r="D115" i="66"/>
  <c r="L115" i="66" s="1"/>
  <c r="Z113" i="66"/>
  <c r="X113" i="66"/>
  <c r="V113" i="66"/>
  <c r="N113" i="66"/>
  <c r="L113" i="66"/>
  <c r="B113" i="66"/>
  <c r="T112" i="66"/>
  <c r="Z112" i="66" s="1"/>
  <c r="P112" i="66"/>
  <c r="H112" i="66"/>
  <c r="N112" i="66" s="1"/>
  <c r="D112" i="66"/>
  <c r="L112" i="66" s="1"/>
  <c r="B112" i="66"/>
  <c r="X111" i="66"/>
  <c r="Z111" i="66" s="1"/>
  <c r="V111" i="66"/>
  <c r="N111" i="66"/>
  <c r="L111" i="66"/>
  <c r="B111" i="66"/>
  <c r="T110" i="66"/>
  <c r="P110" i="66"/>
  <c r="X110" i="66" s="1"/>
  <c r="L110" i="66"/>
  <c r="H110" i="66"/>
  <c r="N110" i="66" s="1"/>
  <c r="D110" i="66"/>
  <c r="B110" i="66"/>
  <c r="Z109" i="66"/>
  <c r="X109" i="66"/>
  <c r="N109" i="66"/>
  <c r="L109" i="66"/>
  <c r="J109" i="66"/>
  <c r="B109" i="66"/>
  <c r="Z108" i="66"/>
  <c r="X108" i="66"/>
  <c r="N108" i="66"/>
  <c r="L108" i="66"/>
  <c r="J108" i="66"/>
  <c r="B108" i="66"/>
  <c r="Z107" i="66"/>
  <c r="T107" i="66"/>
  <c r="P107" i="66"/>
  <c r="X107" i="66" s="1"/>
  <c r="H107" i="66"/>
  <c r="D107" i="66"/>
  <c r="B107" i="66"/>
  <c r="X106" i="66"/>
  <c r="Z106" i="66" s="1"/>
  <c r="L106" i="66"/>
  <c r="N106" i="66" s="1"/>
  <c r="B106" i="66"/>
  <c r="Z105" i="66"/>
  <c r="X105" i="66"/>
  <c r="V105" i="66"/>
  <c r="N105" i="66"/>
  <c r="L105" i="66"/>
  <c r="B105" i="66"/>
  <c r="Z104" i="66"/>
  <c r="X104" i="66"/>
  <c r="V104" i="66"/>
  <c r="L104" i="66"/>
  <c r="N104" i="66" s="1"/>
  <c r="B104" i="66"/>
  <c r="T103" i="66"/>
  <c r="P103" i="66"/>
  <c r="X103" i="66" s="1"/>
  <c r="N103" i="66"/>
  <c r="J103" i="66"/>
  <c r="H103" i="66"/>
  <c r="D103" i="66"/>
  <c r="L103" i="66" s="1"/>
  <c r="B103" i="66"/>
  <c r="X102" i="66"/>
  <c r="Z102" i="66" s="1"/>
  <c r="N102" i="66"/>
  <c r="L102" i="66"/>
  <c r="B102" i="66"/>
  <c r="Z101" i="66"/>
  <c r="X101" i="66"/>
  <c r="N101" i="66"/>
  <c r="L101" i="66"/>
  <c r="B101" i="66"/>
  <c r="X100" i="66"/>
  <c r="T100" i="66"/>
  <c r="Z100" i="66" s="1"/>
  <c r="P100" i="66"/>
  <c r="H100" i="66"/>
  <c r="D100" i="66"/>
  <c r="L100" i="66" s="1"/>
  <c r="B100" i="66"/>
  <c r="Z99" i="66"/>
  <c r="X99" i="66"/>
  <c r="N99" i="66"/>
  <c r="L99" i="66"/>
  <c r="B99" i="66"/>
  <c r="X98" i="66"/>
  <c r="Z98" i="66" s="1"/>
  <c r="L98" i="66"/>
  <c r="N98" i="66" s="1"/>
  <c r="B98" i="66"/>
  <c r="Z97" i="66"/>
  <c r="X97" i="66"/>
  <c r="N97" i="66"/>
  <c r="L97" i="66"/>
  <c r="J97" i="66"/>
  <c r="B97" i="66"/>
  <c r="T96" i="66"/>
  <c r="P96" i="66"/>
  <c r="X96" i="66" s="1"/>
  <c r="H96" i="66"/>
  <c r="D96" i="66"/>
  <c r="B96" i="66"/>
  <c r="Z95" i="66"/>
  <c r="X95" i="66"/>
  <c r="L95" i="66"/>
  <c r="N95" i="66" s="1"/>
  <c r="J95" i="66"/>
  <c r="B95" i="66"/>
  <c r="T94" i="66"/>
  <c r="P94" i="66"/>
  <c r="X94" i="66" s="1"/>
  <c r="H94" i="66"/>
  <c r="D94" i="66"/>
  <c r="L94" i="66" s="1"/>
  <c r="B94" i="66"/>
  <c r="Z93" i="66"/>
  <c r="X93" i="66"/>
  <c r="N93" i="66"/>
  <c r="L93" i="66"/>
  <c r="B93" i="66"/>
  <c r="X92" i="66"/>
  <c r="Z92" i="66" s="1"/>
  <c r="N92" i="66"/>
  <c r="L92" i="66"/>
  <c r="B92" i="66"/>
  <c r="X91" i="66"/>
  <c r="Z91" i="66" s="1"/>
  <c r="V91" i="66"/>
  <c r="T91" i="66"/>
  <c r="P91" i="66"/>
  <c r="H91" i="66"/>
  <c r="D91" i="66"/>
  <c r="L91" i="66" s="1"/>
  <c r="N91" i="66" s="1"/>
  <c r="B91" i="66"/>
  <c r="Z90" i="66"/>
  <c r="X90" i="66"/>
  <c r="N90" i="66"/>
  <c r="L90" i="66"/>
  <c r="B90" i="66"/>
  <c r="Z89" i="66"/>
  <c r="X89" i="66"/>
  <c r="N89" i="66"/>
  <c r="L89" i="66"/>
  <c r="J89" i="66"/>
  <c r="B89" i="66"/>
  <c r="T88" i="66"/>
  <c r="Z88" i="66" s="1"/>
  <c r="P88" i="66"/>
  <c r="X88" i="66" s="1"/>
  <c r="H88" i="66"/>
  <c r="L88" i="66" s="1"/>
  <c r="D88" i="66"/>
  <c r="B88" i="66"/>
  <c r="Z87" i="66"/>
  <c r="X87" i="66"/>
  <c r="L87" i="66"/>
  <c r="N87" i="66" s="1"/>
  <c r="J87" i="66"/>
  <c r="B87" i="66"/>
  <c r="T86" i="66"/>
  <c r="Z86" i="66" s="1"/>
  <c r="P86" i="66"/>
  <c r="X86" i="66" s="1"/>
  <c r="H86" i="66"/>
  <c r="D86" i="66"/>
  <c r="B86" i="66"/>
  <c r="Z85" i="66"/>
  <c r="X85" i="66"/>
  <c r="N85" i="66"/>
  <c r="L85" i="66"/>
  <c r="B85" i="66"/>
  <c r="X84" i="66"/>
  <c r="T84" i="66"/>
  <c r="P84" i="66"/>
  <c r="H84" i="66"/>
  <c r="N84" i="66" s="1"/>
  <c r="D84" i="66"/>
  <c r="L84" i="66" s="1"/>
  <c r="B84" i="66"/>
  <c r="Z83" i="66"/>
  <c r="X83" i="66"/>
  <c r="N83" i="66"/>
  <c r="L83" i="66"/>
  <c r="J83" i="66"/>
  <c r="B83" i="66"/>
  <c r="X82" i="66"/>
  <c r="Z82" i="66" s="1"/>
  <c r="L82" i="66"/>
  <c r="N82" i="66" s="1"/>
  <c r="B82" i="66"/>
  <c r="T81" i="66"/>
  <c r="P81" i="66"/>
  <c r="H81" i="66"/>
  <c r="D81" i="66"/>
  <c r="L81" i="66" s="1"/>
  <c r="N81" i="66" s="1"/>
  <c r="B81" i="66"/>
  <c r="Z80" i="66"/>
  <c r="X80" i="66"/>
  <c r="V80" i="66"/>
  <c r="L80" i="66"/>
  <c r="N80" i="66" s="1"/>
  <c r="B80" i="66"/>
  <c r="T79" i="66"/>
  <c r="Z79" i="66" s="1"/>
  <c r="P79" i="66"/>
  <c r="X79" i="66" s="1"/>
  <c r="J79" i="66"/>
  <c r="H79" i="66"/>
  <c r="D79" i="66"/>
  <c r="L79" i="66" s="1"/>
  <c r="N79" i="66" s="1"/>
  <c r="B79" i="66"/>
  <c r="Z78" i="66"/>
  <c r="X78" i="66"/>
  <c r="N78" i="66"/>
  <c r="L78" i="66"/>
  <c r="B78" i="66"/>
  <c r="Z77" i="66"/>
  <c r="X77" i="66"/>
  <c r="N77" i="66"/>
  <c r="L77" i="66"/>
  <c r="B77" i="66"/>
  <c r="X76" i="66"/>
  <c r="Z76" i="66" s="1"/>
  <c r="N76" i="66"/>
  <c r="L76" i="66"/>
  <c r="B76" i="66"/>
  <c r="X75" i="66"/>
  <c r="Z75" i="66" s="1"/>
  <c r="V75" i="66"/>
  <c r="N75" i="66"/>
  <c r="L75" i="66"/>
  <c r="J75" i="66"/>
  <c r="B75" i="66"/>
  <c r="Z74" i="66"/>
  <c r="X74" i="66"/>
  <c r="N74" i="66"/>
  <c r="L74" i="66"/>
  <c r="B74" i="66"/>
  <c r="Z73" i="66"/>
  <c r="X73" i="66"/>
  <c r="N73" i="66"/>
  <c r="L73" i="66"/>
  <c r="B73" i="66"/>
  <c r="X72" i="66"/>
  <c r="Z72" i="66" s="1"/>
  <c r="N72" i="66"/>
  <c r="L72" i="66"/>
  <c r="B72" i="66"/>
  <c r="Z71" i="66"/>
  <c r="X71" i="66"/>
  <c r="V71" i="66"/>
  <c r="N71" i="66"/>
  <c r="L71" i="66"/>
  <c r="J71" i="66"/>
  <c r="B71" i="66"/>
  <c r="X70" i="66"/>
  <c r="Z70" i="66" s="1"/>
  <c r="N70" i="66"/>
  <c r="L70" i="66"/>
  <c r="B70" i="66"/>
  <c r="Z69" i="66"/>
  <c r="X69" i="66"/>
  <c r="N69" i="66"/>
  <c r="L69" i="66"/>
  <c r="B69" i="66"/>
  <c r="X68" i="66"/>
  <c r="T68" i="66"/>
  <c r="Z68" i="66" s="1"/>
  <c r="P68" i="66"/>
  <c r="J68" i="66"/>
  <c r="H68" i="66"/>
  <c r="D68" i="66"/>
  <c r="L68" i="66" s="1"/>
  <c r="B68" i="66"/>
  <c r="Z67" i="66"/>
  <c r="X67" i="66"/>
  <c r="N67" i="66"/>
  <c r="L67" i="66"/>
  <c r="J67" i="66"/>
  <c r="B67" i="66"/>
  <c r="Z66" i="66"/>
  <c r="X66" i="66"/>
  <c r="L66" i="66"/>
  <c r="N66" i="66" s="1"/>
  <c r="B66" i="66"/>
  <c r="Z65" i="66"/>
  <c r="X65" i="66"/>
  <c r="N65" i="66"/>
  <c r="L65" i="66"/>
  <c r="J65" i="66"/>
  <c r="B65" i="66"/>
  <c r="Z64" i="66"/>
  <c r="X64" i="66"/>
  <c r="N64" i="66"/>
  <c r="L64" i="66"/>
  <c r="J64" i="66"/>
  <c r="B64" i="66"/>
  <c r="Z63" i="66"/>
  <c r="X63" i="66"/>
  <c r="N63" i="66"/>
  <c r="L63" i="66"/>
  <c r="J63" i="66"/>
  <c r="B63" i="66"/>
  <c r="X62" i="66"/>
  <c r="Z62" i="66" s="1"/>
  <c r="L62" i="66"/>
  <c r="N62" i="66" s="1"/>
  <c r="B62" i="66"/>
  <c r="Z61" i="66"/>
  <c r="X61" i="66"/>
  <c r="N61" i="66"/>
  <c r="L61" i="66"/>
  <c r="J61" i="66"/>
  <c r="B61" i="66"/>
  <c r="Z60" i="66"/>
  <c r="X60" i="66"/>
  <c r="N60" i="66"/>
  <c r="L60" i="66"/>
  <c r="J60" i="66"/>
  <c r="B60" i="66"/>
  <c r="Z59" i="66"/>
  <c r="X59" i="66"/>
  <c r="N59" i="66"/>
  <c r="L59" i="66"/>
  <c r="J59" i="66"/>
  <c r="B59" i="66"/>
  <c r="X58" i="66"/>
  <c r="Z58" i="66" s="1"/>
  <c r="L58" i="66"/>
  <c r="N58" i="66" s="1"/>
  <c r="B58" i="66"/>
  <c r="T57" i="66"/>
  <c r="P57" i="66"/>
  <c r="N57" i="66"/>
  <c r="J57" i="66"/>
  <c r="H57" i="66"/>
  <c r="D57" i="66"/>
  <c r="L57" i="66" s="1"/>
  <c r="B57" i="66"/>
  <c r="T56" i="66"/>
  <c r="P56" i="66"/>
  <c r="H56" i="66"/>
  <c r="D56" i="66"/>
  <c r="Z52" i="66"/>
  <c r="X52" i="66"/>
  <c r="V52" i="66"/>
  <c r="N52" i="66"/>
  <c r="L52" i="66"/>
  <c r="B52" i="66"/>
  <c r="Z51" i="66"/>
  <c r="X51" i="66"/>
  <c r="N51" i="66"/>
  <c r="L51" i="66"/>
  <c r="J51" i="66"/>
  <c r="B51" i="66"/>
  <c r="Z50" i="66"/>
  <c r="X50" i="66"/>
  <c r="N50" i="66"/>
  <c r="L50" i="66"/>
  <c r="J50" i="66"/>
  <c r="B50" i="66"/>
  <c r="Z49" i="66"/>
  <c r="X49" i="66"/>
  <c r="V49" i="66"/>
  <c r="N49" i="66"/>
  <c r="L49" i="66"/>
  <c r="B49" i="66"/>
  <c r="Z48" i="66"/>
  <c r="X48" i="66"/>
  <c r="V48" i="66"/>
  <c r="N48" i="66"/>
  <c r="L48" i="66"/>
  <c r="B48" i="66"/>
  <c r="Z47" i="66"/>
  <c r="X47" i="66"/>
  <c r="V47" i="66"/>
  <c r="N47" i="66"/>
  <c r="L47" i="66"/>
  <c r="J47" i="66"/>
  <c r="B47" i="66"/>
  <c r="Z46" i="66"/>
  <c r="X46" i="66"/>
  <c r="N46" i="66"/>
  <c r="L46" i="66"/>
  <c r="J46" i="66"/>
  <c r="B46" i="66"/>
  <c r="Z45" i="66"/>
  <c r="X45" i="66"/>
  <c r="V45" i="66"/>
  <c r="N45" i="66"/>
  <c r="L45" i="66"/>
  <c r="B45" i="66"/>
  <c r="Z44" i="66"/>
  <c r="X44" i="66"/>
  <c r="V44" i="66"/>
  <c r="N44" i="66"/>
  <c r="L44" i="66"/>
  <c r="B44" i="66"/>
  <c r="Z43" i="66"/>
  <c r="X43" i="66"/>
  <c r="V43" i="66"/>
  <c r="N43" i="66"/>
  <c r="L43" i="66"/>
  <c r="J43" i="66"/>
  <c r="B43" i="66"/>
  <c r="Z42" i="66"/>
  <c r="X42" i="66"/>
  <c r="N42" i="66"/>
  <c r="L42" i="66"/>
  <c r="J42" i="66"/>
  <c r="B42" i="66"/>
  <c r="Z41" i="66"/>
  <c r="X41" i="66"/>
  <c r="V41" i="66"/>
  <c r="N41" i="66"/>
  <c r="L41" i="66"/>
  <c r="B41" i="66"/>
  <c r="Z40" i="66"/>
  <c r="X40" i="66"/>
  <c r="V40" i="66"/>
  <c r="N40" i="66"/>
  <c r="L40" i="66"/>
  <c r="B40" i="66"/>
  <c r="Z39" i="66"/>
  <c r="X39" i="66"/>
  <c r="V39" i="66"/>
  <c r="N39" i="66"/>
  <c r="L39" i="66"/>
  <c r="J39" i="66"/>
  <c r="B39" i="66"/>
  <c r="Z38" i="66"/>
  <c r="X38" i="66"/>
  <c r="N38" i="66"/>
  <c r="L38" i="66"/>
  <c r="J38" i="66"/>
  <c r="B38" i="66"/>
  <c r="Z37" i="66"/>
  <c r="X37" i="66"/>
  <c r="V37" i="66"/>
  <c r="N37" i="66"/>
  <c r="L37" i="66"/>
  <c r="B37" i="66"/>
  <c r="T36" i="66"/>
  <c r="P36" i="66"/>
  <c r="J36" i="66"/>
  <c r="H36" i="66"/>
  <c r="D36" i="66"/>
  <c r="L36" i="66" s="1"/>
  <c r="Z34" i="66"/>
  <c r="P34" i="66"/>
  <c r="X34" i="66" s="1"/>
  <c r="N34" i="66"/>
  <c r="D34" i="66"/>
  <c r="L34" i="66" s="1"/>
  <c r="B34" i="66"/>
  <c r="Z33" i="66"/>
  <c r="X33" i="66"/>
  <c r="P33" i="66"/>
  <c r="N33" i="66"/>
  <c r="L33" i="66"/>
  <c r="D33" i="66"/>
  <c r="B33" i="66"/>
  <c r="Z32" i="66"/>
  <c r="X32" i="66"/>
  <c r="P32" i="66"/>
  <c r="N32" i="66"/>
  <c r="D32" i="66"/>
  <c r="L32" i="66" s="1"/>
  <c r="B32" i="66"/>
  <c r="Z31" i="66"/>
  <c r="P31" i="66"/>
  <c r="X31" i="66" s="1"/>
  <c r="N31" i="66"/>
  <c r="D31" i="66"/>
  <c r="L31" i="66" s="1"/>
  <c r="B31" i="66"/>
  <c r="Z30" i="66"/>
  <c r="X30" i="66"/>
  <c r="P30" i="66"/>
  <c r="N30" i="66"/>
  <c r="L30" i="66"/>
  <c r="D30" i="66"/>
  <c r="B30" i="66"/>
  <c r="Z29" i="66"/>
  <c r="X29" i="66"/>
  <c r="P29" i="66"/>
  <c r="N29" i="66"/>
  <c r="L29" i="66"/>
  <c r="D29" i="66"/>
  <c r="B29" i="66"/>
  <c r="Z28" i="66"/>
  <c r="X28" i="66"/>
  <c r="P28" i="66"/>
  <c r="N28" i="66"/>
  <c r="D28" i="66"/>
  <c r="L28" i="66" s="1"/>
  <c r="B28" i="66"/>
  <c r="Z27" i="66"/>
  <c r="X27" i="66"/>
  <c r="P27" i="66"/>
  <c r="N27" i="66"/>
  <c r="L27" i="66"/>
  <c r="D27" i="66"/>
  <c r="B27" i="66"/>
  <c r="Z26" i="66"/>
  <c r="X26" i="66"/>
  <c r="P26" i="66"/>
  <c r="N26" i="66"/>
  <c r="L26" i="66"/>
  <c r="D26" i="66"/>
  <c r="B26" i="66"/>
  <c r="Z25" i="66"/>
  <c r="P25" i="66"/>
  <c r="X25" i="66" s="1"/>
  <c r="N25" i="66"/>
  <c r="L25" i="66"/>
  <c r="D25" i="66"/>
  <c r="B25" i="66"/>
  <c r="Z24" i="66"/>
  <c r="X24" i="66"/>
  <c r="P24" i="66"/>
  <c r="N24" i="66"/>
  <c r="L24" i="66"/>
  <c r="D24" i="66"/>
  <c r="B24" i="66"/>
  <c r="Z23" i="66"/>
  <c r="P23" i="66"/>
  <c r="X23" i="66" s="1"/>
  <c r="N23" i="66"/>
  <c r="L23" i="66"/>
  <c r="D23" i="66"/>
  <c r="B23" i="66"/>
  <c r="Z22" i="66"/>
  <c r="P22" i="66"/>
  <c r="X22" i="66" s="1"/>
  <c r="N22" i="66"/>
  <c r="D22" i="66"/>
  <c r="B22" i="66"/>
  <c r="Z21" i="66"/>
  <c r="X21" i="66"/>
  <c r="P21" i="66"/>
  <c r="N21" i="66"/>
  <c r="L21" i="66"/>
  <c r="D21" i="66"/>
  <c r="B21" i="66"/>
  <c r="Z20" i="66"/>
  <c r="X20" i="66"/>
  <c r="P20" i="66"/>
  <c r="N20" i="66"/>
  <c r="D20" i="66"/>
  <c r="L20" i="66" s="1"/>
  <c r="B20" i="66"/>
  <c r="Z19" i="66"/>
  <c r="P19" i="66"/>
  <c r="X19" i="66" s="1"/>
  <c r="N19" i="66"/>
  <c r="D19" i="66"/>
  <c r="L19" i="66" s="1"/>
  <c r="B19" i="66"/>
  <c r="Z18" i="66"/>
  <c r="X18" i="66"/>
  <c r="P18" i="66"/>
  <c r="N18" i="66"/>
  <c r="L18" i="66"/>
  <c r="D18" i="66"/>
  <c r="B18" i="66"/>
  <c r="Z17" i="66"/>
  <c r="X17" i="66"/>
  <c r="P17" i="66"/>
  <c r="N17" i="66"/>
  <c r="L17" i="66"/>
  <c r="D17" i="66"/>
  <c r="B17" i="66"/>
  <c r="Z16" i="66"/>
  <c r="X16" i="66"/>
  <c r="P16" i="66"/>
  <c r="N16" i="66"/>
  <c r="D16" i="66"/>
  <c r="L16" i="66" s="1"/>
  <c r="B16" i="66"/>
  <c r="Z15" i="66"/>
  <c r="X15" i="66"/>
  <c r="P15" i="66"/>
  <c r="N15" i="66"/>
  <c r="L15" i="66"/>
  <c r="D15" i="66"/>
  <c r="B15" i="66"/>
  <c r="Z14" i="66"/>
  <c r="X14" i="66"/>
  <c r="P14" i="66"/>
  <c r="N14" i="66"/>
  <c r="L14" i="66"/>
  <c r="D14" i="66"/>
  <c r="B14" i="66"/>
  <c r="P13" i="66"/>
  <c r="L13" i="66"/>
  <c r="N13" i="66" s="1"/>
  <c r="D13" i="66"/>
  <c r="B13" i="66"/>
  <c r="T12" i="66"/>
  <c r="V116" i="66" s="1"/>
  <c r="H12" i="66"/>
  <c r="D6" i="66"/>
  <c r="D4" i="66"/>
  <c r="Z68" i="65"/>
  <c r="X68" i="65"/>
  <c r="N68" i="65"/>
  <c r="L68" i="65"/>
  <c r="J68" i="65"/>
  <c r="F68" i="65"/>
  <c r="J66" i="65"/>
  <c r="X64" i="65"/>
  <c r="T64" i="65"/>
  <c r="Z64" i="65" s="1"/>
  <c r="P64" i="65"/>
  <c r="J64" i="65"/>
  <c r="H64" i="65"/>
  <c r="N64" i="65" s="1"/>
  <c r="F64" i="65"/>
  <c r="D64" i="65"/>
  <c r="L64" i="65" s="1"/>
  <c r="Z62" i="65"/>
  <c r="X62" i="65"/>
  <c r="N62" i="65"/>
  <c r="L62" i="65"/>
  <c r="B62" i="65"/>
  <c r="Z61" i="65"/>
  <c r="X61" i="65"/>
  <c r="T61" i="65"/>
  <c r="P61" i="65"/>
  <c r="N61" i="65"/>
  <c r="H61" i="65"/>
  <c r="D61" i="65"/>
  <c r="L61" i="65" s="1"/>
  <c r="B61" i="65"/>
  <c r="Z60" i="65"/>
  <c r="X60" i="65"/>
  <c r="N60" i="65"/>
  <c r="L60" i="65"/>
  <c r="B60" i="65"/>
  <c r="Z59" i="65"/>
  <c r="X59" i="65"/>
  <c r="N59" i="65"/>
  <c r="L59" i="65"/>
  <c r="J59" i="65"/>
  <c r="B59" i="65"/>
  <c r="Z58" i="65"/>
  <c r="X58" i="65"/>
  <c r="N58" i="65"/>
  <c r="L58" i="65"/>
  <c r="J58" i="65"/>
  <c r="F58" i="65"/>
  <c r="B58" i="65"/>
  <c r="Z57" i="65"/>
  <c r="T57" i="65"/>
  <c r="P57" i="65"/>
  <c r="X57" i="65" s="1"/>
  <c r="N57" i="65"/>
  <c r="H57" i="65"/>
  <c r="L57" i="65" s="1"/>
  <c r="D57" i="65"/>
  <c r="B57" i="65"/>
  <c r="Z56" i="65"/>
  <c r="X56" i="65"/>
  <c r="N56" i="65"/>
  <c r="L56" i="65"/>
  <c r="J56" i="65"/>
  <c r="B56" i="65"/>
  <c r="Z55" i="65"/>
  <c r="X55" i="65"/>
  <c r="V55" i="65"/>
  <c r="N55" i="65"/>
  <c r="L55" i="65"/>
  <c r="B55" i="65"/>
  <c r="V54" i="65"/>
  <c r="T54" i="65"/>
  <c r="Z54" i="65" s="1"/>
  <c r="P54" i="65"/>
  <c r="X54" i="65" s="1"/>
  <c r="H54" i="65"/>
  <c r="N54" i="65" s="1"/>
  <c r="D54" i="65"/>
  <c r="L54" i="65" s="1"/>
  <c r="B54" i="65"/>
  <c r="Z53" i="65"/>
  <c r="X53" i="65"/>
  <c r="V53" i="65"/>
  <c r="N53" i="65"/>
  <c r="L53" i="65"/>
  <c r="J53" i="65"/>
  <c r="B53" i="65"/>
  <c r="Z52" i="65"/>
  <c r="X52" i="65"/>
  <c r="N52" i="65"/>
  <c r="L52" i="65"/>
  <c r="B52" i="65"/>
  <c r="Z51" i="65"/>
  <c r="T51" i="65"/>
  <c r="P51" i="65"/>
  <c r="X51" i="65" s="1"/>
  <c r="N51" i="65"/>
  <c r="L51" i="65"/>
  <c r="J51" i="65"/>
  <c r="H51" i="65"/>
  <c r="F51" i="65"/>
  <c r="D51" i="65"/>
  <c r="B51" i="65"/>
  <c r="Z50" i="65"/>
  <c r="X50" i="65"/>
  <c r="N50" i="65"/>
  <c r="L50" i="65"/>
  <c r="J50" i="65"/>
  <c r="F50" i="65"/>
  <c r="B50" i="65"/>
  <c r="Z49" i="65"/>
  <c r="T49" i="65"/>
  <c r="X49" i="65" s="1"/>
  <c r="P49" i="65"/>
  <c r="H49" i="65"/>
  <c r="L49" i="65" s="1"/>
  <c r="D49" i="65"/>
  <c r="B49" i="65"/>
  <c r="Z48" i="65"/>
  <c r="X48" i="65"/>
  <c r="N48" i="65"/>
  <c r="L48" i="65"/>
  <c r="J48" i="65"/>
  <c r="B48" i="65"/>
  <c r="Z47" i="65"/>
  <c r="T47" i="65"/>
  <c r="P47" i="65"/>
  <c r="X47" i="65" s="1"/>
  <c r="J47" i="65"/>
  <c r="H47" i="65"/>
  <c r="N47" i="65" s="1"/>
  <c r="D47" i="65"/>
  <c r="L47" i="65" s="1"/>
  <c r="B47" i="65"/>
  <c r="Z46" i="65"/>
  <c r="X46" i="65"/>
  <c r="N46" i="65"/>
  <c r="L46" i="65"/>
  <c r="B46" i="65"/>
  <c r="Z45" i="65"/>
  <c r="X45" i="65"/>
  <c r="V45" i="65"/>
  <c r="T45" i="65"/>
  <c r="P45" i="65"/>
  <c r="N45" i="65"/>
  <c r="H45" i="65"/>
  <c r="F45" i="65"/>
  <c r="D45" i="65"/>
  <c r="L45" i="65" s="1"/>
  <c r="B45" i="65"/>
  <c r="Z44" i="65"/>
  <c r="X44" i="65"/>
  <c r="N44" i="65"/>
  <c r="L44" i="65"/>
  <c r="B44" i="65"/>
  <c r="T43" i="65"/>
  <c r="X43" i="65" s="1"/>
  <c r="P43" i="65"/>
  <c r="N43" i="65"/>
  <c r="J43" i="65"/>
  <c r="H43" i="65"/>
  <c r="D43" i="65"/>
  <c r="L43" i="65" s="1"/>
  <c r="B43" i="65"/>
  <c r="Z42" i="65"/>
  <c r="X42" i="65"/>
  <c r="V42" i="65"/>
  <c r="N42" i="65"/>
  <c r="L42" i="65"/>
  <c r="B42" i="65"/>
  <c r="V41" i="65"/>
  <c r="T41" i="65"/>
  <c r="Z41" i="65" s="1"/>
  <c r="P41" i="65"/>
  <c r="X41" i="65" s="1"/>
  <c r="N41" i="65"/>
  <c r="J41" i="65"/>
  <c r="H41" i="65"/>
  <c r="D41" i="65"/>
  <c r="L41" i="65" s="1"/>
  <c r="B41" i="65"/>
  <c r="Z40" i="65"/>
  <c r="X40" i="65"/>
  <c r="N40" i="65"/>
  <c r="L40" i="65"/>
  <c r="F40" i="65"/>
  <c r="B40" i="65"/>
  <c r="Z39" i="65"/>
  <c r="X39" i="65"/>
  <c r="N39" i="65"/>
  <c r="L39" i="65"/>
  <c r="B39" i="65"/>
  <c r="Z38" i="65"/>
  <c r="X38" i="65"/>
  <c r="N38" i="65"/>
  <c r="L38" i="65"/>
  <c r="F38" i="65"/>
  <c r="B38" i="65"/>
  <c r="Z37" i="65"/>
  <c r="X37" i="65"/>
  <c r="V37" i="65"/>
  <c r="N37" i="65"/>
  <c r="L37" i="65"/>
  <c r="J37" i="65"/>
  <c r="B37" i="65"/>
  <c r="Z36" i="65"/>
  <c r="X36" i="65"/>
  <c r="N36" i="65"/>
  <c r="L36" i="65"/>
  <c r="B36" i="65"/>
  <c r="Z35" i="65"/>
  <c r="X35" i="65"/>
  <c r="N35" i="65"/>
  <c r="L35" i="65"/>
  <c r="B35" i="65"/>
  <c r="Z34" i="65"/>
  <c r="X34" i="65"/>
  <c r="N34" i="65"/>
  <c r="L34" i="65"/>
  <c r="B34" i="65"/>
  <c r="Z33" i="65"/>
  <c r="X33" i="65"/>
  <c r="V33" i="65"/>
  <c r="N33" i="65"/>
  <c r="L33" i="65"/>
  <c r="J33" i="65"/>
  <c r="B33" i="65"/>
  <c r="Z32" i="65"/>
  <c r="X32" i="65"/>
  <c r="N32" i="65"/>
  <c r="L32" i="65"/>
  <c r="B32" i="65"/>
  <c r="Z31" i="65"/>
  <c r="X31" i="65"/>
  <c r="N31" i="65"/>
  <c r="L31" i="65"/>
  <c r="F31" i="65"/>
  <c r="B31" i="65"/>
  <c r="X30" i="65"/>
  <c r="T30" i="65"/>
  <c r="Z30" i="65" s="1"/>
  <c r="P30" i="65"/>
  <c r="J30" i="65"/>
  <c r="H30" i="65"/>
  <c r="N30" i="65" s="1"/>
  <c r="D30" i="65"/>
  <c r="L30" i="65" s="1"/>
  <c r="B30" i="65"/>
  <c r="Z29" i="65"/>
  <c r="X29" i="65"/>
  <c r="N29" i="65"/>
  <c r="L29" i="65"/>
  <c r="J29" i="65"/>
  <c r="F29" i="65"/>
  <c r="B29" i="65"/>
  <c r="Z28" i="65"/>
  <c r="X28" i="65"/>
  <c r="N28" i="65"/>
  <c r="L28" i="65"/>
  <c r="B28" i="65"/>
  <c r="Z27" i="65"/>
  <c r="X27" i="65"/>
  <c r="N27" i="65"/>
  <c r="L27" i="65"/>
  <c r="J27" i="65"/>
  <c r="B27" i="65"/>
  <c r="Z26" i="65"/>
  <c r="X26" i="65"/>
  <c r="N26" i="65"/>
  <c r="L26" i="65"/>
  <c r="J26" i="65"/>
  <c r="F26" i="65"/>
  <c r="B26" i="65"/>
  <c r="Z25" i="65"/>
  <c r="X25" i="65"/>
  <c r="N25" i="65"/>
  <c r="L25" i="65"/>
  <c r="J25" i="65"/>
  <c r="B25" i="65"/>
  <c r="Z24" i="65"/>
  <c r="X24" i="65"/>
  <c r="N24" i="65"/>
  <c r="L24" i="65"/>
  <c r="J24" i="65"/>
  <c r="B24" i="65"/>
  <c r="Z23" i="65"/>
  <c r="X23" i="65"/>
  <c r="N23" i="65"/>
  <c r="L23" i="65"/>
  <c r="J23" i="65"/>
  <c r="B23" i="65"/>
  <c r="Z22" i="65"/>
  <c r="X22" i="65"/>
  <c r="N22" i="65"/>
  <c r="L22" i="65"/>
  <c r="J22" i="65"/>
  <c r="B22" i="65"/>
  <c r="Z21" i="65"/>
  <c r="T21" i="65"/>
  <c r="P21" i="65"/>
  <c r="X21" i="65" s="1"/>
  <c r="H21" i="65"/>
  <c r="F21" i="65"/>
  <c r="D21" i="65"/>
  <c r="B21" i="65"/>
  <c r="T20" i="65"/>
  <c r="Z20" i="65" s="1"/>
  <c r="P20" i="65"/>
  <c r="J20" i="65"/>
  <c r="H20" i="65"/>
  <c r="N20" i="65" s="1"/>
  <c r="D20" i="65"/>
  <c r="J18" i="65"/>
  <c r="Z16" i="65"/>
  <c r="X16" i="65"/>
  <c r="N16" i="65"/>
  <c r="L16" i="65"/>
  <c r="J16" i="65"/>
  <c r="B16" i="65"/>
  <c r="Z15" i="65"/>
  <c r="V15" i="65"/>
  <c r="T15" i="65"/>
  <c r="P15" i="65"/>
  <c r="X15" i="65" s="1"/>
  <c r="J15" i="65"/>
  <c r="H15" i="65"/>
  <c r="N15" i="65" s="1"/>
  <c r="D15" i="65"/>
  <c r="P13" i="65"/>
  <c r="N13" i="65"/>
  <c r="L13" i="65"/>
  <c r="D13" i="65"/>
  <c r="B13" i="65"/>
  <c r="T12" i="65"/>
  <c r="V47" i="65" s="1"/>
  <c r="N12" i="65"/>
  <c r="H12" i="65"/>
  <c r="J42" i="65" s="1"/>
  <c r="D12" i="65"/>
  <c r="F57" i="65" s="1"/>
  <c r="D6" i="65"/>
  <c r="D4" i="65"/>
  <c r="X94" i="64"/>
  <c r="Z94" i="64" s="1"/>
  <c r="N94" i="64"/>
  <c r="L94" i="64"/>
  <c r="X90" i="64"/>
  <c r="T90" i="64"/>
  <c r="Z90" i="64" s="1"/>
  <c r="P90" i="64"/>
  <c r="L90" i="64"/>
  <c r="H90" i="64"/>
  <c r="N90" i="64" s="1"/>
  <c r="D90" i="64"/>
  <c r="X88" i="64"/>
  <c r="Z88" i="64" s="1"/>
  <c r="N88" i="64"/>
  <c r="L88" i="64"/>
  <c r="B88" i="64"/>
  <c r="X87" i="64"/>
  <c r="Z87" i="64" s="1"/>
  <c r="V87" i="64"/>
  <c r="T87" i="64"/>
  <c r="P87" i="64"/>
  <c r="N87" i="64"/>
  <c r="H87" i="64"/>
  <c r="D87" i="64"/>
  <c r="L87" i="64" s="1"/>
  <c r="B87" i="64"/>
  <c r="Z86" i="64"/>
  <c r="X86" i="64"/>
  <c r="N86" i="64"/>
  <c r="L86" i="64"/>
  <c r="B86" i="64"/>
  <c r="X85" i="64"/>
  <c r="Z85" i="64" s="1"/>
  <c r="N85" i="64"/>
  <c r="L85" i="64"/>
  <c r="B85" i="64"/>
  <c r="T84" i="64"/>
  <c r="P84" i="64"/>
  <c r="N84" i="64"/>
  <c r="L84" i="64"/>
  <c r="H84" i="64"/>
  <c r="D84" i="64"/>
  <c r="B84" i="64"/>
  <c r="Z83" i="64"/>
  <c r="X83" i="64"/>
  <c r="N83" i="64"/>
  <c r="L83" i="64"/>
  <c r="B83" i="64"/>
  <c r="X82" i="64"/>
  <c r="Z82" i="64" s="1"/>
  <c r="L82" i="64"/>
  <c r="N82" i="64" s="1"/>
  <c r="B82" i="64"/>
  <c r="Z81" i="64"/>
  <c r="X81" i="64"/>
  <c r="N81" i="64"/>
  <c r="L81" i="64"/>
  <c r="B81" i="64"/>
  <c r="Z80" i="64"/>
  <c r="X80" i="64"/>
  <c r="L80" i="64"/>
  <c r="N80" i="64" s="1"/>
  <c r="B80" i="64"/>
  <c r="T79" i="64"/>
  <c r="P79" i="64"/>
  <c r="X79" i="64" s="1"/>
  <c r="N79" i="64"/>
  <c r="H79" i="64"/>
  <c r="D79" i="64"/>
  <c r="L79" i="64" s="1"/>
  <c r="B79" i="64"/>
  <c r="X78" i="64"/>
  <c r="Z78" i="64" s="1"/>
  <c r="N78" i="64"/>
  <c r="L78" i="64"/>
  <c r="B78" i="64"/>
  <c r="Z77" i="64"/>
  <c r="X77" i="64"/>
  <c r="N77" i="64"/>
  <c r="L77" i="64"/>
  <c r="B77" i="64"/>
  <c r="T76" i="64"/>
  <c r="P76" i="64"/>
  <c r="H76" i="64"/>
  <c r="D76" i="64"/>
  <c r="L76" i="64" s="1"/>
  <c r="B76" i="64"/>
  <c r="Z75" i="64"/>
  <c r="X75" i="64"/>
  <c r="N75" i="64"/>
  <c r="L75" i="64"/>
  <c r="B75" i="64"/>
  <c r="Z74" i="64"/>
  <c r="X74" i="64"/>
  <c r="N74" i="64"/>
  <c r="L74" i="64"/>
  <c r="B74" i="64"/>
  <c r="T73" i="64"/>
  <c r="P73" i="64"/>
  <c r="N73" i="64"/>
  <c r="J73" i="64"/>
  <c r="H73" i="64"/>
  <c r="D73" i="64"/>
  <c r="L73" i="64" s="1"/>
  <c r="B73" i="64"/>
  <c r="Z72" i="64"/>
  <c r="X72" i="64"/>
  <c r="N72" i="64"/>
  <c r="L72" i="64"/>
  <c r="B72" i="64"/>
  <c r="V71" i="64"/>
  <c r="T71" i="64"/>
  <c r="P71" i="64"/>
  <c r="N71" i="64"/>
  <c r="H71" i="64"/>
  <c r="D71" i="64"/>
  <c r="L71" i="64" s="1"/>
  <c r="B71" i="64"/>
  <c r="X70" i="64"/>
  <c r="Z70" i="64" s="1"/>
  <c r="N70" i="64"/>
  <c r="L70" i="64"/>
  <c r="B70" i="64"/>
  <c r="Z69" i="64"/>
  <c r="T69" i="64"/>
  <c r="P69" i="64"/>
  <c r="X69" i="64" s="1"/>
  <c r="N69" i="64"/>
  <c r="L69" i="64"/>
  <c r="H69" i="64"/>
  <c r="D69" i="64"/>
  <c r="B69" i="64"/>
  <c r="X68" i="64"/>
  <c r="Z68" i="64" s="1"/>
  <c r="N68" i="64"/>
  <c r="L68" i="64"/>
  <c r="B68" i="64"/>
  <c r="Z67" i="64"/>
  <c r="T67" i="64"/>
  <c r="X67" i="64" s="1"/>
  <c r="P67" i="64"/>
  <c r="H67" i="64"/>
  <c r="L67" i="64" s="1"/>
  <c r="D67" i="64"/>
  <c r="B67" i="64"/>
  <c r="Z66" i="64"/>
  <c r="X66" i="64"/>
  <c r="N66" i="64"/>
  <c r="L66" i="64"/>
  <c r="B66" i="64"/>
  <c r="Z65" i="64"/>
  <c r="X65" i="64"/>
  <c r="V65" i="64"/>
  <c r="N65" i="64"/>
  <c r="L65" i="64"/>
  <c r="B65" i="64"/>
  <c r="T64" i="64"/>
  <c r="P64" i="64"/>
  <c r="H64" i="64"/>
  <c r="N64" i="64" s="1"/>
  <c r="D64" i="64"/>
  <c r="L64" i="64" s="1"/>
  <c r="B64" i="64"/>
  <c r="X63" i="64"/>
  <c r="Z63" i="64" s="1"/>
  <c r="V63" i="64"/>
  <c r="N63" i="64"/>
  <c r="L63" i="64"/>
  <c r="B63" i="64"/>
  <c r="T62" i="64"/>
  <c r="P62" i="64"/>
  <c r="X62" i="64" s="1"/>
  <c r="H62" i="64"/>
  <c r="D62" i="64"/>
  <c r="B62" i="64"/>
  <c r="Z61" i="64"/>
  <c r="X61" i="64"/>
  <c r="N61" i="64"/>
  <c r="L61" i="64"/>
  <c r="B61" i="64"/>
  <c r="T60" i="64"/>
  <c r="Z60" i="64" s="1"/>
  <c r="P60" i="64"/>
  <c r="X60" i="64" s="1"/>
  <c r="N60" i="64"/>
  <c r="L60" i="64"/>
  <c r="H60" i="64"/>
  <c r="D60" i="64"/>
  <c r="B60" i="64"/>
  <c r="Z59" i="64"/>
  <c r="X59" i="64"/>
  <c r="N59" i="64"/>
  <c r="L59" i="64"/>
  <c r="J59" i="64"/>
  <c r="B59" i="64"/>
  <c r="X58" i="64"/>
  <c r="T58" i="64"/>
  <c r="P58" i="64"/>
  <c r="H58" i="64"/>
  <c r="D58" i="64"/>
  <c r="L58" i="64" s="1"/>
  <c r="N58" i="64" s="1"/>
  <c r="B58" i="64"/>
  <c r="Z57" i="64"/>
  <c r="X57" i="64"/>
  <c r="V57" i="64"/>
  <c r="N57" i="64"/>
  <c r="L57" i="64"/>
  <c r="B57" i="64"/>
  <c r="Z56" i="64"/>
  <c r="X56" i="64"/>
  <c r="N56" i="64"/>
  <c r="L56" i="64"/>
  <c r="B56" i="64"/>
  <c r="Z55" i="64"/>
  <c r="X55" i="64"/>
  <c r="N55" i="64"/>
  <c r="L55" i="64"/>
  <c r="B55" i="64"/>
  <c r="Z54" i="64"/>
  <c r="X54" i="64"/>
  <c r="N54" i="64"/>
  <c r="L54" i="64"/>
  <c r="B54" i="64"/>
  <c r="Z53" i="64"/>
  <c r="X53" i="64"/>
  <c r="N53" i="64"/>
  <c r="L53" i="64"/>
  <c r="J53" i="64"/>
  <c r="B53" i="64"/>
  <c r="X52" i="64"/>
  <c r="Z52" i="64" s="1"/>
  <c r="L52" i="64"/>
  <c r="N52" i="64" s="1"/>
  <c r="B52" i="64"/>
  <c r="X51" i="64"/>
  <c r="Z51" i="64" s="1"/>
  <c r="V51" i="64"/>
  <c r="N51" i="64"/>
  <c r="L51" i="64"/>
  <c r="J51" i="64"/>
  <c r="B51" i="64"/>
  <c r="Z50" i="64"/>
  <c r="X50" i="64"/>
  <c r="N50" i="64"/>
  <c r="L50" i="64"/>
  <c r="B50" i="64"/>
  <c r="Z49" i="64"/>
  <c r="X49" i="64"/>
  <c r="V49" i="64"/>
  <c r="N49" i="64"/>
  <c r="L49" i="64"/>
  <c r="B49" i="64"/>
  <c r="X48" i="64"/>
  <c r="Z48" i="64" s="1"/>
  <c r="N48" i="64"/>
  <c r="L48" i="64"/>
  <c r="B48" i="64"/>
  <c r="X47" i="64"/>
  <c r="Z47" i="64" s="1"/>
  <c r="T47" i="64"/>
  <c r="P47" i="64"/>
  <c r="H47" i="64"/>
  <c r="D47" i="64"/>
  <c r="B47" i="64"/>
  <c r="Z46" i="64"/>
  <c r="X46" i="64"/>
  <c r="L46" i="64"/>
  <c r="N46" i="64" s="1"/>
  <c r="B46" i="64"/>
  <c r="X45" i="64"/>
  <c r="Z45" i="64" s="1"/>
  <c r="N45" i="64"/>
  <c r="L45" i="64"/>
  <c r="B45" i="64"/>
  <c r="Z44" i="64"/>
  <c r="X44" i="64"/>
  <c r="N44" i="64"/>
  <c r="L44" i="64"/>
  <c r="B44" i="64"/>
  <c r="Z43" i="64"/>
  <c r="X43" i="64"/>
  <c r="N43" i="64"/>
  <c r="L43" i="64"/>
  <c r="B43" i="64"/>
  <c r="X42" i="64"/>
  <c r="Z42" i="64" s="1"/>
  <c r="V42" i="64"/>
  <c r="L42" i="64"/>
  <c r="N42" i="64" s="1"/>
  <c r="B42" i="64"/>
  <c r="X41" i="64"/>
  <c r="Z41" i="64" s="1"/>
  <c r="V41" i="64"/>
  <c r="L41" i="64"/>
  <c r="N41" i="64" s="1"/>
  <c r="B41" i="64"/>
  <c r="X40" i="64"/>
  <c r="Z40" i="64" s="1"/>
  <c r="L40" i="64"/>
  <c r="N40" i="64" s="1"/>
  <c r="B40" i="64"/>
  <c r="Z39" i="64"/>
  <c r="X39" i="64"/>
  <c r="V39" i="64"/>
  <c r="L39" i="64"/>
  <c r="N39" i="64" s="1"/>
  <c r="B39" i="64"/>
  <c r="T38" i="64"/>
  <c r="X38" i="64" s="1"/>
  <c r="P38" i="64"/>
  <c r="H38" i="64"/>
  <c r="D38" i="64"/>
  <c r="L38" i="64" s="1"/>
  <c r="B38" i="64"/>
  <c r="T37" i="64"/>
  <c r="P37" i="64"/>
  <c r="H37" i="64"/>
  <c r="D37" i="64"/>
  <c r="T35" i="64"/>
  <c r="Z33" i="64"/>
  <c r="X33" i="64"/>
  <c r="V33" i="64"/>
  <c r="N33" i="64"/>
  <c r="L33" i="64"/>
  <c r="B33" i="64"/>
  <c r="Z32" i="64"/>
  <c r="X32" i="64"/>
  <c r="V32" i="64"/>
  <c r="N32" i="64"/>
  <c r="L32" i="64"/>
  <c r="B32" i="64"/>
  <c r="Z31" i="64"/>
  <c r="X31" i="64"/>
  <c r="N31" i="64"/>
  <c r="L31" i="64"/>
  <c r="B31" i="64"/>
  <c r="Z30" i="64"/>
  <c r="X30" i="64"/>
  <c r="N30" i="64"/>
  <c r="L30" i="64"/>
  <c r="B30" i="64"/>
  <c r="Z29" i="64"/>
  <c r="X29" i="64"/>
  <c r="V29" i="64"/>
  <c r="N29" i="64"/>
  <c r="L29" i="64"/>
  <c r="B29" i="64"/>
  <c r="Z28" i="64"/>
  <c r="X28" i="64"/>
  <c r="V28" i="64"/>
  <c r="N28" i="64"/>
  <c r="L28" i="64"/>
  <c r="B28" i="64"/>
  <c r="Z27" i="64"/>
  <c r="X27" i="64"/>
  <c r="V27" i="64"/>
  <c r="N27" i="64"/>
  <c r="L27" i="64"/>
  <c r="J27" i="64"/>
  <c r="B27" i="64"/>
  <c r="Z26" i="64"/>
  <c r="X26" i="64"/>
  <c r="L26" i="64"/>
  <c r="N26" i="64" s="1"/>
  <c r="B26" i="64"/>
  <c r="Z25" i="64"/>
  <c r="V25" i="64"/>
  <c r="T25" i="64"/>
  <c r="X25" i="64" s="1"/>
  <c r="P25" i="64"/>
  <c r="H25" i="64"/>
  <c r="D25" i="64"/>
  <c r="L25" i="64" s="1"/>
  <c r="N25" i="64" s="1"/>
  <c r="Z23" i="64"/>
  <c r="P23" i="64"/>
  <c r="X23" i="64" s="1"/>
  <c r="N23" i="64"/>
  <c r="L23" i="64"/>
  <c r="D23" i="64"/>
  <c r="B23" i="64"/>
  <c r="Z22" i="64"/>
  <c r="X22" i="64"/>
  <c r="P22" i="64"/>
  <c r="N22" i="64"/>
  <c r="D22" i="64"/>
  <c r="L22" i="64" s="1"/>
  <c r="B22" i="64"/>
  <c r="Z21" i="64"/>
  <c r="X21" i="64"/>
  <c r="P21" i="64"/>
  <c r="N21" i="64"/>
  <c r="D21" i="64"/>
  <c r="L21" i="64" s="1"/>
  <c r="B21" i="64"/>
  <c r="P20" i="64"/>
  <c r="X20" i="64" s="1"/>
  <c r="Z20" i="64" s="1"/>
  <c r="D20" i="64"/>
  <c r="L20" i="64" s="1"/>
  <c r="N20" i="64" s="1"/>
  <c r="B20" i="64"/>
  <c r="Z19" i="64"/>
  <c r="P19" i="64"/>
  <c r="X19" i="64" s="1"/>
  <c r="N19" i="64"/>
  <c r="L19" i="64"/>
  <c r="D19" i="64"/>
  <c r="B19" i="64"/>
  <c r="Z18" i="64"/>
  <c r="X18" i="64"/>
  <c r="P18" i="64"/>
  <c r="N18" i="64"/>
  <c r="L18" i="64"/>
  <c r="D18" i="64"/>
  <c r="B18" i="64"/>
  <c r="Z17" i="64"/>
  <c r="P17" i="64"/>
  <c r="X17" i="64" s="1"/>
  <c r="N17" i="64"/>
  <c r="D17" i="64"/>
  <c r="L17" i="64" s="1"/>
  <c r="B17" i="64"/>
  <c r="Z16" i="64"/>
  <c r="X16" i="64"/>
  <c r="P16" i="64"/>
  <c r="N16" i="64"/>
  <c r="D16" i="64"/>
  <c r="L16" i="64" s="1"/>
  <c r="B16" i="64"/>
  <c r="Z15" i="64"/>
  <c r="P15" i="64"/>
  <c r="X15" i="64" s="1"/>
  <c r="N15" i="64"/>
  <c r="L15" i="64"/>
  <c r="D15" i="64"/>
  <c r="B15" i="64"/>
  <c r="Z14" i="64"/>
  <c r="X14" i="64"/>
  <c r="P14" i="64"/>
  <c r="N14" i="64"/>
  <c r="D14" i="64"/>
  <c r="L14" i="64" s="1"/>
  <c r="B14" i="64"/>
  <c r="Z13" i="64"/>
  <c r="P13" i="64"/>
  <c r="N13" i="64"/>
  <c r="D13" i="64"/>
  <c r="L13" i="64" s="1"/>
  <c r="B13" i="64"/>
  <c r="T12" i="64"/>
  <c r="V31" i="64" s="1"/>
  <c r="H12" i="64"/>
  <c r="J94" i="64" s="1"/>
  <c r="D6" i="64"/>
  <c r="D4" i="64"/>
  <c r="V110" i="62"/>
  <c r="F110" i="62"/>
  <c r="V107" i="62"/>
  <c r="Z105" i="62"/>
  <c r="X105" i="62"/>
  <c r="V105" i="62"/>
  <c r="N105" i="62"/>
  <c r="L105" i="62"/>
  <c r="V103" i="62"/>
  <c r="X101" i="62"/>
  <c r="Z101" i="62" s="1"/>
  <c r="V101" i="62"/>
  <c r="P101" i="62"/>
  <c r="P99" i="62" s="1"/>
  <c r="N101" i="62"/>
  <c r="L101" i="62"/>
  <c r="D101" i="62"/>
  <c r="B101" i="62"/>
  <c r="X100" i="62"/>
  <c r="Z100" i="62" s="1"/>
  <c r="V100" i="62"/>
  <c r="P100" i="62"/>
  <c r="L100" i="62"/>
  <c r="N100" i="62" s="1"/>
  <c r="J100" i="62"/>
  <c r="D100" i="62"/>
  <c r="B100" i="62"/>
  <c r="T99" i="62"/>
  <c r="N99" i="62"/>
  <c r="L99" i="62"/>
  <c r="J99" i="62"/>
  <c r="H99" i="62"/>
  <c r="D99" i="62"/>
  <c r="Z97" i="62"/>
  <c r="X97" i="62"/>
  <c r="N97" i="62"/>
  <c r="L97" i="62"/>
  <c r="J97" i="62"/>
  <c r="B97" i="62"/>
  <c r="T96" i="62"/>
  <c r="P96" i="62"/>
  <c r="X96" i="62" s="1"/>
  <c r="H96" i="62"/>
  <c r="F96" i="62"/>
  <c r="D96" i="62"/>
  <c r="L96" i="62" s="1"/>
  <c r="N96" i="62" s="1"/>
  <c r="B96" i="62"/>
  <c r="Z95" i="62"/>
  <c r="X95" i="62"/>
  <c r="V95" i="62"/>
  <c r="N95" i="62"/>
  <c r="L95" i="62"/>
  <c r="J95" i="62"/>
  <c r="B95" i="62"/>
  <c r="Z94" i="62"/>
  <c r="X94" i="62"/>
  <c r="N94" i="62"/>
  <c r="L94" i="62"/>
  <c r="B94" i="62"/>
  <c r="Z93" i="62"/>
  <c r="V93" i="62"/>
  <c r="T93" i="62"/>
  <c r="X93" i="62" s="1"/>
  <c r="P93" i="62"/>
  <c r="J93" i="62"/>
  <c r="H93" i="62"/>
  <c r="N93" i="62" s="1"/>
  <c r="D93" i="62"/>
  <c r="L93" i="62" s="1"/>
  <c r="B93" i="62"/>
  <c r="X92" i="62"/>
  <c r="Z92" i="62" s="1"/>
  <c r="V92" i="62"/>
  <c r="N92" i="62"/>
  <c r="L92" i="62"/>
  <c r="B92" i="62"/>
  <c r="X91" i="62"/>
  <c r="Z91" i="62" s="1"/>
  <c r="V91" i="62"/>
  <c r="T91" i="62"/>
  <c r="P91" i="62"/>
  <c r="N91" i="62"/>
  <c r="H91" i="62"/>
  <c r="D91" i="62"/>
  <c r="L91" i="62" s="1"/>
  <c r="B91" i="62"/>
  <c r="X90" i="62"/>
  <c r="Z90" i="62" s="1"/>
  <c r="N90" i="62"/>
  <c r="L90" i="62"/>
  <c r="B90" i="62"/>
  <c r="T89" i="62"/>
  <c r="P89" i="62"/>
  <c r="N89" i="62"/>
  <c r="L89" i="62"/>
  <c r="J89" i="62"/>
  <c r="H89" i="62"/>
  <c r="D89" i="62"/>
  <c r="B89" i="62"/>
  <c r="X88" i="62"/>
  <c r="Z88" i="62" s="1"/>
  <c r="V88" i="62"/>
  <c r="R88" i="62"/>
  <c r="L88" i="62"/>
  <c r="N88" i="62" s="1"/>
  <c r="J88" i="62"/>
  <c r="B88" i="62"/>
  <c r="X87" i="62"/>
  <c r="Z87" i="62" s="1"/>
  <c r="V87" i="62"/>
  <c r="L87" i="62"/>
  <c r="N87" i="62" s="1"/>
  <c r="J87" i="62"/>
  <c r="B87" i="62"/>
  <c r="Z86" i="62"/>
  <c r="X86" i="62"/>
  <c r="N86" i="62"/>
  <c r="L86" i="62"/>
  <c r="B86" i="62"/>
  <c r="Z85" i="62"/>
  <c r="X85" i="62"/>
  <c r="V85" i="62"/>
  <c r="N85" i="62"/>
  <c r="L85" i="62"/>
  <c r="B85" i="62"/>
  <c r="X84" i="62"/>
  <c r="Z84" i="62" s="1"/>
  <c r="V84" i="62"/>
  <c r="R84" i="62"/>
  <c r="L84" i="62"/>
  <c r="N84" i="62" s="1"/>
  <c r="J84" i="62"/>
  <c r="B84" i="62"/>
  <c r="X83" i="62"/>
  <c r="Z83" i="62" s="1"/>
  <c r="V83" i="62"/>
  <c r="L83" i="62"/>
  <c r="N83" i="62" s="1"/>
  <c r="J83" i="62"/>
  <c r="B83" i="62"/>
  <c r="Z82" i="62"/>
  <c r="X82" i="62"/>
  <c r="L82" i="62"/>
  <c r="N82" i="62" s="1"/>
  <c r="B82" i="62"/>
  <c r="V81" i="62"/>
  <c r="T81" i="62"/>
  <c r="X81" i="62" s="1"/>
  <c r="P81" i="62"/>
  <c r="J81" i="62"/>
  <c r="H81" i="62"/>
  <c r="N81" i="62" s="1"/>
  <c r="D81" i="62"/>
  <c r="L81" i="62" s="1"/>
  <c r="B81" i="62"/>
  <c r="X80" i="62"/>
  <c r="Z80" i="62" s="1"/>
  <c r="V80" i="62"/>
  <c r="N80" i="62"/>
  <c r="L80" i="62"/>
  <c r="B80" i="62"/>
  <c r="V79" i="62"/>
  <c r="T79" i="62"/>
  <c r="P79" i="62"/>
  <c r="X79" i="62" s="1"/>
  <c r="Z79" i="62" s="1"/>
  <c r="N79" i="62"/>
  <c r="H79" i="62"/>
  <c r="L79" i="62" s="1"/>
  <c r="D79" i="62"/>
  <c r="B79" i="62"/>
  <c r="X78" i="62"/>
  <c r="Z78" i="62" s="1"/>
  <c r="R78" i="62"/>
  <c r="N78" i="62"/>
  <c r="L78" i="62"/>
  <c r="B78" i="62"/>
  <c r="Z77" i="62"/>
  <c r="X77" i="62"/>
  <c r="R77" i="62"/>
  <c r="N77" i="62"/>
  <c r="L77" i="62"/>
  <c r="J77" i="62"/>
  <c r="B77" i="62"/>
  <c r="Z76" i="62"/>
  <c r="X76" i="62"/>
  <c r="V76" i="62"/>
  <c r="L76" i="62"/>
  <c r="N76" i="62" s="1"/>
  <c r="J76" i="62"/>
  <c r="B76" i="62"/>
  <c r="X75" i="62"/>
  <c r="Z75" i="62" s="1"/>
  <c r="V75" i="62"/>
  <c r="T75" i="62"/>
  <c r="P75" i="62"/>
  <c r="H75" i="62"/>
  <c r="D75" i="62"/>
  <c r="B75" i="62"/>
  <c r="Z74" i="62"/>
  <c r="X74" i="62"/>
  <c r="L74" i="62"/>
  <c r="N74" i="62" s="1"/>
  <c r="B74" i="62"/>
  <c r="Z73" i="62"/>
  <c r="X73" i="62"/>
  <c r="V73" i="62"/>
  <c r="N73" i="62"/>
  <c r="L73" i="62"/>
  <c r="B73" i="62"/>
  <c r="Z72" i="62"/>
  <c r="X72" i="62"/>
  <c r="V72" i="62"/>
  <c r="R72" i="62"/>
  <c r="N72" i="62"/>
  <c r="L72" i="62"/>
  <c r="J72" i="62"/>
  <c r="B72" i="62"/>
  <c r="X71" i="62"/>
  <c r="Z71" i="62" s="1"/>
  <c r="V71" i="62"/>
  <c r="N71" i="62"/>
  <c r="L71" i="62"/>
  <c r="J71" i="62"/>
  <c r="B71" i="62"/>
  <c r="Z70" i="62"/>
  <c r="X70" i="62"/>
  <c r="T70" i="62"/>
  <c r="P70" i="62"/>
  <c r="J70" i="62"/>
  <c r="H70" i="62"/>
  <c r="D70" i="62"/>
  <c r="L70" i="62" s="1"/>
  <c r="B70" i="62"/>
  <c r="Z69" i="62"/>
  <c r="X69" i="62"/>
  <c r="N69" i="62"/>
  <c r="L69" i="62"/>
  <c r="B69" i="62"/>
  <c r="X68" i="62"/>
  <c r="V68" i="62"/>
  <c r="T68" i="62"/>
  <c r="P68" i="62"/>
  <c r="L68" i="62"/>
  <c r="N68" i="62" s="1"/>
  <c r="H68" i="62"/>
  <c r="D68" i="62"/>
  <c r="B68" i="62"/>
  <c r="X67" i="62"/>
  <c r="Z67" i="62" s="1"/>
  <c r="V67" i="62"/>
  <c r="L67" i="62"/>
  <c r="N67" i="62" s="1"/>
  <c r="J67" i="62"/>
  <c r="B67" i="62"/>
  <c r="X66" i="62"/>
  <c r="Z66" i="62" s="1"/>
  <c r="T66" i="62"/>
  <c r="P66" i="62"/>
  <c r="J66" i="62"/>
  <c r="H66" i="62"/>
  <c r="D66" i="62"/>
  <c r="L66" i="62" s="1"/>
  <c r="B66" i="62"/>
  <c r="Z65" i="62"/>
  <c r="X65" i="62"/>
  <c r="V65" i="62"/>
  <c r="N65" i="62"/>
  <c r="L65" i="62"/>
  <c r="B65" i="62"/>
  <c r="V64" i="62"/>
  <c r="T64" i="62"/>
  <c r="P64" i="62"/>
  <c r="H64" i="62"/>
  <c r="D64" i="62"/>
  <c r="L64" i="62" s="1"/>
  <c r="N64" i="62" s="1"/>
  <c r="B64" i="62"/>
  <c r="X63" i="62"/>
  <c r="Z63" i="62" s="1"/>
  <c r="V63" i="62"/>
  <c r="N63" i="62"/>
  <c r="L63" i="62"/>
  <c r="J63" i="62"/>
  <c r="B63" i="62"/>
  <c r="T62" i="62"/>
  <c r="P62" i="62"/>
  <c r="X62" i="62" s="1"/>
  <c r="Z62" i="62" s="1"/>
  <c r="L62" i="62"/>
  <c r="J62" i="62"/>
  <c r="H62" i="62"/>
  <c r="D62" i="62"/>
  <c r="B62" i="62"/>
  <c r="Z61" i="62"/>
  <c r="X61" i="62"/>
  <c r="N61" i="62"/>
  <c r="L61" i="62"/>
  <c r="J61" i="62"/>
  <c r="F61" i="62"/>
  <c r="B61" i="62"/>
  <c r="V60" i="62"/>
  <c r="T60" i="62"/>
  <c r="P60" i="62"/>
  <c r="X60" i="62" s="1"/>
  <c r="H60" i="62"/>
  <c r="D60" i="62"/>
  <c r="L60" i="62" s="1"/>
  <c r="B60" i="62"/>
  <c r="X59" i="62"/>
  <c r="Z59" i="62" s="1"/>
  <c r="V59" i="62"/>
  <c r="L59" i="62"/>
  <c r="N59" i="62" s="1"/>
  <c r="J59" i="62"/>
  <c r="B59" i="62"/>
  <c r="T58" i="62"/>
  <c r="P58" i="62"/>
  <c r="X58" i="62" s="1"/>
  <c r="Z58" i="62" s="1"/>
  <c r="J58" i="62"/>
  <c r="H58" i="62"/>
  <c r="D58" i="62"/>
  <c r="L58" i="62" s="1"/>
  <c r="B58" i="62"/>
  <c r="Z57" i="62"/>
  <c r="X57" i="62"/>
  <c r="N57" i="62"/>
  <c r="L57" i="62"/>
  <c r="F57" i="62"/>
  <c r="B57" i="62"/>
  <c r="V56" i="62"/>
  <c r="T56" i="62"/>
  <c r="P56" i="62"/>
  <c r="L56" i="62"/>
  <c r="N56" i="62" s="1"/>
  <c r="H56" i="62"/>
  <c r="F56" i="62"/>
  <c r="D56" i="62"/>
  <c r="B56" i="62"/>
  <c r="X55" i="62"/>
  <c r="Z55" i="62" s="1"/>
  <c r="V55" i="62"/>
  <c r="L55" i="62"/>
  <c r="N55" i="62" s="1"/>
  <c r="J55" i="62"/>
  <c r="B55" i="62"/>
  <c r="X54" i="62"/>
  <c r="Z54" i="62" s="1"/>
  <c r="T54" i="62"/>
  <c r="R54" i="62"/>
  <c r="P54" i="62"/>
  <c r="J54" i="62"/>
  <c r="H54" i="62"/>
  <c r="D54" i="62"/>
  <c r="L54" i="62" s="1"/>
  <c r="B54" i="62"/>
  <c r="Z53" i="62"/>
  <c r="X53" i="62"/>
  <c r="V53" i="62"/>
  <c r="N53" i="62"/>
  <c r="L53" i="62"/>
  <c r="B53" i="62"/>
  <c r="V52" i="62"/>
  <c r="T52" i="62"/>
  <c r="Z52" i="62" s="1"/>
  <c r="P52" i="62"/>
  <c r="X52" i="62" s="1"/>
  <c r="N52" i="62"/>
  <c r="H52" i="62"/>
  <c r="D52" i="62"/>
  <c r="L52" i="62" s="1"/>
  <c r="B52" i="62"/>
  <c r="X51" i="62"/>
  <c r="Z51" i="62" s="1"/>
  <c r="V51" i="62"/>
  <c r="L51" i="62"/>
  <c r="N51" i="62" s="1"/>
  <c r="J51" i="62"/>
  <c r="B51" i="62"/>
  <c r="Z50" i="62"/>
  <c r="X50" i="62"/>
  <c r="N50" i="62"/>
  <c r="L50" i="62"/>
  <c r="B50" i="62"/>
  <c r="T49" i="62"/>
  <c r="P49" i="62"/>
  <c r="X49" i="62" s="1"/>
  <c r="Z49" i="62" s="1"/>
  <c r="L49" i="62"/>
  <c r="N49" i="62" s="1"/>
  <c r="J49" i="62"/>
  <c r="H49" i="62"/>
  <c r="F49" i="62"/>
  <c r="D49" i="62"/>
  <c r="B49" i="62"/>
  <c r="Z48" i="62"/>
  <c r="X48" i="62"/>
  <c r="V48" i="62"/>
  <c r="R48" i="62"/>
  <c r="L48" i="62"/>
  <c r="N48" i="62" s="1"/>
  <c r="J48" i="62"/>
  <c r="B48" i="62"/>
  <c r="X47" i="62"/>
  <c r="Z47" i="62" s="1"/>
  <c r="V47" i="62"/>
  <c r="T47" i="62"/>
  <c r="P47" i="62"/>
  <c r="H47" i="62"/>
  <c r="D47" i="62"/>
  <c r="B47" i="62"/>
  <c r="Z46" i="62"/>
  <c r="X46" i="62"/>
  <c r="L46" i="62"/>
  <c r="N46" i="62" s="1"/>
  <c r="B46" i="62"/>
  <c r="Z45" i="62"/>
  <c r="X45" i="62"/>
  <c r="V45" i="62"/>
  <c r="N45" i="62"/>
  <c r="L45" i="62"/>
  <c r="F45" i="62"/>
  <c r="B45" i="62"/>
  <c r="V44" i="62"/>
  <c r="T44" i="62"/>
  <c r="P44" i="62"/>
  <c r="X44" i="62" s="1"/>
  <c r="H44" i="62"/>
  <c r="D44" i="62"/>
  <c r="L44" i="62" s="1"/>
  <c r="N44" i="62" s="1"/>
  <c r="B44" i="62"/>
  <c r="Z43" i="62"/>
  <c r="X43" i="62"/>
  <c r="V43" i="62"/>
  <c r="N43" i="62"/>
  <c r="L43" i="62"/>
  <c r="J43" i="62"/>
  <c r="B43" i="62"/>
  <c r="Z42" i="62"/>
  <c r="T42" i="62"/>
  <c r="P42" i="62"/>
  <c r="X42" i="62" s="1"/>
  <c r="J42" i="62"/>
  <c r="H42" i="62"/>
  <c r="N42" i="62" s="1"/>
  <c r="D42" i="62"/>
  <c r="B42" i="62"/>
  <c r="Z41" i="62"/>
  <c r="X41" i="62"/>
  <c r="V41" i="62"/>
  <c r="N41" i="62"/>
  <c r="L41" i="62"/>
  <c r="J41" i="62"/>
  <c r="B41" i="62"/>
  <c r="Z40" i="62"/>
  <c r="X40" i="62"/>
  <c r="V40" i="62"/>
  <c r="R40" i="62"/>
  <c r="N40" i="62"/>
  <c r="L40" i="62"/>
  <c r="J40" i="62"/>
  <c r="B40" i="62"/>
  <c r="Z39" i="62"/>
  <c r="X39" i="62"/>
  <c r="V39" i="62"/>
  <c r="L39" i="62"/>
  <c r="N39" i="62" s="1"/>
  <c r="J39" i="62"/>
  <c r="B39" i="62"/>
  <c r="Z38" i="62"/>
  <c r="X38" i="62"/>
  <c r="N38" i="62"/>
  <c r="L38" i="62"/>
  <c r="B38" i="62"/>
  <c r="Z37" i="62"/>
  <c r="X37" i="62"/>
  <c r="V37" i="62"/>
  <c r="N37" i="62"/>
  <c r="L37" i="62"/>
  <c r="J37" i="62"/>
  <c r="B37" i="62"/>
  <c r="Z36" i="62"/>
  <c r="X36" i="62"/>
  <c r="V36" i="62"/>
  <c r="R36" i="62"/>
  <c r="N36" i="62"/>
  <c r="L36" i="62"/>
  <c r="J36" i="62"/>
  <c r="B36" i="62"/>
  <c r="Z35" i="62"/>
  <c r="X35" i="62"/>
  <c r="V35" i="62"/>
  <c r="L35" i="62"/>
  <c r="N35" i="62" s="1"/>
  <c r="J35" i="62"/>
  <c r="B35" i="62"/>
  <c r="Z34" i="62"/>
  <c r="X34" i="62"/>
  <c r="R34" i="62"/>
  <c r="N34" i="62"/>
  <c r="L34" i="62"/>
  <c r="B34" i="62"/>
  <c r="Z33" i="62"/>
  <c r="X33" i="62"/>
  <c r="V33" i="62"/>
  <c r="N33" i="62"/>
  <c r="L33" i="62"/>
  <c r="J33" i="62"/>
  <c r="B33" i="62"/>
  <c r="X32" i="62"/>
  <c r="Z32" i="62" s="1"/>
  <c r="V32" i="62"/>
  <c r="L32" i="62"/>
  <c r="N32" i="62" s="1"/>
  <c r="J32" i="62"/>
  <c r="B32" i="62"/>
  <c r="V31" i="62"/>
  <c r="T31" i="62"/>
  <c r="P31" i="62"/>
  <c r="X31" i="62" s="1"/>
  <c r="Z31" i="62" s="1"/>
  <c r="J31" i="62"/>
  <c r="H31" i="62"/>
  <c r="F31" i="62"/>
  <c r="D31" i="62"/>
  <c r="B31" i="62"/>
  <c r="Z30" i="62"/>
  <c r="X30" i="62"/>
  <c r="N30" i="62"/>
  <c r="L30" i="62"/>
  <c r="B30" i="62"/>
  <c r="Z29" i="62"/>
  <c r="X29" i="62"/>
  <c r="V29" i="62"/>
  <c r="R29" i="62"/>
  <c r="N29" i="62"/>
  <c r="L29" i="62"/>
  <c r="B29" i="62"/>
  <c r="X28" i="62"/>
  <c r="Z28" i="62" s="1"/>
  <c r="V28" i="62"/>
  <c r="L28" i="62"/>
  <c r="N28" i="62" s="1"/>
  <c r="J28" i="62"/>
  <c r="B28" i="62"/>
  <c r="Z27" i="62"/>
  <c r="X27" i="62"/>
  <c r="V27" i="62"/>
  <c r="N27" i="62"/>
  <c r="L27" i="62"/>
  <c r="J27" i="62"/>
  <c r="B27" i="62"/>
  <c r="Z26" i="62"/>
  <c r="X26" i="62"/>
  <c r="N26" i="62"/>
  <c r="L26" i="62"/>
  <c r="B26" i="62"/>
  <c r="Z25" i="62"/>
  <c r="X25" i="62"/>
  <c r="V25" i="62"/>
  <c r="R25" i="62"/>
  <c r="N25" i="62"/>
  <c r="L25" i="62"/>
  <c r="B25" i="62"/>
  <c r="X24" i="62"/>
  <c r="Z24" i="62" s="1"/>
  <c r="V24" i="62"/>
  <c r="L24" i="62"/>
  <c r="N24" i="62" s="1"/>
  <c r="J24" i="62"/>
  <c r="B24" i="62"/>
  <c r="X23" i="62"/>
  <c r="Z23" i="62" s="1"/>
  <c r="V23" i="62"/>
  <c r="N23" i="62"/>
  <c r="L23" i="62"/>
  <c r="J23" i="62"/>
  <c r="B23" i="62"/>
  <c r="X22" i="62"/>
  <c r="Z22" i="62" s="1"/>
  <c r="N22" i="62"/>
  <c r="L22" i="62"/>
  <c r="B22" i="62"/>
  <c r="Z21" i="62"/>
  <c r="X21" i="62"/>
  <c r="V21" i="62"/>
  <c r="N21" i="62"/>
  <c r="L21" i="62"/>
  <c r="B21" i="62"/>
  <c r="X20" i="62"/>
  <c r="V20" i="62"/>
  <c r="T20" i="62"/>
  <c r="P20" i="62"/>
  <c r="H20" i="62"/>
  <c r="D20" i="62"/>
  <c r="L20" i="62" s="1"/>
  <c r="N20" i="62" s="1"/>
  <c r="B20" i="62"/>
  <c r="V19" i="62"/>
  <c r="T19" i="62"/>
  <c r="P19" i="62"/>
  <c r="X19" i="62" s="1"/>
  <c r="Z19" i="62" s="1"/>
  <c r="H19" i="62"/>
  <c r="D19" i="62"/>
  <c r="Z17" i="62"/>
  <c r="V17" i="62"/>
  <c r="P17" i="62"/>
  <c r="Z15" i="62"/>
  <c r="X15" i="62"/>
  <c r="V15" i="62"/>
  <c r="N15" i="62"/>
  <c r="L15" i="62"/>
  <c r="J15" i="62"/>
  <c r="B15" i="62"/>
  <c r="Z14" i="62"/>
  <c r="X14" i="62"/>
  <c r="T14" i="62"/>
  <c r="T17" i="62" s="1"/>
  <c r="P14" i="62"/>
  <c r="J14" i="62"/>
  <c r="H14" i="62"/>
  <c r="N14" i="62" s="1"/>
  <c r="D14" i="62"/>
  <c r="Z12" i="62"/>
  <c r="X12" i="62"/>
  <c r="T12" i="62"/>
  <c r="V94" i="62" s="1"/>
  <c r="P12" i="62"/>
  <c r="R97" i="62" s="1"/>
  <c r="N12" i="62"/>
  <c r="H12" i="62"/>
  <c r="J101" i="62" s="1"/>
  <c r="D12" i="62"/>
  <c r="F60" i="62" s="1"/>
  <c r="D6" i="62"/>
  <c r="D4" i="62"/>
  <c r="V67" i="61"/>
  <c r="F67" i="61"/>
  <c r="V64" i="61"/>
  <c r="F64" i="61"/>
  <c r="Z62" i="61"/>
  <c r="X62" i="61"/>
  <c r="V62" i="61"/>
  <c r="N62" i="61"/>
  <c r="L62" i="61"/>
  <c r="J62" i="61"/>
  <c r="F62" i="61"/>
  <c r="V60" i="61"/>
  <c r="F60" i="61"/>
  <c r="V58" i="61"/>
  <c r="T58" i="61"/>
  <c r="Z58" i="61" s="1"/>
  <c r="P58" i="61"/>
  <c r="H58" i="61"/>
  <c r="F58" i="61"/>
  <c r="D58" i="61"/>
  <c r="X56" i="61"/>
  <c r="Z56" i="61" s="1"/>
  <c r="V56" i="61"/>
  <c r="N56" i="61"/>
  <c r="L56" i="61"/>
  <c r="J56" i="61"/>
  <c r="F56" i="61"/>
  <c r="B56" i="61"/>
  <c r="X55" i="61"/>
  <c r="Z55" i="61" s="1"/>
  <c r="V55" i="61"/>
  <c r="T55" i="61"/>
  <c r="P55" i="61"/>
  <c r="N55" i="61"/>
  <c r="H55" i="61"/>
  <c r="F55" i="61"/>
  <c r="D55" i="61"/>
  <c r="L55" i="61" s="1"/>
  <c r="B55" i="61"/>
  <c r="Z54" i="61"/>
  <c r="X54" i="61"/>
  <c r="R54" i="61"/>
  <c r="N54" i="61"/>
  <c r="L54" i="61"/>
  <c r="B54" i="61"/>
  <c r="Z53" i="61"/>
  <c r="X53" i="61"/>
  <c r="V53" i="61"/>
  <c r="N53" i="61"/>
  <c r="L53" i="61"/>
  <c r="J53" i="61"/>
  <c r="F53" i="61"/>
  <c r="B53" i="61"/>
  <c r="V52" i="61"/>
  <c r="T52" i="61"/>
  <c r="P52" i="61"/>
  <c r="X52" i="61" s="1"/>
  <c r="N52" i="61"/>
  <c r="H52" i="61"/>
  <c r="F52" i="61"/>
  <c r="D52" i="61"/>
  <c r="L52" i="61" s="1"/>
  <c r="B52" i="61"/>
  <c r="X51" i="61"/>
  <c r="Z51" i="61" s="1"/>
  <c r="V51" i="61"/>
  <c r="N51" i="61"/>
  <c r="L51" i="61"/>
  <c r="J51" i="61"/>
  <c r="B51" i="61"/>
  <c r="Z50" i="61"/>
  <c r="T50" i="61"/>
  <c r="P50" i="61"/>
  <c r="X50" i="61" s="1"/>
  <c r="J50" i="61"/>
  <c r="H50" i="61"/>
  <c r="D50" i="61"/>
  <c r="L50" i="61" s="1"/>
  <c r="B50" i="61"/>
  <c r="Z49" i="61"/>
  <c r="X49" i="61"/>
  <c r="R49" i="61"/>
  <c r="N49" i="61"/>
  <c r="L49" i="61"/>
  <c r="J49" i="61"/>
  <c r="F49" i="61"/>
  <c r="B49" i="61"/>
  <c r="V48" i="61"/>
  <c r="T48" i="61"/>
  <c r="P48" i="61"/>
  <c r="H48" i="61"/>
  <c r="F48" i="61"/>
  <c r="D48" i="61"/>
  <c r="B48" i="61"/>
  <c r="Z47" i="61"/>
  <c r="X47" i="61"/>
  <c r="V47" i="61"/>
  <c r="L47" i="61"/>
  <c r="N47" i="61" s="1"/>
  <c r="J47" i="61"/>
  <c r="B47" i="61"/>
  <c r="T46" i="61"/>
  <c r="P46" i="61"/>
  <c r="J46" i="61"/>
  <c r="H46" i="61"/>
  <c r="D46" i="61"/>
  <c r="B46" i="61"/>
  <c r="Z45" i="61"/>
  <c r="X45" i="61"/>
  <c r="V45" i="61"/>
  <c r="N45" i="61"/>
  <c r="L45" i="61"/>
  <c r="F45" i="61"/>
  <c r="B45" i="61"/>
  <c r="V44" i="61"/>
  <c r="T44" i="61"/>
  <c r="P44" i="61"/>
  <c r="X44" i="61" s="1"/>
  <c r="N44" i="61"/>
  <c r="L44" i="61"/>
  <c r="H44" i="61"/>
  <c r="F44" i="61"/>
  <c r="D44" i="61"/>
  <c r="B44" i="61"/>
  <c r="Z43" i="61"/>
  <c r="X43" i="61"/>
  <c r="V43" i="61"/>
  <c r="N43" i="61"/>
  <c r="L43" i="61"/>
  <c r="J43" i="61"/>
  <c r="B43" i="61"/>
  <c r="Z42" i="61"/>
  <c r="T42" i="61"/>
  <c r="P42" i="61"/>
  <c r="X42" i="61" s="1"/>
  <c r="J42" i="61"/>
  <c r="H42" i="61"/>
  <c r="N42" i="61" s="1"/>
  <c r="D42" i="61"/>
  <c r="B42" i="61"/>
  <c r="Z41" i="61"/>
  <c r="X41" i="61"/>
  <c r="V41" i="61"/>
  <c r="N41" i="61"/>
  <c r="L41" i="61"/>
  <c r="J41" i="61"/>
  <c r="F41" i="61"/>
  <c r="B41" i="61"/>
  <c r="V40" i="61"/>
  <c r="T40" i="61"/>
  <c r="P40" i="61"/>
  <c r="J40" i="61"/>
  <c r="H40" i="61"/>
  <c r="F40" i="61"/>
  <c r="D40" i="61"/>
  <c r="L40" i="61" s="1"/>
  <c r="N40" i="61" s="1"/>
  <c r="B40" i="61"/>
  <c r="Z39" i="61"/>
  <c r="X39" i="61"/>
  <c r="V39" i="61"/>
  <c r="N39" i="61"/>
  <c r="L39" i="61"/>
  <c r="J39" i="61"/>
  <c r="F39" i="61"/>
  <c r="B39" i="61"/>
  <c r="Z38" i="61"/>
  <c r="X38" i="61"/>
  <c r="N38" i="61"/>
  <c r="L38" i="61"/>
  <c r="F38" i="61"/>
  <c r="B38" i="61"/>
  <c r="Z37" i="61"/>
  <c r="X37" i="61"/>
  <c r="V37" i="61"/>
  <c r="N37" i="61"/>
  <c r="L37" i="61"/>
  <c r="F37" i="61"/>
  <c r="B37" i="61"/>
  <c r="X36" i="61"/>
  <c r="Z36" i="61" s="1"/>
  <c r="V36" i="61"/>
  <c r="L36" i="61"/>
  <c r="N36" i="61" s="1"/>
  <c r="J36" i="61"/>
  <c r="F36" i="61"/>
  <c r="B36" i="61"/>
  <c r="Z35" i="61"/>
  <c r="X35" i="61"/>
  <c r="V35" i="61"/>
  <c r="N35" i="61"/>
  <c r="L35" i="61"/>
  <c r="J35" i="61"/>
  <c r="F35" i="61"/>
  <c r="B35" i="61"/>
  <c r="Z34" i="61"/>
  <c r="X34" i="61"/>
  <c r="N34" i="61"/>
  <c r="L34" i="61"/>
  <c r="F34" i="61"/>
  <c r="B34" i="61"/>
  <c r="Z33" i="61"/>
  <c r="X33" i="61"/>
  <c r="V33" i="61"/>
  <c r="N33" i="61"/>
  <c r="L33" i="61"/>
  <c r="F33" i="61"/>
  <c r="B33" i="61"/>
  <c r="Z32" i="61"/>
  <c r="X32" i="61"/>
  <c r="V32" i="61"/>
  <c r="N32" i="61"/>
  <c r="L32" i="61"/>
  <c r="J32" i="61"/>
  <c r="F32" i="61"/>
  <c r="B32" i="61"/>
  <c r="Z31" i="61"/>
  <c r="X31" i="61"/>
  <c r="V31" i="61"/>
  <c r="N31" i="61"/>
  <c r="L31" i="61"/>
  <c r="J31" i="61"/>
  <c r="F31" i="61"/>
  <c r="B31" i="61"/>
  <c r="Z30" i="61"/>
  <c r="X30" i="61"/>
  <c r="N30" i="61"/>
  <c r="L30" i="61"/>
  <c r="F30" i="61"/>
  <c r="B30" i="61"/>
  <c r="Z29" i="61"/>
  <c r="V29" i="61"/>
  <c r="T29" i="61"/>
  <c r="X29" i="61" s="1"/>
  <c r="P29" i="61"/>
  <c r="L29" i="61"/>
  <c r="J29" i="61"/>
  <c r="H29" i="61"/>
  <c r="F29" i="61"/>
  <c r="D29" i="61"/>
  <c r="B29" i="61"/>
  <c r="X28" i="61"/>
  <c r="Z28" i="61" s="1"/>
  <c r="V28" i="61"/>
  <c r="N28" i="61"/>
  <c r="L28" i="61"/>
  <c r="J28" i="61"/>
  <c r="F28" i="61"/>
  <c r="B28" i="61"/>
  <c r="X27" i="61"/>
  <c r="Z27" i="61" s="1"/>
  <c r="V27" i="61"/>
  <c r="L27" i="61"/>
  <c r="N27" i="61" s="1"/>
  <c r="J27" i="61"/>
  <c r="B27" i="61"/>
  <c r="X26" i="61"/>
  <c r="Z26" i="61" s="1"/>
  <c r="N26" i="61"/>
  <c r="L26" i="61"/>
  <c r="J26" i="61"/>
  <c r="F26" i="61"/>
  <c r="B26" i="61"/>
  <c r="Z25" i="61"/>
  <c r="X25" i="61"/>
  <c r="N25" i="61"/>
  <c r="L25" i="61"/>
  <c r="J25" i="61"/>
  <c r="F25" i="61"/>
  <c r="B25" i="61"/>
  <c r="Z24" i="61"/>
  <c r="X24" i="61"/>
  <c r="V24" i="61"/>
  <c r="R24" i="61"/>
  <c r="N24" i="61"/>
  <c r="L24" i="61"/>
  <c r="J24" i="61"/>
  <c r="F24" i="61"/>
  <c r="B24" i="61"/>
  <c r="Z23" i="61"/>
  <c r="X23" i="61"/>
  <c r="V23" i="61"/>
  <c r="N23" i="61"/>
  <c r="L23" i="61"/>
  <c r="J23" i="61"/>
  <c r="B23" i="61"/>
  <c r="X22" i="61"/>
  <c r="Z22" i="61" s="1"/>
  <c r="N22" i="61"/>
  <c r="L22" i="61"/>
  <c r="J22" i="61"/>
  <c r="F22" i="61"/>
  <c r="B22" i="61"/>
  <c r="Z21" i="61"/>
  <c r="X21" i="61"/>
  <c r="N21" i="61"/>
  <c r="L21" i="61"/>
  <c r="J21" i="61"/>
  <c r="F21" i="61"/>
  <c r="B21" i="61"/>
  <c r="X20" i="61"/>
  <c r="Z20" i="61" s="1"/>
  <c r="V20" i="61"/>
  <c r="L20" i="61"/>
  <c r="N20" i="61" s="1"/>
  <c r="J20" i="61"/>
  <c r="F20" i="61"/>
  <c r="B20" i="61"/>
  <c r="Z19" i="61"/>
  <c r="V19" i="61"/>
  <c r="T19" i="61"/>
  <c r="P19" i="61"/>
  <c r="X19" i="61" s="1"/>
  <c r="N19" i="61"/>
  <c r="H19" i="61"/>
  <c r="F19" i="61"/>
  <c r="D19" i="61"/>
  <c r="L19" i="61" s="1"/>
  <c r="B19" i="61"/>
  <c r="T18" i="61"/>
  <c r="T60" i="61" s="1"/>
  <c r="P18" i="61"/>
  <c r="X18" i="61" s="1"/>
  <c r="Z18" i="61" s="1"/>
  <c r="J18" i="61"/>
  <c r="H18" i="61"/>
  <c r="F18" i="61"/>
  <c r="D18" i="61"/>
  <c r="Z16" i="61"/>
  <c r="P16" i="61"/>
  <c r="J16" i="61"/>
  <c r="F16" i="61"/>
  <c r="D16" i="61"/>
  <c r="Z14" i="61"/>
  <c r="X14" i="61"/>
  <c r="T14" i="61"/>
  <c r="T16" i="61" s="1"/>
  <c r="R14" i="61"/>
  <c r="P14" i="61"/>
  <c r="J14" i="61"/>
  <c r="H14" i="61"/>
  <c r="N14" i="61" s="1"/>
  <c r="F14" i="61"/>
  <c r="D14" i="61"/>
  <c r="Z12" i="61"/>
  <c r="X12" i="61"/>
  <c r="T12" i="61"/>
  <c r="V50" i="61" s="1"/>
  <c r="P12" i="61"/>
  <c r="R37" i="61" s="1"/>
  <c r="N12" i="61"/>
  <c r="L12" i="61"/>
  <c r="H12" i="61"/>
  <c r="J54" i="61" s="1"/>
  <c r="D12" i="61"/>
  <c r="F43" i="61" s="1"/>
  <c r="D6" i="61"/>
  <c r="D4" i="61"/>
  <c r="F66" i="60"/>
  <c r="F63" i="60"/>
  <c r="Z61" i="60"/>
  <c r="X61" i="60"/>
  <c r="N61" i="60"/>
  <c r="L61" i="60"/>
  <c r="F61" i="60"/>
  <c r="P59" i="60"/>
  <c r="F59" i="60"/>
  <c r="T57" i="60"/>
  <c r="Z57" i="60" s="1"/>
  <c r="P57" i="60"/>
  <c r="X57" i="60" s="1"/>
  <c r="J57" i="60"/>
  <c r="H57" i="60"/>
  <c r="N57" i="60" s="1"/>
  <c r="F57" i="60"/>
  <c r="D57" i="60"/>
  <c r="L57" i="60" s="1"/>
  <c r="X55" i="60"/>
  <c r="Z55" i="60" s="1"/>
  <c r="L55" i="60"/>
  <c r="N55" i="60" s="1"/>
  <c r="F55" i="60"/>
  <c r="B55" i="60"/>
  <c r="X54" i="60"/>
  <c r="Z54" i="60" s="1"/>
  <c r="T54" i="60"/>
  <c r="P54" i="60"/>
  <c r="J54" i="60"/>
  <c r="H54" i="60"/>
  <c r="N54" i="60" s="1"/>
  <c r="D54" i="60"/>
  <c r="L54" i="60" s="1"/>
  <c r="B54" i="60"/>
  <c r="Z53" i="60"/>
  <c r="X53" i="60"/>
  <c r="N53" i="60"/>
  <c r="L53" i="60"/>
  <c r="F53" i="60"/>
  <c r="B53" i="60"/>
  <c r="Z52" i="60"/>
  <c r="X52" i="60"/>
  <c r="N52" i="60"/>
  <c r="L52" i="60"/>
  <c r="B52" i="60"/>
  <c r="Z51" i="60"/>
  <c r="X51" i="60"/>
  <c r="N51" i="60"/>
  <c r="L51" i="60"/>
  <c r="B51" i="60"/>
  <c r="X50" i="60"/>
  <c r="T50" i="60"/>
  <c r="P50" i="60"/>
  <c r="H50" i="60"/>
  <c r="N50" i="60" s="1"/>
  <c r="F50" i="60"/>
  <c r="D50" i="60"/>
  <c r="B50" i="60"/>
  <c r="Z49" i="60"/>
  <c r="X49" i="60"/>
  <c r="N49" i="60"/>
  <c r="L49" i="60"/>
  <c r="F49" i="60"/>
  <c r="B49" i="60"/>
  <c r="Z48" i="60"/>
  <c r="T48" i="60"/>
  <c r="P48" i="60"/>
  <c r="X48" i="60" s="1"/>
  <c r="H48" i="60"/>
  <c r="N48" i="60" s="1"/>
  <c r="F48" i="60"/>
  <c r="D48" i="60"/>
  <c r="L48" i="60" s="1"/>
  <c r="B48" i="60"/>
  <c r="Z47" i="60"/>
  <c r="X47" i="60"/>
  <c r="N47" i="60"/>
  <c r="L47" i="60"/>
  <c r="B47" i="60"/>
  <c r="X46" i="60"/>
  <c r="Z46" i="60" s="1"/>
  <c r="L46" i="60"/>
  <c r="N46" i="60" s="1"/>
  <c r="J46" i="60"/>
  <c r="B46" i="60"/>
  <c r="X45" i="60"/>
  <c r="Z45" i="60" s="1"/>
  <c r="N45" i="60"/>
  <c r="L45" i="60"/>
  <c r="B45" i="60"/>
  <c r="Z44" i="60"/>
  <c r="T44" i="60"/>
  <c r="P44" i="60"/>
  <c r="X44" i="60" s="1"/>
  <c r="L44" i="60"/>
  <c r="N44" i="60" s="1"/>
  <c r="J44" i="60"/>
  <c r="H44" i="60"/>
  <c r="D44" i="60"/>
  <c r="B44" i="60"/>
  <c r="X43" i="60"/>
  <c r="Z43" i="60" s="1"/>
  <c r="R43" i="60"/>
  <c r="L43" i="60"/>
  <c r="N43" i="60" s="1"/>
  <c r="B43" i="60"/>
  <c r="T42" i="60"/>
  <c r="P42" i="60"/>
  <c r="X42" i="60" s="1"/>
  <c r="N42" i="60"/>
  <c r="L42" i="60"/>
  <c r="H42" i="60"/>
  <c r="F42" i="60"/>
  <c r="D42" i="60"/>
  <c r="B42" i="60"/>
  <c r="Z41" i="60"/>
  <c r="X41" i="60"/>
  <c r="N41" i="60"/>
  <c r="L41" i="60"/>
  <c r="J41" i="60"/>
  <c r="B41" i="60"/>
  <c r="T40" i="60"/>
  <c r="P40" i="60"/>
  <c r="N40" i="60"/>
  <c r="L40" i="60"/>
  <c r="J40" i="60"/>
  <c r="H40" i="60"/>
  <c r="D40" i="60"/>
  <c r="B40" i="60"/>
  <c r="Z39" i="60"/>
  <c r="X39" i="60"/>
  <c r="N39" i="60"/>
  <c r="L39" i="60"/>
  <c r="J39" i="60"/>
  <c r="F39" i="60"/>
  <c r="B39" i="60"/>
  <c r="Z38" i="60"/>
  <c r="X38" i="60"/>
  <c r="N38" i="60"/>
  <c r="L38" i="60"/>
  <c r="B38" i="60"/>
  <c r="Z37" i="60"/>
  <c r="X37" i="60"/>
  <c r="N37" i="60"/>
  <c r="L37" i="60"/>
  <c r="F37" i="60"/>
  <c r="B37" i="60"/>
  <c r="Z36" i="60"/>
  <c r="X36" i="60"/>
  <c r="N36" i="60"/>
  <c r="L36" i="60"/>
  <c r="F36" i="60"/>
  <c r="B36" i="60"/>
  <c r="Z35" i="60"/>
  <c r="X35" i="60"/>
  <c r="V35" i="60"/>
  <c r="N35" i="60"/>
  <c r="L35" i="60"/>
  <c r="J35" i="60"/>
  <c r="F35" i="60"/>
  <c r="B35" i="60"/>
  <c r="Z34" i="60"/>
  <c r="X34" i="60"/>
  <c r="N34" i="60"/>
  <c r="L34" i="60"/>
  <c r="B34" i="60"/>
  <c r="X33" i="60"/>
  <c r="Z33" i="60" s="1"/>
  <c r="N33" i="60"/>
  <c r="L33" i="60"/>
  <c r="F33" i="60"/>
  <c r="B33" i="60"/>
  <c r="Z32" i="60"/>
  <c r="X32" i="60"/>
  <c r="N32" i="60"/>
  <c r="L32" i="60"/>
  <c r="F32" i="60"/>
  <c r="B32" i="60"/>
  <c r="Z31" i="60"/>
  <c r="X31" i="60"/>
  <c r="N31" i="60"/>
  <c r="L31" i="60"/>
  <c r="J31" i="60"/>
  <c r="F31" i="60"/>
  <c r="B31" i="60"/>
  <c r="Z30" i="60"/>
  <c r="X30" i="60"/>
  <c r="N30" i="60"/>
  <c r="L30" i="60"/>
  <c r="B30" i="60"/>
  <c r="Z29" i="60"/>
  <c r="X29" i="60"/>
  <c r="T29" i="60"/>
  <c r="P29" i="60"/>
  <c r="J29" i="60"/>
  <c r="H29" i="60"/>
  <c r="N29" i="60" s="1"/>
  <c r="D29" i="60"/>
  <c r="L29" i="60" s="1"/>
  <c r="B29" i="60"/>
  <c r="Z28" i="60"/>
  <c r="X28" i="60"/>
  <c r="N28" i="60"/>
  <c r="L28" i="60"/>
  <c r="F28" i="60"/>
  <c r="B28" i="60"/>
  <c r="X27" i="60"/>
  <c r="Z27" i="60" s="1"/>
  <c r="N27" i="60"/>
  <c r="L27" i="60"/>
  <c r="J27" i="60"/>
  <c r="F27" i="60"/>
  <c r="B27" i="60"/>
  <c r="X26" i="60"/>
  <c r="Z26" i="60" s="1"/>
  <c r="L26" i="60"/>
  <c r="N26" i="60" s="1"/>
  <c r="J26" i="60"/>
  <c r="F26" i="60"/>
  <c r="B26" i="60"/>
  <c r="Z25" i="60"/>
  <c r="X25" i="60"/>
  <c r="N25" i="60"/>
  <c r="L25" i="60"/>
  <c r="F25" i="60"/>
  <c r="B25" i="60"/>
  <c r="Z24" i="60"/>
  <c r="X24" i="60"/>
  <c r="N24" i="60"/>
  <c r="L24" i="60"/>
  <c r="F24" i="60"/>
  <c r="B24" i="60"/>
  <c r="X23" i="60"/>
  <c r="Z23" i="60" s="1"/>
  <c r="V23" i="60"/>
  <c r="R23" i="60"/>
  <c r="N23" i="60"/>
  <c r="L23" i="60"/>
  <c r="J23" i="60"/>
  <c r="F23" i="60"/>
  <c r="B23" i="60"/>
  <c r="X22" i="60"/>
  <c r="Z22" i="60" s="1"/>
  <c r="L22" i="60"/>
  <c r="N22" i="60" s="1"/>
  <c r="J22" i="60"/>
  <c r="F22" i="60"/>
  <c r="B22" i="60"/>
  <c r="Z21" i="60"/>
  <c r="X21" i="60"/>
  <c r="N21" i="60"/>
  <c r="L21" i="60"/>
  <c r="F21" i="60"/>
  <c r="B21" i="60"/>
  <c r="X20" i="60"/>
  <c r="Z20" i="60" s="1"/>
  <c r="R20" i="60"/>
  <c r="N20" i="60"/>
  <c r="L20" i="60"/>
  <c r="F20" i="60"/>
  <c r="B20" i="60"/>
  <c r="X19" i="60"/>
  <c r="T19" i="60"/>
  <c r="P19" i="60"/>
  <c r="N19" i="60"/>
  <c r="L19" i="60"/>
  <c r="H19" i="60"/>
  <c r="F19" i="60"/>
  <c r="D19" i="60"/>
  <c r="B19" i="60"/>
  <c r="T18" i="60"/>
  <c r="P18" i="60"/>
  <c r="X18" i="60" s="1"/>
  <c r="Z18" i="60" s="1"/>
  <c r="H18" i="60"/>
  <c r="F18" i="60"/>
  <c r="D18" i="60"/>
  <c r="T16" i="60"/>
  <c r="P16" i="60"/>
  <c r="X16" i="60" s="1"/>
  <c r="H16" i="60"/>
  <c r="F16" i="60"/>
  <c r="Z14" i="60"/>
  <c r="T14" i="60"/>
  <c r="P14" i="60"/>
  <c r="X14" i="60" s="1"/>
  <c r="H14" i="60"/>
  <c r="N14" i="60" s="1"/>
  <c r="F14" i="60"/>
  <c r="D14" i="60"/>
  <c r="D16" i="60" s="1"/>
  <c r="Z12" i="60"/>
  <c r="T12" i="60"/>
  <c r="V19" i="60" s="1"/>
  <c r="P12" i="60"/>
  <c r="R41" i="60" s="1"/>
  <c r="L12" i="60"/>
  <c r="H12" i="60"/>
  <c r="J37" i="60" s="1"/>
  <c r="D12" i="60"/>
  <c r="D6" i="60"/>
  <c r="D4" i="60"/>
  <c r="J78" i="59"/>
  <c r="Z73" i="59"/>
  <c r="X73" i="59"/>
  <c r="R73" i="59"/>
  <c r="N73" i="59"/>
  <c r="L73" i="59"/>
  <c r="T69" i="59"/>
  <c r="Z69" i="59" s="1"/>
  <c r="P69" i="59"/>
  <c r="N69" i="59"/>
  <c r="H69" i="59"/>
  <c r="D69" i="59"/>
  <c r="L69" i="59" s="1"/>
  <c r="Z67" i="59"/>
  <c r="X67" i="59"/>
  <c r="L67" i="59"/>
  <c r="N67" i="59" s="1"/>
  <c r="B67" i="59"/>
  <c r="T66" i="59"/>
  <c r="P66" i="59"/>
  <c r="H66" i="59"/>
  <c r="D66" i="59"/>
  <c r="B66" i="59"/>
  <c r="Z65" i="59"/>
  <c r="X65" i="59"/>
  <c r="N65" i="59"/>
  <c r="L65" i="59"/>
  <c r="B65" i="59"/>
  <c r="Z64" i="59"/>
  <c r="T64" i="59"/>
  <c r="P64" i="59"/>
  <c r="X64" i="59" s="1"/>
  <c r="H64" i="59"/>
  <c r="N64" i="59" s="1"/>
  <c r="D64" i="59"/>
  <c r="L64" i="59" s="1"/>
  <c r="B64" i="59"/>
  <c r="X63" i="59"/>
  <c r="Z63" i="59" s="1"/>
  <c r="N63" i="59"/>
  <c r="L63" i="59"/>
  <c r="B63" i="59"/>
  <c r="X62" i="59"/>
  <c r="Z62" i="59" s="1"/>
  <c r="R62" i="59"/>
  <c r="N62" i="59"/>
  <c r="L62" i="59"/>
  <c r="B62" i="59"/>
  <c r="X61" i="59"/>
  <c r="Z61" i="59" s="1"/>
  <c r="T61" i="59"/>
  <c r="P61" i="59"/>
  <c r="N61" i="59"/>
  <c r="H61" i="59"/>
  <c r="L61" i="59" s="1"/>
  <c r="D61" i="59"/>
  <c r="B61" i="59"/>
  <c r="Z60" i="59"/>
  <c r="X60" i="59"/>
  <c r="N60" i="59"/>
  <c r="L60" i="59"/>
  <c r="B60" i="59"/>
  <c r="V59" i="59"/>
  <c r="T59" i="59"/>
  <c r="P59" i="59"/>
  <c r="H59" i="59"/>
  <c r="N59" i="59" s="1"/>
  <c r="D59" i="59"/>
  <c r="L59" i="59" s="1"/>
  <c r="B59" i="59"/>
  <c r="X58" i="59"/>
  <c r="Z58" i="59" s="1"/>
  <c r="V58" i="59"/>
  <c r="L58" i="59"/>
  <c r="N58" i="59" s="1"/>
  <c r="J58" i="59"/>
  <c r="B58" i="59"/>
  <c r="X57" i="59"/>
  <c r="Z57" i="59" s="1"/>
  <c r="N57" i="59"/>
  <c r="L57" i="59"/>
  <c r="B57" i="59"/>
  <c r="V56" i="59"/>
  <c r="T56" i="59"/>
  <c r="R56" i="59"/>
  <c r="P56" i="59"/>
  <c r="X56" i="59" s="1"/>
  <c r="Z56" i="59" s="1"/>
  <c r="L56" i="59"/>
  <c r="H56" i="59"/>
  <c r="D56" i="59"/>
  <c r="B56" i="59"/>
  <c r="Z55" i="59"/>
  <c r="X55" i="59"/>
  <c r="N55" i="59"/>
  <c r="L55" i="59"/>
  <c r="J55" i="59"/>
  <c r="B55" i="59"/>
  <c r="X54" i="59"/>
  <c r="Z54" i="59" s="1"/>
  <c r="N54" i="59"/>
  <c r="L54" i="59"/>
  <c r="B54" i="59"/>
  <c r="X53" i="59"/>
  <c r="Z53" i="59" s="1"/>
  <c r="N53" i="59"/>
  <c r="L53" i="59"/>
  <c r="B53" i="59"/>
  <c r="X52" i="59"/>
  <c r="T52" i="59"/>
  <c r="Z52" i="59" s="1"/>
  <c r="P52" i="59"/>
  <c r="L52" i="59"/>
  <c r="J52" i="59"/>
  <c r="H52" i="59"/>
  <c r="D52" i="59"/>
  <c r="B52" i="59"/>
  <c r="Z51" i="59"/>
  <c r="X51" i="59"/>
  <c r="N51" i="59"/>
  <c r="L51" i="59"/>
  <c r="B51" i="59"/>
  <c r="T50" i="59"/>
  <c r="P50" i="59"/>
  <c r="H50" i="59"/>
  <c r="D50" i="59"/>
  <c r="B50" i="59"/>
  <c r="X49" i="59"/>
  <c r="Z49" i="59" s="1"/>
  <c r="V49" i="59"/>
  <c r="N49" i="59"/>
  <c r="L49" i="59"/>
  <c r="B49" i="59"/>
  <c r="Z48" i="59"/>
  <c r="X48" i="59"/>
  <c r="T48" i="59"/>
  <c r="P48" i="59"/>
  <c r="L48" i="59"/>
  <c r="H48" i="59"/>
  <c r="N48" i="59" s="1"/>
  <c r="D48" i="59"/>
  <c r="B48" i="59"/>
  <c r="Z47" i="59"/>
  <c r="X47" i="59"/>
  <c r="N47" i="59"/>
  <c r="L47" i="59"/>
  <c r="F47" i="59"/>
  <c r="B47" i="59"/>
  <c r="X46" i="59"/>
  <c r="T46" i="59"/>
  <c r="Z46" i="59" s="1"/>
  <c r="P46" i="59"/>
  <c r="H46" i="59"/>
  <c r="N46" i="59" s="1"/>
  <c r="D46" i="59"/>
  <c r="B46" i="59"/>
  <c r="X45" i="59"/>
  <c r="Z45" i="59" s="1"/>
  <c r="N45" i="59"/>
  <c r="L45" i="59"/>
  <c r="B45" i="59"/>
  <c r="Z44" i="59"/>
  <c r="X44" i="59"/>
  <c r="R44" i="59"/>
  <c r="L44" i="59"/>
  <c r="N44" i="59" s="1"/>
  <c r="B44" i="59"/>
  <c r="T43" i="59"/>
  <c r="P43" i="59"/>
  <c r="N43" i="59"/>
  <c r="L43" i="59"/>
  <c r="J43" i="59"/>
  <c r="H43" i="59"/>
  <c r="D43" i="59"/>
  <c r="B43" i="59"/>
  <c r="X42" i="59"/>
  <c r="Z42" i="59" s="1"/>
  <c r="N42" i="59"/>
  <c r="L42" i="59"/>
  <c r="B42" i="59"/>
  <c r="T41" i="59"/>
  <c r="P41" i="59"/>
  <c r="X41" i="59" s="1"/>
  <c r="Z41" i="59" s="1"/>
  <c r="J41" i="59"/>
  <c r="H41" i="59"/>
  <c r="N41" i="59" s="1"/>
  <c r="D41" i="59"/>
  <c r="L41" i="59" s="1"/>
  <c r="B41" i="59"/>
  <c r="Z40" i="59"/>
  <c r="X40" i="59"/>
  <c r="N40" i="59"/>
  <c r="L40" i="59"/>
  <c r="F40" i="59"/>
  <c r="B40" i="59"/>
  <c r="Z39" i="59"/>
  <c r="X39" i="59"/>
  <c r="N39" i="59"/>
  <c r="L39" i="59"/>
  <c r="B39" i="59"/>
  <c r="Z38" i="59"/>
  <c r="X38" i="59"/>
  <c r="R38" i="59"/>
  <c r="N38" i="59"/>
  <c r="L38" i="59"/>
  <c r="B38" i="59"/>
  <c r="Z37" i="59"/>
  <c r="X37" i="59"/>
  <c r="N37" i="59"/>
  <c r="L37" i="59"/>
  <c r="J37" i="59"/>
  <c r="B37" i="59"/>
  <c r="Z36" i="59"/>
  <c r="X36" i="59"/>
  <c r="N36" i="59"/>
  <c r="L36" i="59"/>
  <c r="F36" i="59"/>
  <c r="B36" i="59"/>
  <c r="Z35" i="59"/>
  <c r="X35" i="59"/>
  <c r="N35" i="59"/>
  <c r="L35" i="59"/>
  <c r="B35" i="59"/>
  <c r="X34" i="59"/>
  <c r="Z34" i="59" s="1"/>
  <c r="R34" i="59"/>
  <c r="N34" i="59"/>
  <c r="L34" i="59"/>
  <c r="B34" i="59"/>
  <c r="Z33" i="59"/>
  <c r="X33" i="59"/>
  <c r="N33" i="59"/>
  <c r="L33" i="59"/>
  <c r="J33" i="59"/>
  <c r="B33" i="59"/>
  <c r="X32" i="59"/>
  <c r="Z32" i="59" s="1"/>
  <c r="N32" i="59"/>
  <c r="L32" i="59"/>
  <c r="F32" i="59"/>
  <c r="B32" i="59"/>
  <c r="Z31" i="59"/>
  <c r="X31" i="59"/>
  <c r="N31" i="59"/>
  <c r="L31" i="59"/>
  <c r="B31" i="59"/>
  <c r="X30" i="59"/>
  <c r="V30" i="59"/>
  <c r="T30" i="59"/>
  <c r="Z30" i="59" s="1"/>
  <c r="R30" i="59"/>
  <c r="P30" i="59"/>
  <c r="H30" i="59"/>
  <c r="N30" i="59" s="1"/>
  <c r="D30" i="59"/>
  <c r="L30" i="59" s="1"/>
  <c r="B30" i="59"/>
  <c r="Z29" i="59"/>
  <c r="X29" i="59"/>
  <c r="V29" i="59"/>
  <c r="R29" i="59"/>
  <c r="N29" i="59"/>
  <c r="L29" i="59"/>
  <c r="B29" i="59"/>
  <c r="Z28" i="59"/>
  <c r="X28" i="59"/>
  <c r="R28" i="59"/>
  <c r="L28" i="59"/>
  <c r="N28" i="59" s="1"/>
  <c r="B28" i="59"/>
  <c r="Z27" i="59"/>
  <c r="X27" i="59"/>
  <c r="R27" i="59"/>
  <c r="N27" i="59"/>
  <c r="L27" i="59"/>
  <c r="J27" i="59"/>
  <c r="B27" i="59"/>
  <c r="Z26" i="59"/>
  <c r="X26" i="59"/>
  <c r="N26" i="59"/>
  <c r="L26" i="59"/>
  <c r="B26" i="59"/>
  <c r="Z25" i="59"/>
  <c r="X25" i="59"/>
  <c r="V25" i="59"/>
  <c r="R25" i="59"/>
  <c r="N25" i="59"/>
  <c r="L25" i="59"/>
  <c r="B25" i="59"/>
  <c r="Z24" i="59"/>
  <c r="X24" i="59"/>
  <c r="R24" i="59"/>
  <c r="L24" i="59"/>
  <c r="N24" i="59" s="1"/>
  <c r="B24" i="59"/>
  <c r="Z23" i="59"/>
  <c r="X23" i="59"/>
  <c r="R23" i="59"/>
  <c r="N23" i="59"/>
  <c r="L23" i="59"/>
  <c r="J23" i="59"/>
  <c r="B23" i="59"/>
  <c r="Z22" i="59"/>
  <c r="X22" i="59"/>
  <c r="L22" i="59"/>
  <c r="N22" i="59" s="1"/>
  <c r="B22" i="59"/>
  <c r="Z21" i="59"/>
  <c r="X21" i="59"/>
  <c r="V21" i="59"/>
  <c r="R21" i="59"/>
  <c r="N21" i="59"/>
  <c r="L21" i="59"/>
  <c r="B21" i="59"/>
  <c r="Z20" i="59"/>
  <c r="X20" i="59"/>
  <c r="R20" i="59"/>
  <c r="L20" i="59"/>
  <c r="N20" i="59" s="1"/>
  <c r="B20" i="59"/>
  <c r="T19" i="59"/>
  <c r="P19" i="59"/>
  <c r="N19" i="59"/>
  <c r="L19" i="59"/>
  <c r="J19" i="59"/>
  <c r="H19" i="59"/>
  <c r="D19" i="59"/>
  <c r="B19" i="59"/>
  <c r="T18" i="59"/>
  <c r="P18" i="59"/>
  <c r="X18" i="59" s="1"/>
  <c r="H18" i="59"/>
  <c r="D18" i="59"/>
  <c r="P16" i="59"/>
  <c r="T14" i="59"/>
  <c r="Z14" i="59" s="1"/>
  <c r="P14" i="59"/>
  <c r="X14" i="59" s="1"/>
  <c r="N14" i="59"/>
  <c r="L14" i="59"/>
  <c r="H14" i="59"/>
  <c r="D14" i="59"/>
  <c r="T12" i="59"/>
  <c r="V37" i="59" s="1"/>
  <c r="P12" i="59"/>
  <c r="R78" i="59" s="1"/>
  <c r="L12" i="59"/>
  <c r="H12" i="59"/>
  <c r="J44" i="59" s="1"/>
  <c r="D12" i="59"/>
  <c r="F61" i="59" s="1"/>
  <c r="D6" i="59"/>
  <c r="D4" i="59"/>
  <c r="Z78" i="58"/>
  <c r="X78" i="58"/>
  <c r="N78" i="58"/>
  <c r="L78" i="58"/>
  <c r="F78" i="58"/>
  <c r="Z74" i="58"/>
  <c r="X74" i="58"/>
  <c r="T74" i="58"/>
  <c r="P74" i="58"/>
  <c r="H74" i="58"/>
  <c r="N74" i="58" s="1"/>
  <c r="D74" i="58"/>
  <c r="L74" i="58" s="1"/>
  <c r="Z72" i="58"/>
  <c r="X72" i="58"/>
  <c r="N72" i="58"/>
  <c r="L72" i="58"/>
  <c r="B72" i="58"/>
  <c r="V71" i="58"/>
  <c r="T71" i="58"/>
  <c r="Z71" i="58" s="1"/>
  <c r="R71" i="58"/>
  <c r="P71" i="58"/>
  <c r="X71" i="58" s="1"/>
  <c r="N71" i="58"/>
  <c r="H71" i="58"/>
  <c r="D71" i="58"/>
  <c r="L71" i="58" s="1"/>
  <c r="B71" i="58"/>
  <c r="X70" i="58"/>
  <c r="Z70" i="58" s="1"/>
  <c r="R70" i="58"/>
  <c r="N70" i="58"/>
  <c r="L70" i="58"/>
  <c r="B70" i="58"/>
  <c r="T69" i="58"/>
  <c r="R69" i="58"/>
  <c r="P69" i="58"/>
  <c r="X69" i="58" s="1"/>
  <c r="Z69" i="58" s="1"/>
  <c r="N69" i="58"/>
  <c r="L69" i="58"/>
  <c r="H69" i="58"/>
  <c r="D69" i="58"/>
  <c r="B69" i="58"/>
  <c r="Z68" i="58"/>
  <c r="X68" i="58"/>
  <c r="R68" i="58"/>
  <c r="L68" i="58"/>
  <c r="N68" i="58" s="1"/>
  <c r="B68" i="58"/>
  <c r="T67" i="58"/>
  <c r="P67" i="58"/>
  <c r="N67" i="58"/>
  <c r="L67" i="58"/>
  <c r="J67" i="58"/>
  <c r="H67" i="58"/>
  <c r="D67" i="58"/>
  <c r="B67" i="58"/>
  <c r="X66" i="58"/>
  <c r="Z66" i="58" s="1"/>
  <c r="L66" i="58"/>
  <c r="N66" i="58" s="1"/>
  <c r="F66" i="58"/>
  <c r="B66" i="58"/>
  <c r="Z65" i="58"/>
  <c r="X65" i="58"/>
  <c r="L65" i="58"/>
  <c r="N65" i="58" s="1"/>
  <c r="B65" i="58"/>
  <c r="X64" i="58"/>
  <c r="Z64" i="58" s="1"/>
  <c r="L64" i="58"/>
  <c r="N64" i="58" s="1"/>
  <c r="B64" i="58"/>
  <c r="V63" i="58"/>
  <c r="T63" i="58"/>
  <c r="R63" i="58"/>
  <c r="P63" i="58"/>
  <c r="X63" i="58" s="1"/>
  <c r="H63" i="58"/>
  <c r="D63" i="58"/>
  <c r="L63" i="58" s="1"/>
  <c r="N63" i="58" s="1"/>
  <c r="B63" i="58"/>
  <c r="X62" i="58"/>
  <c r="Z62" i="58" s="1"/>
  <c r="R62" i="58"/>
  <c r="N62" i="58"/>
  <c r="L62" i="58"/>
  <c r="B62" i="58"/>
  <c r="T61" i="58"/>
  <c r="R61" i="58"/>
  <c r="P61" i="58"/>
  <c r="X61" i="58" s="1"/>
  <c r="Z61" i="58" s="1"/>
  <c r="N61" i="58"/>
  <c r="L61" i="58"/>
  <c r="H61" i="58"/>
  <c r="D61" i="58"/>
  <c r="B61" i="58"/>
  <c r="Z60" i="58"/>
  <c r="X60" i="58"/>
  <c r="R60" i="58"/>
  <c r="N60" i="58"/>
  <c r="L60" i="58"/>
  <c r="B60" i="58"/>
  <c r="Z59" i="58"/>
  <c r="X59" i="58"/>
  <c r="N59" i="58"/>
  <c r="L59" i="58"/>
  <c r="J59" i="58"/>
  <c r="B59" i="58"/>
  <c r="Z58" i="58"/>
  <c r="X58" i="58"/>
  <c r="T58" i="58"/>
  <c r="P58" i="58"/>
  <c r="H58" i="58"/>
  <c r="D58" i="58"/>
  <c r="B58" i="58"/>
  <c r="Z57" i="58"/>
  <c r="X57" i="58"/>
  <c r="L57" i="58"/>
  <c r="N57" i="58" s="1"/>
  <c r="B57" i="58"/>
  <c r="X56" i="58"/>
  <c r="Z56" i="58" s="1"/>
  <c r="L56" i="58"/>
  <c r="N56" i="58" s="1"/>
  <c r="B56" i="58"/>
  <c r="Z55" i="58"/>
  <c r="X55" i="58"/>
  <c r="V55" i="58"/>
  <c r="N55" i="58"/>
  <c r="L55" i="58"/>
  <c r="B55" i="58"/>
  <c r="T54" i="58"/>
  <c r="P54" i="58"/>
  <c r="X54" i="58" s="1"/>
  <c r="L54" i="58"/>
  <c r="N54" i="58" s="1"/>
  <c r="H54" i="58"/>
  <c r="D54" i="58"/>
  <c r="B54" i="58"/>
  <c r="X53" i="58"/>
  <c r="Z53" i="58" s="1"/>
  <c r="N53" i="58"/>
  <c r="L53" i="58"/>
  <c r="J53" i="58"/>
  <c r="B53" i="58"/>
  <c r="X52" i="58"/>
  <c r="Z52" i="58" s="1"/>
  <c r="N52" i="58"/>
  <c r="L52" i="58"/>
  <c r="B52" i="58"/>
  <c r="Z51" i="58"/>
  <c r="X51" i="58"/>
  <c r="T51" i="58"/>
  <c r="P51" i="58"/>
  <c r="H51" i="58"/>
  <c r="D51" i="58"/>
  <c r="L51" i="58" s="1"/>
  <c r="N51" i="58" s="1"/>
  <c r="B51" i="58"/>
  <c r="Z50" i="58"/>
  <c r="X50" i="58"/>
  <c r="L50" i="58"/>
  <c r="N50" i="58" s="1"/>
  <c r="B50" i="58"/>
  <c r="Z49" i="58"/>
  <c r="X49" i="58"/>
  <c r="V49" i="58"/>
  <c r="T49" i="58"/>
  <c r="P49" i="58"/>
  <c r="H49" i="58"/>
  <c r="D49" i="58"/>
  <c r="L49" i="58" s="1"/>
  <c r="B49" i="58"/>
  <c r="X48" i="58"/>
  <c r="Z48" i="58" s="1"/>
  <c r="L48" i="58"/>
  <c r="N48" i="58" s="1"/>
  <c r="B48" i="58"/>
  <c r="V47" i="58"/>
  <c r="T47" i="58"/>
  <c r="Z47" i="58" s="1"/>
  <c r="R47" i="58"/>
  <c r="P47" i="58"/>
  <c r="X47" i="58" s="1"/>
  <c r="H47" i="58"/>
  <c r="D47" i="58"/>
  <c r="L47" i="58" s="1"/>
  <c r="N47" i="58" s="1"/>
  <c r="B47" i="58"/>
  <c r="X46" i="58"/>
  <c r="Z46" i="58" s="1"/>
  <c r="R46" i="58"/>
  <c r="N46" i="58"/>
  <c r="L46" i="58"/>
  <c r="B46" i="58"/>
  <c r="X45" i="58"/>
  <c r="T45" i="58"/>
  <c r="Z45" i="58" s="1"/>
  <c r="R45" i="58"/>
  <c r="P45" i="58"/>
  <c r="N45" i="58"/>
  <c r="L45" i="58"/>
  <c r="H45" i="58"/>
  <c r="D45" i="58"/>
  <c r="B45" i="58"/>
  <c r="Z44" i="58"/>
  <c r="X44" i="58"/>
  <c r="R44" i="58"/>
  <c r="N44" i="58"/>
  <c r="L44" i="58"/>
  <c r="B44" i="58"/>
  <c r="T43" i="58"/>
  <c r="P43" i="58"/>
  <c r="N43" i="58"/>
  <c r="L43" i="58"/>
  <c r="J43" i="58"/>
  <c r="H43" i="58"/>
  <c r="D43" i="58"/>
  <c r="B43" i="58"/>
  <c r="Z42" i="58"/>
  <c r="X42" i="58"/>
  <c r="L42" i="58"/>
  <c r="N42" i="58" s="1"/>
  <c r="F42" i="58"/>
  <c r="B42" i="58"/>
  <c r="T41" i="58"/>
  <c r="P41" i="58"/>
  <c r="X41" i="58" s="1"/>
  <c r="Z41" i="58" s="1"/>
  <c r="J41" i="58"/>
  <c r="H41" i="58"/>
  <c r="N41" i="58" s="1"/>
  <c r="F41" i="58"/>
  <c r="D41" i="58"/>
  <c r="L41" i="58" s="1"/>
  <c r="B41" i="58"/>
  <c r="Z40" i="58"/>
  <c r="X40" i="58"/>
  <c r="N40" i="58"/>
  <c r="L40" i="58"/>
  <c r="B40" i="58"/>
  <c r="Z39" i="58"/>
  <c r="X39" i="58"/>
  <c r="N39" i="58"/>
  <c r="L39" i="58"/>
  <c r="B39" i="58"/>
  <c r="Z38" i="58"/>
  <c r="X38" i="58"/>
  <c r="R38" i="58"/>
  <c r="N38" i="58"/>
  <c r="L38" i="58"/>
  <c r="B38" i="58"/>
  <c r="Z37" i="58"/>
  <c r="X37" i="58"/>
  <c r="N37" i="58"/>
  <c r="L37" i="58"/>
  <c r="J37" i="58"/>
  <c r="B37" i="58"/>
  <c r="Z36" i="58"/>
  <c r="X36" i="58"/>
  <c r="N36" i="58"/>
  <c r="L36" i="58"/>
  <c r="F36" i="58"/>
  <c r="B36" i="58"/>
  <c r="Z35" i="58"/>
  <c r="X35" i="58"/>
  <c r="L35" i="58"/>
  <c r="N35" i="58" s="1"/>
  <c r="B35" i="58"/>
  <c r="X34" i="58"/>
  <c r="Z34" i="58" s="1"/>
  <c r="R34" i="58"/>
  <c r="N34" i="58"/>
  <c r="L34" i="58"/>
  <c r="B34" i="58"/>
  <c r="Z33" i="58"/>
  <c r="X33" i="58"/>
  <c r="N33" i="58"/>
  <c r="L33" i="58"/>
  <c r="J33" i="58"/>
  <c r="B33" i="58"/>
  <c r="Z32" i="58"/>
  <c r="X32" i="58"/>
  <c r="N32" i="58"/>
  <c r="L32" i="58"/>
  <c r="B32" i="58"/>
  <c r="Z31" i="58"/>
  <c r="X31" i="58"/>
  <c r="R31" i="58"/>
  <c r="L31" i="58"/>
  <c r="N31" i="58" s="1"/>
  <c r="B31" i="58"/>
  <c r="T30" i="58"/>
  <c r="R30" i="58"/>
  <c r="P30" i="58"/>
  <c r="H30" i="58"/>
  <c r="D30" i="58"/>
  <c r="L30" i="58" s="1"/>
  <c r="N30" i="58" s="1"/>
  <c r="B30" i="58"/>
  <c r="Z29" i="58"/>
  <c r="X29" i="58"/>
  <c r="V29" i="58"/>
  <c r="R29" i="58"/>
  <c r="L29" i="58"/>
  <c r="N29" i="58" s="1"/>
  <c r="B29" i="58"/>
  <c r="Z28" i="58"/>
  <c r="X28" i="58"/>
  <c r="R28" i="58"/>
  <c r="L28" i="58"/>
  <c r="N28" i="58" s="1"/>
  <c r="B28" i="58"/>
  <c r="X27" i="58"/>
  <c r="Z27" i="58" s="1"/>
  <c r="R27" i="58"/>
  <c r="N27" i="58"/>
  <c r="L27" i="58"/>
  <c r="J27" i="58"/>
  <c r="B27" i="58"/>
  <c r="Z26" i="58"/>
  <c r="X26" i="58"/>
  <c r="V26" i="58"/>
  <c r="N26" i="58"/>
  <c r="L26" i="58"/>
  <c r="B26" i="58"/>
  <c r="Z25" i="58"/>
  <c r="X25" i="58"/>
  <c r="V25" i="58"/>
  <c r="R25" i="58"/>
  <c r="N25" i="58"/>
  <c r="L25" i="58"/>
  <c r="B25" i="58"/>
  <c r="Z24" i="58"/>
  <c r="X24" i="58"/>
  <c r="R24" i="58"/>
  <c r="L24" i="58"/>
  <c r="N24" i="58" s="1"/>
  <c r="B24" i="58"/>
  <c r="X23" i="58"/>
  <c r="Z23" i="58" s="1"/>
  <c r="R23" i="58"/>
  <c r="N23" i="58"/>
  <c r="L23" i="58"/>
  <c r="J23" i="58"/>
  <c r="B23" i="58"/>
  <c r="Z22" i="58"/>
  <c r="X22" i="58"/>
  <c r="V22" i="58"/>
  <c r="N22" i="58"/>
  <c r="L22" i="58"/>
  <c r="J22" i="58"/>
  <c r="B22" i="58"/>
  <c r="Z21" i="58"/>
  <c r="X21" i="58"/>
  <c r="V21" i="58"/>
  <c r="R21" i="58"/>
  <c r="L21" i="58"/>
  <c r="N21" i="58" s="1"/>
  <c r="B21" i="58"/>
  <c r="Z20" i="58"/>
  <c r="X20" i="58"/>
  <c r="R20" i="58"/>
  <c r="L20" i="58"/>
  <c r="N20" i="58" s="1"/>
  <c r="B20" i="58"/>
  <c r="T19" i="58"/>
  <c r="Z19" i="58" s="1"/>
  <c r="P19" i="58"/>
  <c r="X19" i="58" s="1"/>
  <c r="N19" i="58"/>
  <c r="J19" i="58"/>
  <c r="H19" i="58"/>
  <c r="D19" i="58"/>
  <c r="L19" i="58" s="1"/>
  <c r="B19" i="58"/>
  <c r="T18" i="58"/>
  <c r="P18" i="58"/>
  <c r="H18" i="58"/>
  <c r="D18" i="58"/>
  <c r="L18" i="58" s="1"/>
  <c r="N18" i="58" s="1"/>
  <c r="P16" i="58"/>
  <c r="T14" i="58"/>
  <c r="Z14" i="58" s="1"/>
  <c r="P14" i="58"/>
  <c r="X14" i="58" s="1"/>
  <c r="N14" i="58"/>
  <c r="L14" i="58"/>
  <c r="H14" i="58"/>
  <c r="D14" i="58"/>
  <c r="T12" i="58"/>
  <c r="V70" i="58" s="1"/>
  <c r="P12" i="58"/>
  <c r="R55" i="58" s="1"/>
  <c r="L12" i="58"/>
  <c r="H12" i="58"/>
  <c r="J83" i="58" s="1"/>
  <c r="D12" i="58"/>
  <c r="F40" i="58" s="1"/>
  <c r="D6" i="58"/>
  <c r="D4" i="58"/>
  <c r="Z76" i="57"/>
  <c r="X76" i="57"/>
  <c r="N76" i="57"/>
  <c r="L76" i="57"/>
  <c r="F76" i="57"/>
  <c r="Z72" i="57"/>
  <c r="X72" i="57"/>
  <c r="P72" i="57"/>
  <c r="P69" i="57" s="1"/>
  <c r="X69" i="57" s="1"/>
  <c r="N72" i="57"/>
  <c r="D72" i="57"/>
  <c r="L72" i="57" s="1"/>
  <c r="B72" i="57"/>
  <c r="Z71" i="57"/>
  <c r="X71" i="57"/>
  <c r="V71" i="57"/>
  <c r="P71" i="57"/>
  <c r="N71" i="57"/>
  <c r="D71" i="57"/>
  <c r="L71" i="57" s="1"/>
  <c r="B71" i="57"/>
  <c r="Z70" i="57"/>
  <c r="X70" i="57"/>
  <c r="R70" i="57"/>
  <c r="P70" i="57"/>
  <c r="N70" i="57"/>
  <c r="L70" i="57"/>
  <c r="D70" i="57"/>
  <c r="B70" i="57"/>
  <c r="V69" i="57"/>
  <c r="T69" i="57"/>
  <c r="Z69" i="57" s="1"/>
  <c r="N69" i="57"/>
  <c r="L69" i="57"/>
  <c r="H69" i="57"/>
  <c r="D69" i="57"/>
  <c r="Z67" i="57"/>
  <c r="X67" i="57"/>
  <c r="V67" i="57"/>
  <c r="N67" i="57"/>
  <c r="L67" i="57"/>
  <c r="F67" i="57"/>
  <c r="B67" i="57"/>
  <c r="T66" i="57"/>
  <c r="Z66" i="57" s="1"/>
  <c r="P66" i="57"/>
  <c r="X66" i="57" s="1"/>
  <c r="N66" i="57"/>
  <c r="L66" i="57"/>
  <c r="H66" i="57"/>
  <c r="F66" i="57"/>
  <c r="D66" i="57"/>
  <c r="B66" i="57"/>
  <c r="X65" i="57"/>
  <c r="Z65" i="57" s="1"/>
  <c r="N65" i="57"/>
  <c r="L65" i="57"/>
  <c r="J65" i="57"/>
  <c r="B65" i="57"/>
  <c r="T64" i="57"/>
  <c r="P64" i="57"/>
  <c r="X64" i="57" s="1"/>
  <c r="Z64" i="57" s="1"/>
  <c r="H64" i="57"/>
  <c r="D64" i="57"/>
  <c r="B64" i="57"/>
  <c r="Z63" i="57"/>
  <c r="X63" i="57"/>
  <c r="N63" i="57"/>
  <c r="L63" i="57"/>
  <c r="J63" i="57"/>
  <c r="B63" i="57"/>
  <c r="Z62" i="57"/>
  <c r="X62" i="57"/>
  <c r="V62" i="57"/>
  <c r="T62" i="57"/>
  <c r="P62" i="57"/>
  <c r="H62" i="57"/>
  <c r="D62" i="57"/>
  <c r="L62" i="57" s="1"/>
  <c r="B62" i="57"/>
  <c r="X61" i="57"/>
  <c r="Z61" i="57" s="1"/>
  <c r="L61" i="57"/>
  <c r="N61" i="57" s="1"/>
  <c r="B61" i="57"/>
  <c r="Z60" i="57"/>
  <c r="X60" i="57"/>
  <c r="N60" i="57"/>
  <c r="L60" i="57"/>
  <c r="B60" i="57"/>
  <c r="Z59" i="57"/>
  <c r="X59" i="57"/>
  <c r="V59" i="57"/>
  <c r="N59" i="57"/>
  <c r="L59" i="57"/>
  <c r="F59" i="57"/>
  <c r="B59" i="57"/>
  <c r="V58" i="57"/>
  <c r="T58" i="57"/>
  <c r="Z58" i="57" s="1"/>
  <c r="P58" i="57"/>
  <c r="X58" i="57" s="1"/>
  <c r="L58" i="57"/>
  <c r="N58" i="57" s="1"/>
  <c r="H58" i="57"/>
  <c r="F58" i="57"/>
  <c r="D58" i="57"/>
  <c r="B58" i="57"/>
  <c r="X57" i="57"/>
  <c r="Z57" i="57" s="1"/>
  <c r="N57" i="57"/>
  <c r="L57" i="57"/>
  <c r="J57" i="57"/>
  <c r="B57" i="57"/>
  <c r="T56" i="57"/>
  <c r="P56" i="57"/>
  <c r="X56" i="57" s="1"/>
  <c r="Z56" i="57" s="1"/>
  <c r="H56" i="57"/>
  <c r="D56" i="57"/>
  <c r="B56" i="57"/>
  <c r="Z55" i="57"/>
  <c r="X55" i="57"/>
  <c r="N55" i="57"/>
  <c r="L55" i="57"/>
  <c r="J55" i="57"/>
  <c r="B55" i="57"/>
  <c r="Z54" i="57"/>
  <c r="X54" i="57"/>
  <c r="V54" i="57"/>
  <c r="N54" i="57"/>
  <c r="L54" i="57"/>
  <c r="B54" i="57"/>
  <c r="Z53" i="57"/>
  <c r="X53" i="57"/>
  <c r="V53" i="57"/>
  <c r="L53" i="57"/>
  <c r="N53" i="57" s="1"/>
  <c r="B53" i="57"/>
  <c r="T52" i="57"/>
  <c r="P52" i="57"/>
  <c r="X52" i="57" s="1"/>
  <c r="N52" i="57"/>
  <c r="L52" i="57"/>
  <c r="J52" i="57"/>
  <c r="H52" i="57"/>
  <c r="D52" i="57"/>
  <c r="B52" i="57"/>
  <c r="Z51" i="57"/>
  <c r="X51" i="57"/>
  <c r="V51" i="57"/>
  <c r="N51" i="57"/>
  <c r="L51" i="57"/>
  <c r="F51" i="57"/>
  <c r="B51" i="57"/>
  <c r="V50" i="57"/>
  <c r="T50" i="57"/>
  <c r="Z50" i="57" s="1"/>
  <c r="P50" i="57"/>
  <c r="X50" i="57" s="1"/>
  <c r="L50" i="57"/>
  <c r="N50" i="57" s="1"/>
  <c r="H50" i="57"/>
  <c r="F50" i="57"/>
  <c r="D50" i="57"/>
  <c r="B50" i="57"/>
  <c r="X49" i="57"/>
  <c r="Z49" i="57" s="1"/>
  <c r="N49" i="57"/>
  <c r="L49" i="57"/>
  <c r="J49" i="57"/>
  <c r="B49" i="57"/>
  <c r="T48" i="57"/>
  <c r="P48" i="57"/>
  <c r="X48" i="57" s="1"/>
  <c r="Z48" i="57" s="1"/>
  <c r="L48" i="57"/>
  <c r="H48" i="57"/>
  <c r="D48" i="57"/>
  <c r="B48" i="57"/>
  <c r="Z47" i="57"/>
  <c r="X47" i="57"/>
  <c r="N47" i="57"/>
  <c r="L47" i="57"/>
  <c r="J47" i="57"/>
  <c r="B47" i="57"/>
  <c r="Z46" i="57"/>
  <c r="X46" i="57"/>
  <c r="V46" i="57"/>
  <c r="N46" i="57"/>
  <c r="L46" i="57"/>
  <c r="J46" i="57"/>
  <c r="B46" i="57"/>
  <c r="Z45" i="57"/>
  <c r="V45" i="57"/>
  <c r="T45" i="57"/>
  <c r="P45" i="57"/>
  <c r="X45" i="57" s="1"/>
  <c r="H45" i="57"/>
  <c r="D45" i="57"/>
  <c r="L45" i="57" s="1"/>
  <c r="B45" i="57"/>
  <c r="X44" i="57"/>
  <c r="Z44" i="57" s="1"/>
  <c r="N44" i="57"/>
  <c r="L44" i="57"/>
  <c r="B44" i="57"/>
  <c r="V43" i="57"/>
  <c r="T43" i="57"/>
  <c r="P43" i="57"/>
  <c r="X43" i="57" s="1"/>
  <c r="L43" i="57"/>
  <c r="N43" i="57" s="1"/>
  <c r="H43" i="57"/>
  <c r="D43" i="57"/>
  <c r="B43" i="57"/>
  <c r="X42" i="57"/>
  <c r="Z42" i="57" s="1"/>
  <c r="R42" i="57"/>
  <c r="N42" i="57"/>
  <c r="L42" i="57"/>
  <c r="J42" i="57"/>
  <c r="B42" i="57"/>
  <c r="X41" i="57"/>
  <c r="T41" i="57"/>
  <c r="Z41" i="57" s="1"/>
  <c r="P41" i="57"/>
  <c r="N41" i="57"/>
  <c r="H41" i="57"/>
  <c r="L41" i="57" s="1"/>
  <c r="D41" i="57"/>
  <c r="B41" i="57"/>
  <c r="Z40" i="57"/>
  <c r="X40" i="57"/>
  <c r="N40" i="57"/>
  <c r="L40" i="57"/>
  <c r="B40" i="57"/>
  <c r="Z39" i="57"/>
  <c r="X39" i="57"/>
  <c r="N39" i="57"/>
  <c r="L39" i="57"/>
  <c r="J39" i="57"/>
  <c r="B39" i="57"/>
  <c r="Z38" i="57"/>
  <c r="X38" i="57"/>
  <c r="V38" i="57"/>
  <c r="N38" i="57"/>
  <c r="L38" i="57"/>
  <c r="J38" i="57"/>
  <c r="B38" i="57"/>
  <c r="Z37" i="57"/>
  <c r="X37" i="57"/>
  <c r="V37" i="57"/>
  <c r="N37" i="57"/>
  <c r="L37" i="57"/>
  <c r="B37" i="57"/>
  <c r="Z36" i="57"/>
  <c r="X36" i="57"/>
  <c r="N36" i="57"/>
  <c r="L36" i="57"/>
  <c r="B36" i="57"/>
  <c r="Z35" i="57"/>
  <c r="X35" i="57"/>
  <c r="N35" i="57"/>
  <c r="L35" i="57"/>
  <c r="J35" i="57"/>
  <c r="B35" i="57"/>
  <c r="Z34" i="57"/>
  <c r="X34" i="57"/>
  <c r="V34" i="57"/>
  <c r="N34" i="57"/>
  <c r="L34" i="57"/>
  <c r="J34" i="57"/>
  <c r="B34" i="57"/>
  <c r="Z33" i="57"/>
  <c r="X33" i="57"/>
  <c r="V33" i="57"/>
  <c r="N33" i="57"/>
  <c r="L33" i="57"/>
  <c r="B33" i="57"/>
  <c r="Z32" i="57"/>
  <c r="X32" i="57"/>
  <c r="L32" i="57"/>
  <c r="N32" i="57" s="1"/>
  <c r="B32" i="57"/>
  <c r="Z31" i="57"/>
  <c r="X31" i="57"/>
  <c r="N31" i="57"/>
  <c r="L31" i="57"/>
  <c r="J31" i="57"/>
  <c r="B31" i="57"/>
  <c r="Z30" i="57"/>
  <c r="X30" i="57"/>
  <c r="V30" i="57"/>
  <c r="T30" i="57"/>
  <c r="P30" i="57"/>
  <c r="H30" i="57"/>
  <c r="D30" i="57"/>
  <c r="L30" i="57" s="1"/>
  <c r="B30" i="57"/>
  <c r="X29" i="57"/>
  <c r="Z29" i="57" s="1"/>
  <c r="L29" i="57"/>
  <c r="N29" i="57" s="1"/>
  <c r="B29" i="57"/>
  <c r="X28" i="57"/>
  <c r="Z28" i="57" s="1"/>
  <c r="V28" i="57"/>
  <c r="N28" i="57"/>
  <c r="L28" i="57"/>
  <c r="B28" i="57"/>
  <c r="Z27" i="57"/>
  <c r="X27" i="57"/>
  <c r="V27" i="57"/>
  <c r="N27" i="57"/>
  <c r="L27" i="57"/>
  <c r="F27" i="57"/>
  <c r="B27" i="57"/>
  <c r="Z26" i="57"/>
  <c r="X26" i="57"/>
  <c r="V26" i="57"/>
  <c r="N26" i="57"/>
  <c r="L26" i="57"/>
  <c r="F26" i="57"/>
  <c r="B26" i="57"/>
  <c r="X25" i="57"/>
  <c r="Z25" i="57" s="1"/>
  <c r="L25" i="57"/>
  <c r="N25" i="57" s="1"/>
  <c r="B25" i="57"/>
  <c r="X24" i="57"/>
  <c r="Z24" i="57" s="1"/>
  <c r="V24" i="57"/>
  <c r="N24" i="57"/>
  <c r="L24" i="57"/>
  <c r="B24" i="57"/>
  <c r="Z23" i="57"/>
  <c r="X23" i="57"/>
  <c r="V23" i="57"/>
  <c r="N23" i="57"/>
  <c r="L23" i="57"/>
  <c r="F23" i="57"/>
  <c r="B23" i="57"/>
  <c r="X22" i="57"/>
  <c r="Z22" i="57" s="1"/>
  <c r="V22" i="57"/>
  <c r="L22" i="57"/>
  <c r="N22" i="57" s="1"/>
  <c r="F22" i="57"/>
  <c r="B22" i="57"/>
  <c r="X21" i="57"/>
  <c r="Z21" i="57" s="1"/>
  <c r="L21" i="57"/>
  <c r="N21" i="57" s="1"/>
  <c r="B21" i="57"/>
  <c r="X20" i="57"/>
  <c r="Z20" i="57" s="1"/>
  <c r="V20" i="57"/>
  <c r="T20" i="57"/>
  <c r="P20" i="57"/>
  <c r="J20" i="57"/>
  <c r="H20" i="57"/>
  <c r="N20" i="57" s="1"/>
  <c r="D20" i="57"/>
  <c r="L20" i="57" s="1"/>
  <c r="B20" i="57"/>
  <c r="T19" i="57"/>
  <c r="X19" i="57" s="1"/>
  <c r="Z19" i="57" s="1"/>
  <c r="P19" i="57"/>
  <c r="H19" i="57"/>
  <c r="F19" i="57"/>
  <c r="D19" i="57"/>
  <c r="L19" i="57" s="1"/>
  <c r="T17" i="57"/>
  <c r="F17" i="57"/>
  <c r="V15" i="57"/>
  <c r="T15" i="57"/>
  <c r="X15" i="57" s="1"/>
  <c r="P15" i="57"/>
  <c r="L15" i="57"/>
  <c r="H15" i="57"/>
  <c r="N15" i="57" s="1"/>
  <c r="F15" i="57"/>
  <c r="D15" i="57"/>
  <c r="D17" i="57" s="1"/>
  <c r="Z13" i="57"/>
  <c r="X13" i="57"/>
  <c r="P13" i="57"/>
  <c r="N13" i="57"/>
  <c r="D13" i="57"/>
  <c r="L13" i="57" s="1"/>
  <c r="B13" i="57"/>
  <c r="Z12" i="57"/>
  <c r="T12" i="57"/>
  <c r="V70" i="57" s="1"/>
  <c r="P12" i="57"/>
  <c r="R41" i="57" s="1"/>
  <c r="N12" i="57"/>
  <c r="L12" i="57"/>
  <c r="H12" i="57"/>
  <c r="J81" i="57" s="1"/>
  <c r="D12" i="57"/>
  <c r="F63" i="57" s="1"/>
  <c r="D6" i="57"/>
  <c r="D4" i="57"/>
  <c r="F87" i="56"/>
  <c r="Z82" i="56"/>
  <c r="X82" i="56"/>
  <c r="N82" i="56"/>
  <c r="L82" i="56"/>
  <c r="Z78" i="56"/>
  <c r="X78" i="56"/>
  <c r="T78" i="56"/>
  <c r="P78" i="56"/>
  <c r="H78" i="56"/>
  <c r="N78" i="56" s="1"/>
  <c r="D78" i="56"/>
  <c r="L78" i="56" s="1"/>
  <c r="Z76" i="56"/>
  <c r="X76" i="56"/>
  <c r="V76" i="56"/>
  <c r="N76" i="56"/>
  <c r="L76" i="56"/>
  <c r="B76" i="56"/>
  <c r="T75" i="56"/>
  <c r="P75" i="56"/>
  <c r="X75" i="56" s="1"/>
  <c r="Z75" i="56" s="1"/>
  <c r="H75" i="56"/>
  <c r="N75" i="56" s="1"/>
  <c r="D75" i="56"/>
  <c r="L75" i="56" s="1"/>
  <c r="B75" i="56"/>
  <c r="X74" i="56"/>
  <c r="Z74" i="56" s="1"/>
  <c r="N74" i="56"/>
  <c r="L74" i="56"/>
  <c r="B74" i="56"/>
  <c r="V73" i="56"/>
  <c r="T73" i="56"/>
  <c r="R73" i="56"/>
  <c r="P73" i="56"/>
  <c r="X73" i="56" s="1"/>
  <c r="N73" i="56"/>
  <c r="L73" i="56"/>
  <c r="H73" i="56"/>
  <c r="D73" i="56"/>
  <c r="B73" i="56"/>
  <c r="X72" i="56"/>
  <c r="Z72" i="56" s="1"/>
  <c r="R72" i="56"/>
  <c r="N72" i="56"/>
  <c r="L72" i="56"/>
  <c r="B72" i="56"/>
  <c r="X71" i="56"/>
  <c r="T71" i="56"/>
  <c r="Z71" i="56" s="1"/>
  <c r="R71" i="56"/>
  <c r="P71" i="56"/>
  <c r="N71" i="56"/>
  <c r="H71" i="56"/>
  <c r="L71" i="56" s="1"/>
  <c r="D71" i="56"/>
  <c r="B71" i="56"/>
  <c r="Z70" i="56"/>
  <c r="X70" i="56"/>
  <c r="R70" i="56"/>
  <c r="N70" i="56"/>
  <c r="L70" i="56"/>
  <c r="B70" i="56"/>
  <c r="Z69" i="56"/>
  <c r="X69" i="56"/>
  <c r="R69" i="56"/>
  <c r="N69" i="56"/>
  <c r="L69" i="56"/>
  <c r="B69" i="56"/>
  <c r="Z68" i="56"/>
  <c r="X68" i="56"/>
  <c r="N68" i="56"/>
  <c r="L68" i="56"/>
  <c r="B68" i="56"/>
  <c r="T67" i="56"/>
  <c r="P67" i="56"/>
  <c r="X67" i="56" s="1"/>
  <c r="Z67" i="56" s="1"/>
  <c r="H67" i="56"/>
  <c r="N67" i="56" s="1"/>
  <c r="D67" i="56"/>
  <c r="L67" i="56" s="1"/>
  <c r="B67" i="56"/>
  <c r="X66" i="56"/>
  <c r="Z66" i="56" s="1"/>
  <c r="N66" i="56"/>
  <c r="L66" i="56"/>
  <c r="B66" i="56"/>
  <c r="T65" i="56"/>
  <c r="Z65" i="56" s="1"/>
  <c r="R65" i="56"/>
  <c r="P65" i="56"/>
  <c r="X65" i="56" s="1"/>
  <c r="L65" i="56"/>
  <c r="N65" i="56" s="1"/>
  <c r="H65" i="56"/>
  <c r="D65" i="56"/>
  <c r="B65" i="56"/>
  <c r="X64" i="56"/>
  <c r="Z64" i="56" s="1"/>
  <c r="R64" i="56"/>
  <c r="N64" i="56"/>
  <c r="L64" i="56"/>
  <c r="B64" i="56"/>
  <c r="Z63" i="56"/>
  <c r="X63" i="56"/>
  <c r="N63" i="56"/>
  <c r="L63" i="56"/>
  <c r="B63" i="56"/>
  <c r="T62" i="56"/>
  <c r="R62" i="56"/>
  <c r="P62" i="56"/>
  <c r="X62" i="56" s="1"/>
  <c r="Z62" i="56" s="1"/>
  <c r="H62" i="56"/>
  <c r="D62" i="56"/>
  <c r="B62" i="56"/>
  <c r="X61" i="56"/>
  <c r="Z61" i="56" s="1"/>
  <c r="R61" i="56"/>
  <c r="N61" i="56"/>
  <c r="L61" i="56"/>
  <c r="B61" i="56"/>
  <c r="Z60" i="56"/>
  <c r="X60" i="56"/>
  <c r="N60" i="56"/>
  <c r="L60" i="56"/>
  <c r="B60" i="56"/>
  <c r="Z59" i="56"/>
  <c r="X59" i="56"/>
  <c r="N59" i="56"/>
  <c r="L59" i="56"/>
  <c r="B59" i="56"/>
  <c r="T58" i="56"/>
  <c r="P58" i="56"/>
  <c r="X58" i="56" s="1"/>
  <c r="N58" i="56"/>
  <c r="L58" i="56"/>
  <c r="H58" i="56"/>
  <c r="D58" i="56"/>
  <c r="B58" i="56"/>
  <c r="X57" i="56"/>
  <c r="Z57" i="56" s="1"/>
  <c r="V57" i="56"/>
  <c r="N57" i="56"/>
  <c r="L57" i="56"/>
  <c r="B57" i="56"/>
  <c r="T56" i="56"/>
  <c r="P56" i="56"/>
  <c r="X56" i="56" s="1"/>
  <c r="L56" i="56"/>
  <c r="N56" i="56" s="1"/>
  <c r="H56" i="56"/>
  <c r="F56" i="56"/>
  <c r="D56" i="56"/>
  <c r="B56" i="56"/>
  <c r="X55" i="56"/>
  <c r="Z55" i="56" s="1"/>
  <c r="N55" i="56"/>
  <c r="L55" i="56"/>
  <c r="B55" i="56"/>
  <c r="Z54" i="56"/>
  <c r="T54" i="56"/>
  <c r="R54" i="56"/>
  <c r="P54" i="56"/>
  <c r="X54" i="56" s="1"/>
  <c r="H54" i="56"/>
  <c r="N54" i="56" s="1"/>
  <c r="D54" i="56"/>
  <c r="B54" i="56"/>
  <c r="Z53" i="56"/>
  <c r="X53" i="56"/>
  <c r="R53" i="56"/>
  <c r="L53" i="56"/>
  <c r="N53" i="56" s="1"/>
  <c r="B53" i="56"/>
  <c r="Z52" i="56"/>
  <c r="X52" i="56"/>
  <c r="T52" i="56"/>
  <c r="P52" i="56"/>
  <c r="H52" i="56"/>
  <c r="D52" i="56"/>
  <c r="B52" i="56"/>
  <c r="X51" i="56"/>
  <c r="Z51" i="56" s="1"/>
  <c r="L51" i="56"/>
  <c r="N51" i="56" s="1"/>
  <c r="B51" i="56"/>
  <c r="X50" i="56"/>
  <c r="Z50" i="56" s="1"/>
  <c r="T50" i="56"/>
  <c r="R50" i="56"/>
  <c r="P50" i="56"/>
  <c r="H50" i="56"/>
  <c r="N50" i="56" s="1"/>
  <c r="D50" i="56"/>
  <c r="L50" i="56" s="1"/>
  <c r="B50" i="56"/>
  <c r="Z49" i="56"/>
  <c r="X49" i="56"/>
  <c r="R49" i="56"/>
  <c r="N49" i="56"/>
  <c r="L49" i="56"/>
  <c r="B49" i="56"/>
  <c r="X48" i="56"/>
  <c r="T48" i="56"/>
  <c r="P48" i="56"/>
  <c r="N48" i="56"/>
  <c r="H48" i="56"/>
  <c r="D48" i="56"/>
  <c r="L48" i="56" s="1"/>
  <c r="B48" i="56"/>
  <c r="Z47" i="56"/>
  <c r="X47" i="56"/>
  <c r="L47" i="56"/>
  <c r="N47" i="56" s="1"/>
  <c r="B47" i="56"/>
  <c r="Z46" i="56"/>
  <c r="X46" i="56"/>
  <c r="R46" i="56"/>
  <c r="N46" i="56"/>
  <c r="L46" i="56"/>
  <c r="B46" i="56"/>
  <c r="T45" i="56"/>
  <c r="P45" i="56"/>
  <c r="X45" i="56" s="1"/>
  <c r="H45" i="56"/>
  <c r="D45" i="56"/>
  <c r="L45" i="56" s="1"/>
  <c r="N45" i="56" s="1"/>
  <c r="B45" i="56"/>
  <c r="X44" i="56"/>
  <c r="Z44" i="56" s="1"/>
  <c r="L44" i="56"/>
  <c r="N44" i="56" s="1"/>
  <c r="F44" i="56"/>
  <c r="B44" i="56"/>
  <c r="X43" i="56"/>
  <c r="Z43" i="56" s="1"/>
  <c r="T43" i="56"/>
  <c r="P43" i="56"/>
  <c r="H43" i="56"/>
  <c r="N43" i="56" s="1"/>
  <c r="F43" i="56"/>
  <c r="D43" i="56"/>
  <c r="L43" i="56" s="1"/>
  <c r="B43" i="56"/>
  <c r="Z42" i="56"/>
  <c r="X42" i="56"/>
  <c r="N42" i="56"/>
  <c r="L42" i="56"/>
  <c r="F42" i="56"/>
  <c r="B42" i="56"/>
  <c r="T41" i="56"/>
  <c r="X41" i="56" s="1"/>
  <c r="P41" i="56"/>
  <c r="L41" i="56"/>
  <c r="H41" i="56"/>
  <c r="N41" i="56" s="1"/>
  <c r="F41" i="56"/>
  <c r="D41" i="56"/>
  <c r="B41" i="56"/>
  <c r="Z40" i="56"/>
  <c r="X40" i="56"/>
  <c r="N40" i="56"/>
  <c r="L40" i="56"/>
  <c r="B40" i="56"/>
  <c r="Z39" i="56"/>
  <c r="X39" i="56"/>
  <c r="N39" i="56"/>
  <c r="L39" i="56"/>
  <c r="B39" i="56"/>
  <c r="Z38" i="56"/>
  <c r="X38" i="56"/>
  <c r="R38" i="56"/>
  <c r="N38" i="56"/>
  <c r="L38" i="56"/>
  <c r="B38" i="56"/>
  <c r="Z37" i="56"/>
  <c r="X37" i="56"/>
  <c r="R37" i="56"/>
  <c r="L37" i="56"/>
  <c r="N37" i="56" s="1"/>
  <c r="B37" i="56"/>
  <c r="Z36" i="56"/>
  <c r="X36" i="56"/>
  <c r="N36" i="56"/>
  <c r="L36" i="56"/>
  <c r="B36" i="56"/>
  <c r="Z35" i="56"/>
  <c r="X35" i="56"/>
  <c r="N35" i="56"/>
  <c r="L35" i="56"/>
  <c r="B35" i="56"/>
  <c r="Z34" i="56"/>
  <c r="X34" i="56"/>
  <c r="R34" i="56"/>
  <c r="N34" i="56"/>
  <c r="L34" i="56"/>
  <c r="B34" i="56"/>
  <c r="Z33" i="56"/>
  <c r="X33" i="56"/>
  <c r="R33" i="56"/>
  <c r="N33" i="56"/>
  <c r="L33" i="56"/>
  <c r="B33" i="56"/>
  <c r="Z32" i="56"/>
  <c r="X32" i="56"/>
  <c r="L32" i="56"/>
  <c r="N32" i="56" s="1"/>
  <c r="B32" i="56"/>
  <c r="Z31" i="56"/>
  <c r="X31" i="56"/>
  <c r="L31" i="56"/>
  <c r="N31" i="56" s="1"/>
  <c r="B31" i="56"/>
  <c r="T30" i="56"/>
  <c r="P30" i="56"/>
  <c r="H30" i="56"/>
  <c r="D30" i="56"/>
  <c r="L30" i="56" s="1"/>
  <c r="N30" i="56" s="1"/>
  <c r="B30" i="56"/>
  <c r="X29" i="56"/>
  <c r="Z29" i="56" s="1"/>
  <c r="N29" i="56"/>
  <c r="L29" i="56"/>
  <c r="F29" i="56"/>
  <c r="B29" i="56"/>
  <c r="X28" i="56"/>
  <c r="Z28" i="56" s="1"/>
  <c r="V28" i="56"/>
  <c r="L28" i="56"/>
  <c r="N28" i="56" s="1"/>
  <c r="F28" i="56"/>
  <c r="B28" i="56"/>
  <c r="X27" i="56"/>
  <c r="Z27" i="56" s="1"/>
  <c r="L27" i="56"/>
  <c r="N27" i="56" s="1"/>
  <c r="B27" i="56"/>
  <c r="Z26" i="56"/>
  <c r="X26" i="56"/>
  <c r="N26" i="56"/>
  <c r="L26" i="56"/>
  <c r="B26" i="56"/>
  <c r="X25" i="56"/>
  <c r="Z25" i="56" s="1"/>
  <c r="R25" i="56"/>
  <c r="N25" i="56"/>
  <c r="L25" i="56"/>
  <c r="F25" i="56"/>
  <c r="B25" i="56"/>
  <c r="X24" i="56"/>
  <c r="Z24" i="56" s="1"/>
  <c r="L24" i="56"/>
  <c r="N24" i="56" s="1"/>
  <c r="B24" i="56"/>
  <c r="X23" i="56"/>
  <c r="Z23" i="56" s="1"/>
  <c r="L23" i="56"/>
  <c r="N23" i="56" s="1"/>
  <c r="B23" i="56"/>
  <c r="X22" i="56"/>
  <c r="Z22" i="56" s="1"/>
  <c r="N22" i="56"/>
  <c r="L22" i="56"/>
  <c r="B22" i="56"/>
  <c r="X21" i="56"/>
  <c r="Z21" i="56" s="1"/>
  <c r="R21" i="56"/>
  <c r="N21" i="56"/>
  <c r="L21" i="56"/>
  <c r="F21" i="56"/>
  <c r="B21" i="56"/>
  <c r="T20" i="56"/>
  <c r="R20" i="56"/>
  <c r="P20" i="56"/>
  <c r="X20" i="56" s="1"/>
  <c r="L20" i="56"/>
  <c r="N20" i="56" s="1"/>
  <c r="H20" i="56"/>
  <c r="F20" i="56"/>
  <c r="D20" i="56"/>
  <c r="B20" i="56"/>
  <c r="T19" i="56"/>
  <c r="R19" i="56"/>
  <c r="P19" i="56"/>
  <c r="H19" i="56"/>
  <c r="L19" i="56" s="1"/>
  <c r="D19" i="56"/>
  <c r="R17" i="56"/>
  <c r="X15" i="56"/>
  <c r="T15" i="56"/>
  <c r="Z15" i="56" s="1"/>
  <c r="R15" i="56"/>
  <c r="P15" i="56"/>
  <c r="P17" i="56" s="1"/>
  <c r="N15" i="56"/>
  <c r="H15" i="56"/>
  <c r="L15" i="56" s="1"/>
  <c r="D15" i="56"/>
  <c r="Z13" i="56"/>
  <c r="X13" i="56"/>
  <c r="P13" i="56"/>
  <c r="N13" i="56"/>
  <c r="L13" i="56"/>
  <c r="D13" i="56"/>
  <c r="D12" i="56" s="1"/>
  <c r="B13" i="56"/>
  <c r="T12" i="56"/>
  <c r="V80" i="56" s="1"/>
  <c r="P12" i="56"/>
  <c r="R58" i="56" s="1"/>
  <c r="H12" i="56"/>
  <c r="D6" i="56"/>
  <c r="D4" i="56"/>
  <c r="V40" i="55"/>
  <c r="R40" i="55"/>
  <c r="V37" i="55"/>
  <c r="R37" i="55"/>
  <c r="Z35" i="55"/>
  <c r="X35" i="55"/>
  <c r="V35" i="55"/>
  <c r="N35" i="55"/>
  <c r="L35" i="55"/>
  <c r="V33" i="55"/>
  <c r="V31" i="55"/>
  <c r="T31" i="55"/>
  <c r="Z31" i="55" s="1"/>
  <c r="P31" i="55"/>
  <c r="X31" i="55" s="1"/>
  <c r="N31" i="55"/>
  <c r="H31" i="55"/>
  <c r="D31" i="55"/>
  <c r="L31" i="55" s="1"/>
  <c r="Z29" i="55"/>
  <c r="X29" i="55"/>
  <c r="V29" i="55"/>
  <c r="R29" i="55"/>
  <c r="N29" i="55"/>
  <c r="L29" i="55"/>
  <c r="B29" i="55"/>
  <c r="X28" i="55"/>
  <c r="Z28" i="55" s="1"/>
  <c r="R28" i="55"/>
  <c r="N28" i="55"/>
  <c r="L28" i="55"/>
  <c r="B28" i="55"/>
  <c r="V27" i="55"/>
  <c r="T27" i="55"/>
  <c r="P27" i="55"/>
  <c r="X27" i="55" s="1"/>
  <c r="Z27" i="55" s="1"/>
  <c r="H27" i="55"/>
  <c r="N27" i="55" s="1"/>
  <c r="D27" i="55"/>
  <c r="B27" i="55"/>
  <c r="X26" i="55"/>
  <c r="Z26" i="55" s="1"/>
  <c r="N26" i="55"/>
  <c r="L26" i="55"/>
  <c r="B26" i="55"/>
  <c r="X25" i="55"/>
  <c r="Z25" i="55" s="1"/>
  <c r="V25" i="55"/>
  <c r="T25" i="55"/>
  <c r="R25" i="55"/>
  <c r="P25" i="55"/>
  <c r="N25" i="55"/>
  <c r="H25" i="55"/>
  <c r="F25" i="55"/>
  <c r="D25" i="55"/>
  <c r="L25" i="55" s="1"/>
  <c r="B25" i="55"/>
  <c r="Z24" i="55"/>
  <c r="X24" i="55"/>
  <c r="R24" i="55"/>
  <c r="L24" i="55"/>
  <c r="N24" i="55" s="1"/>
  <c r="F24" i="55"/>
  <c r="B24" i="55"/>
  <c r="X23" i="55"/>
  <c r="V23" i="55"/>
  <c r="T23" i="55"/>
  <c r="P23" i="55"/>
  <c r="N23" i="55"/>
  <c r="L23" i="55"/>
  <c r="H23" i="55"/>
  <c r="F23" i="55"/>
  <c r="D23" i="55"/>
  <c r="B23" i="55"/>
  <c r="Z22" i="55"/>
  <c r="X22" i="55"/>
  <c r="V22" i="55"/>
  <c r="L22" i="55"/>
  <c r="N22" i="55" s="1"/>
  <c r="B22" i="55"/>
  <c r="V21" i="55"/>
  <c r="T21" i="55"/>
  <c r="P21" i="55"/>
  <c r="X21" i="55" s="1"/>
  <c r="Z21" i="55" s="1"/>
  <c r="H21" i="55"/>
  <c r="D21" i="55"/>
  <c r="L21" i="55" s="1"/>
  <c r="N21" i="55" s="1"/>
  <c r="B21" i="55"/>
  <c r="X20" i="55"/>
  <c r="Z20" i="55" s="1"/>
  <c r="V20" i="55"/>
  <c r="N20" i="55"/>
  <c r="L20" i="55"/>
  <c r="F20" i="55"/>
  <c r="B20" i="55"/>
  <c r="V19" i="55"/>
  <c r="T19" i="55"/>
  <c r="P19" i="55"/>
  <c r="X19" i="55" s="1"/>
  <c r="Z19" i="55" s="1"/>
  <c r="L19" i="55"/>
  <c r="N19" i="55" s="1"/>
  <c r="H19" i="55"/>
  <c r="F19" i="55"/>
  <c r="D19" i="55"/>
  <c r="B19" i="55"/>
  <c r="T18" i="55"/>
  <c r="R18" i="55"/>
  <c r="P18" i="55"/>
  <c r="H18" i="55"/>
  <c r="D18" i="55"/>
  <c r="R16" i="55"/>
  <c r="X14" i="55"/>
  <c r="T14" i="55"/>
  <c r="Z14" i="55" s="1"/>
  <c r="R14" i="55"/>
  <c r="P14" i="55"/>
  <c r="N14" i="55"/>
  <c r="H14" i="55"/>
  <c r="L14" i="55" s="1"/>
  <c r="D14" i="55"/>
  <c r="Z12" i="55"/>
  <c r="X12" i="55"/>
  <c r="T12" i="55"/>
  <c r="V24" i="55" s="1"/>
  <c r="P12" i="55"/>
  <c r="R33" i="55" s="1"/>
  <c r="H12" i="55"/>
  <c r="D12" i="55"/>
  <c r="F28" i="55" s="1"/>
  <c r="D6" i="55"/>
  <c r="D4" i="55"/>
  <c r="J31" i="54"/>
  <c r="T29" i="54"/>
  <c r="P29" i="54"/>
  <c r="X29" i="54" s="1"/>
  <c r="N29" i="54"/>
  <c r="J29" i="54"/>
  <c r="H29" i="54"/>
  <c r="D29" i="54"/>
  <c r="L29" i="54" s="1"/>
  <c r="T28" i="54"/>
  <c r="P28" i="54"/>
  <c r="N28" i="54"/>
  <c r="J28" i="54"/>
  <c r="H28" i="54"/>
  <c r="D28" i="54"/>
  <c r="L28" i="54" s="1"/>
  <c r="J26" i="54"/>
  <c r="Z24" i="54"/>
  <c r="X24" i="54"/>
  <c r="R24" i="54"/>
  <c r="N24" i="54"/>
  <c r="L24" i="54"/>
  <c r="J24" i="54"/>
  <c r="F22" i="54"/>
  <c r="Z20" i="54"/>
  <c r="T20" i="54"/>
  <c r="X20" i="54" s="1"/>
  <c r="P20" i="54"/>
  <c r="L20" i="54"/>
  <c r="H20" i="54"/>
  <c r="N20" i="54" s="1"/>
  <c r="D20" i="54"/>
  <c r="T18" i="54"/>
  <c r="X18" i="54" s="1"/>
  <c r="P18" i="54"/>
  <c r="L18" i="54"/>
  <c r="H18" i="54"/>
  <c r="N18" i="54" s="1"/>
  <c r="F18" i="54"/>
  <c r="D18" i="54"/>
  <c r="Z14" i="54"/>
  <c r="T14" i="54"/>
  <c r="X14" i="54" s="1"/>
  <c r="P14" i="54"/>
  <c r="L14" i="54"/>
  <c r="H14" i="54"/>
  <c r="N14" i="54" s="1"/>
  <c r="F14" i="54"/>
  <c r="D14" i="54"/>
  <c r="Z12" i="54"/>
  <c r="T12" i="54"/>
  <c r="V22" i="54" s="1"/>
  <c r="P12" i="54"/>
  <c r="N12" i="54"/>
  <c r="H12" i="54"/>
  <c r="J22" i="54" s="1"/>
  <c r="D12" i="54"/>
  <c r="D6" i="54"/>
  <c r="D4" i="54"/>
  <c r="Z110" i="51"/>
  <c r="X110" i="51"/>
  <c r="L110" i="51"/>
  <c r="N110" i="51" s="1"/>
  <c r="X106" i="51"/>
  <c r="Z106" i="51" s="1"/>
  <c r="P106" i="51"/>
  <c r="P104" i="51" s="1"/>
  <c r="X104" i="51" s="1"/>
  <c r="J106" i="51"/>
  <c r="D106" i="51"/>
  <c r="L106" i="51" s="1"/>
  <c r="N106" i="51" s="1"/>
  <c r="B106" i="51"/>
  <c r="Z105" i="51"/>
  <c r="P105" i="51"/>
  <c r="X105" i="51" s="1"/>
  <c r="N105" i="51"/>
  <c r="L105" i="51"/>
  <c r="J105" i="51"/>
  <c r="D105" i="51"/>
  <c r="B105" i="51"/>
  <c r="T104" i="51"/>
  <c r="Z104" i="51" s="1"/>
  <c r="H104" i="51"/>
  <c r="D104" i="51"/>
  <c r="L104" i="51" s="1"/>
  <c r="X102" i="51"/>
  <c r="Z102" i="51" s="1"/>
  <c r="N102" i="51"/>
  <c r="L102" i="51"/>
  <c r="B102" i="51"/>
  <c r="Z101" i="51"/>
  <c r="T101" i="51"/>
  <c r="P101" i="51"/>
  <c r="X101" i="51" s="1"/>
  <c r="N101" i="51"/>
  <c r="H101" i="51"/>
  <c r="D101" i="51"/>
  <c r="L101" i="51" s="1"/>
  <c r="B101" i="51"/>
  <c r="X100" i="51"/>
  <c r="Z100" i="51" s="1"/>
  <c r="L100" i="51"/>
  <c r="N100" i="51" s="1"/>
  <c r="B100" i="51"/>
  <c r="X99" i="51"/>
  <c r="Z99" i="51" s="1"/>
  <c r="V99" i="51"/>
  <c r="T99" i="51"/>
  <c r="P99" i="51"/>
  <c r="H99" i="51"/>
  <c r="D99" i="51"/>
  <c r="L99" i="51" s="1"/>
  <c r="N99" i="51" s="1"/>
  <c r="B99" i="51"/>
  <c r="Z98" i="51"/>
  <c r="X98" i="51"/>
  <c r="L98" i="51"/>
  <c r="N98" i="51" s="1"/>
  <c r="B98" i="51"/>
  <c r="X97" i="51"/>
  <c r="Z97" i="51" s="1"/>
  <c r="N97" i="51"/>
  <c r="L97" i="51"/>
  <c r="J97" i="51"/>
  <c r="B97" i="51"/>
  <c r="Z96" i="51"/>
  <c r="X96" i="51"/>
  <c r="N96" i="51"/>
  <c r="L96" i="51"/>
  <c r="J96" i="51"/>
  <c r="B96" i="51"/>
  <c r="Z95" i="51"/>
  <c r="X95" i="51"/>
  <c r="N95" i="51"/>
  <c r="L95" i="51"/>
  <c r="B95" i="51"/>
  <c r="X94" i="51"/>
  <c r="Z94" i="51" s="1"/>
  <c r="T94" i="51"/>
  <c r="P94" i="51"/>
  <c r="L94" i="51"/>
  <c r="H94" i="51"/>
  <c r="N94" i="51" s="1"/>
  <c r="D94" i="51"/>
  <c r="B94" i="51"/>
  <c r="Z93" i="51"/>
  <c r="X93" i="51"/>
  <c r="N93" i="51"/>
  <c r="L93" i="51"/>
  <c r="B93" i="51"/>
  <c r="T92" i="51"/>
  <c r="Z92" i="51" s="1"/>
  <c r="P92" i="51"/>
  <c r="H92" i="51"/>
  <c r="N92" i="51" s="1"/>
  <c r="D92" i="51"/>
  <c r="L92" i="51" s="1"/>
  <c r="B92" i="51"/>
  <c r="X91" i="51"/>
  <c r="Z91" i="51" s="1"/>
  <c r="N91" i="51"/>
  <c r="L91" i="51"/>
  <c r="B91" i="51"/>
  <c r="Z90" i="51"/>
  <c r="X90" i="51"/>
  <c r="N90" i="51"/>
  <c r="L90" i="51"/>
  <c r="B90" i="51"/>
  <c r="T89" i="51"/>
  <c r="P89" i="51"/>
  <c r="X89" i="51" s="1"/>
  <c r="Z89" i="51" s="1"/>
  <c r="L89" i="51"/>
  <c r="N89" i="51" s="1"/>
  <c r="J89" i="51"/>
  <c r="H89" i="51"/>
  <c r="D89" i="51"/>
  <c r="B89" i="51"/>
  <c r="X88" i="51"/>
  <c r="Z88" i="51" s="1"/>
  <c r="N88" i="51"/>
  <c r="L88" i="51"/>
  <c r="J88" i="51"/>
  <c r="B88" i="51"/>
  <c r="T87" i="51"/>
  <c r="P87" i="51"/>
  <c r="X87" i="51" s="1"/>
  <c r="Z87" i="51" s="1"/>
  <c r="H87" i="51"/>
  <c r="D87" i="51"/>
  <c r="B87" i="51"/>
  <c r="X86" i="51"/>
  <c r="Z86" i="51" s="1"/>
  <c r="L86" i="51"/>
  <c r="N86" i="51" s="1"/>
  <c r="B86" i="51"/>
  <c r="Z85" i="51"/>
  <c r="V85" i="51"/>
  <c r="T85" i="51"/>
  <c r="P85" i="51"/>
  <c r="X85" i="51" s="1"/>
  <c r="H85" i="51"/>
  <c r="D85" i="51"/>
  <c r="L85" i="51" s="1"/>
  <c r="N85" i="51" s="1"/>
  <c r="B85" i="51"/>
  <c r="Z84" i="51"/>
  <c r="X84" i="51"/>
  <c r="N84" i="51"/>
  <c r="L84" i="51"/>
  <c r="B84" i="51"/>
  <c r="X83" i="51"/>
  <c r="Z83" i="51" s="1"/>
  <c r="V83" i="51"/>
  <c r="N83" i="51"/>
  <c r="L83" i="51"/>
  <c r="B83" i="51"/>
  <c r="T82" i="51"/>
  <c r="P82" i="51"/>
  <c r="X82" i="51" s="1"/>
  <c r="Z82" i="51" s="1"/>
  <c r="L82" i="51"/>
  <c r="H82" i="51"/>
  <c r="D82" i="51"/>
  <c r="B82" i="51"/>
  <c r="X81" i="51"/>
  <c r="Z81" i="51" s="1"/>
  <c r="N81" i="51"/>
  <c r="L81" i="51"/>
  <c r="J81" i="51"/>
  <c r="B81" i="51"/>
  <c r="X80" i="51"/>
  <c r="T80" i="51"/>
  <c r="Z80" i="51" s="1"/>
  <c r="P80" i="51"/>
  <c r="L80" i="51"/>
  <c r="H80" i="51"/>
  <c r="D80" i="51"/>
  <c r="B80" i="51"/>
  <c r="Z79" i="51"/>
  <c r="X79" i="51"/>
  <c r="L79" i="51"/>
  <c r="N79" i="51" s="1"/>
  <c r="J79" i="51"/>
  <c r="B79" i="51"/>
  <c r="T78" i="51"/>
  <c r="P78" i="51"/>
  <c r="H78" i="51"/>
  <c r="D78" i="51"/>
  <c r="L78" i="51" s="1"/>
  <c r="B78" i="51"/>
  <c r="Z77" i="51"/>
  <c r="X77" i="51"/>
  <c r="L77" i="51"/>
  <c r="N77" i="51" s="1"/>
  <c r="B77" i="51"/>
  <c r="X76" i="51"/>
  <c r="T76" i="51"/>
  <c r="P76" i="51"/>
  <c r="H76" i="51"/>
  <c r="D76" i="51"/>
  <c r="L76" i="51" s="1"/>
  <c r="N76" i="51" s="1"/>
  <c r="B76" i="51"/>
  <c r="Z75" i="51"/>
  <c r="X75" i="51"/>
  <c r="N75" i="51"/>
  <c r="L75" i="51"/>
  <c r="B75" i="51"/>
  <c r="T74" i="51"/>
  <c r="X74" i="51" s="1"/>
  <c r="Z74" i="51" s="1"/>
  <c r="P74" i="51"/>
  <c r="L74" i="51"/>
  <c r="H74" i="51"/>
  <c r="N74" i="51" s="1"/>
  <c r="D74" i="51"/>
  <c r="B74" i="51"/>
  <c r="Z73" i="51"/>
  <c r="X73" i="51"/>
  <c r="N73" i="51"/>
  <c r="L73" i="51"/>
  <c r="B73" i="51"/>
  <c r="Z72" i="51"/>
  <c r="X72" i="51"/>
  <c r="V72" i="51"/>
  <c r="N72" i="51"/>
  <c r="L72" i="51"/>
  <c r="B72" i="51"/>
  <c r="Z71" i="51"/>
  <c r="X71" i="51"/>
  <c r="L71" i="51"/>
  <c r="N71" i="51" s="1"/>
  <c r="J71" i="51"/>
  <c r="B71" i="51"/>
  <c r="X70" i="51"/>
  <c r="Z70" i="51" s="1"/>
  <c r="N70" i="51"/>
  <c r="L70" i="51"/>
  <c r="B70" i="51"/>
  <c r="Z69" i="51"/>
  <c r="X69" i="51"/>
  <c r="N69" i="51"/>
  <c r="L69" i="51"/>
  <c r="B69" i="51"/>
  <c r="Z68" i="51"/>
  <c r="X68" i="51"/>
  <c r="N68" i="51"/>
  <c r="L68" i="51"/>
  <c r="B68" i="51"/>
  <c r="Z67" i="51"/>
  <c r="X67" i="51"/>
  <c r="L67" i="51"/>
  <c r="N67" i="51" s="1"/>
  <c r="J67" i="51"/>
  <c r="B67" i="51"/>
  <c r="Z66" i="51"/>
  <c r="X66" i="51"/>
  <c r="N66" i="51"/>
  <c r="L66" i="51"/>
  <c r="B66" i="51"/>
  <c r="Z65" i="51"/>
  <c r="X65" i="51"/>
  <c r="V65" i="51"/>
  <c r="N65" i="51"/>
  <c r="L65" i="51"/>
  <c r="B65" i="51"/>
  <c r="Z64" i="51"/>
  <c r="X64" i="51"/>
  <c r="N64" i="51"/>
  <c r="L64" i="51"/>
  <c r="B64" i="51"/>
  <c r="T63" i="51"/>
  <c r="P63" i="51"/>
  <c r="X63" i="51" s="1"/>
  <c r="Z63" i="51" s="1"/>
  <c r="J63" i="51"/>
  <c r="H63" i="51"/>
  <c r="D63" i="51"/>
  <c r="L63" i="51" s="1"/>
  <c r="N63" i="51" s="1"/>
  <c r="B63" i="51"/>
  <c r="X62" i="51"/>
  <c r="Z62" i="51" s="1"/>
  <c r="N62" i="51"/>
  <c r="L62" i="51"/>
  <c r="B62" i="51"/>
  <c r="Z61" i="51"/>
  <c r="X61" i="51"/>
  <c r="L61" i="51"/>
  <c r="N61" i="51" s="1"/>
  <c r="B61" i="51"/>
  <c r="X60" i="51"/>
  <c r="Z60" i="51" s="1"/>
  <c r="L60" i="51"/>
  <c r="N60" i="51" s="1"/>
  <c r="B60" i="51"/>
  <c r="Z59" i="51"/>
  <c r="X59" i="51"/>
  <c r="V59" i="51"/>
  <c r="N59" i="51"/>
  <c r="L59" i="51"/>
  <c r="B59" i="51"/>
  <c r="Z58" i="51"/>
  <c r="X58" i="51"/>
  <c r="N58" i="51"/>
  <c r="L58" i="51"/>
  <c r="B58" i="51"/>
  <c r="Z57" i="51"/>
  <c r="X57" i="51"/>
  <c r="L57" i="51"/>
  <c r="N57" i="51" s="1"/>
  <c r="B57" i="51"/>
  <c r="X56" i="51"/>
  <c r="Z56" i="51" s="1"/>
  <c r="L56" i="51"/>
  <c r="N56" i="51" s="1"/>
  <c r="B56" i="51"/>
  <c r="X55" i="51"/>
  <c r="Z55" i="51" s="1"/>
  <c r="N55" i="51"/>
  <c r="L55" i="51"/>
  <c r="B55" i="51"/>
  <c r="X54" i="51"/>
  <c r="Z54" i="51" s="1"/>
  <c r="N54" i="51"/>
  <c r="L54" i="51"/>
  <c r="B54" i="51"/>
  <c r="Z53" i="51"/>
  <c r="X53" i="51"/>
  <c r="L53" i="51"/>
  <c r="N53" i="51" s="1"/>
  <c r="B53" i="51"/>
  <c r="X52" i="51"/>
  <c r="T52" i="51"/>
  <c r="Z52" i="51" s="1"/>
  <c r="P52" i="51"/>
  <c r="H52" i="51"/>
  <c r="D52" i="51"/>
  <c r="L52" i="51" s="1"/>
  <c r="N52" i="51" s="1"/>
  <c r="B52" i="51"/>
  <c r="T51" i="51"/>
  <c r="P51" i="51"/>
  <c r="X51" i="51" s="1"/>
  <c r="Z51" i="51" s="1"/>
  <c r="H51" i="51"/>
  <c r="D51" i="51"/>
  <c r="H49" i="51"/>
  <c r="Z47" i="51"/>
  <c r="X47" i="51"/>
  <c r="N47" i="51"/>
  <c r="L47" i="51"/>
  <c r="B47" i="51"/>
  <c r="Z46" i="51"/>
  <c r="X46" i="51"/>
  <c r="N46" i="51"/>
  <c r="L46" i="51"/>
  <c r="B46" i="51"/>
  <c r="Z45" i="51"/>
  <c r="X45" i="51"/>
  <c r="N45" i="51"/>
  <c r="L45" i="51"/>
  <c r="J45" i="51"/>
  <c r="B45" i="51"/>
  <c r="Z44" i="51"/>
  <c r="X44" i="51"/>
  <c r="N44" i="51"/>
  <c r="L44" i="51"/>
  <c r="J44" i="51"/>
  <c r="B44" i="51"/>
  <c r="Z43" i="51"/>
  <c r="X43" i="51"/>
  <c r="N43" i="51"/>
  <c r="L43" i="51"/>
  <c r="B43" i="51"/>
  <c r="Z42" i="51"/>
  <c r="X42" i="51"/>
  <c r="N42" i="51"/>
  <c r="L42" i="51"/>
  <c r="B42" i="51"/>
  <c r="Z41" i="51"/>
  <c r="X41" i="51"/>
  <c r="N41" i="51"/>
  <c r="L41" i="51"/>
  <c r="J41" i="51"/>
  <c r="B41" i="51"/>
  <c r="Z40" i="51"/>
  <c r="X40" i="51"/>
  <c r="N40" i="51"/>
  <c r="L40" i="51"/>
  <c r="J40" i="51"/>
  <c r="B40" i="51"/>
  <c r="Z39" i="51"/>
  <c r="X39" i="51"/>
  <c r="N39" i="51"/>
  <c r="L39" i="51"/>
  <c r="B39" i="51"/>
  <c r="Z38" i="51"/>
  <c r="X38" i="51"/>
  <c r="N38" i="51"/>
  <c r="L38" i="51"/>
  <c r="B38" i="51"/>
  <c r="Z37" i="51"/>
  <c r="X37" i="51"/>
  <c r="N37" i="51"/>
  <c r="L37" i="51"/>
  <c r="J37" i="51"/>
  <c r="B37" i="51"/>
  <c r="Z36" i="51"/>
  <c r="X36" i="51"/>
  <c r="N36" i="51"/>
  <c r="L36" i="51"/>
  <c r="J36" i="51"/>
  <c r="B36" i="51"/>
  <c r="Z35" i="51"/>
  <c r="X35" i="51"/>
  <c r="N35" i="51"/>
  <c r="L35" i="51"/>
  <c r="B35" i="51"/>
  <c r="X34" i="51"/>
  <c r="Z34" i="51" s="1"/>
  <c r="N34" i="51"/>
  <c r="L34" i="51"/>
  <c r="B34" i="51"/>
  <c r="T33" i="51"/>
  <c r="P33" i="51"/>
  <c r="N33" i="51"/>
  <c r="L33" i="51"/>
  <c r="H33" i="51"/>
  <c r="D33" i="51"/>
  <c r="Z31" i="51"/>
  <c r="X31" i="51"/>
  <c r="P31" i="51"/>
  <c r="N31" i="51"/>
  <c r="L31" i="51"/>
  <c r="D31" i="51"/>
  <c r="B31" i="51"/>
  <c r="Z30" i="51"/>
  <c r="X30" i="51"/>
  <c r="P30" i="51"/>
  <c r="N30" i="51"/>
  <c r="D30" i="51"/>
  <c r="L30" i="51" s="1"/>
  <c r="B30" i="51"/>
  <c r="Z29" i="51"/>
  <c r="P29" i="51"/>
  <c r="X29" i="51" s="1"/>
  <c r="N29" i="51"/>
  <c r="L29" i="51"/>
  <c r="D29" i="51"/>
  <c r="B29" i="51"/>
  <c r="Z28" i="51"/>
  <c r="X28" i="51"/>
  <c r="P28" i="51"/>
  <c r="N28" i="51"/>
  <c r="L28" i="51"/>
  <c r="D28" i="51"/>
  <c r="B28" i="51"/>
  <c r="Z27" i="51"/>
  <c r="P27" i="51"/>
  <c r="X27" i="51" s="1"/>
  <c r="N27" i="51"/>
  <c r="L27" i="51"/>
  <c r="D27" i="51"/>
  <c r="B27" i="51"/>
  <c r="Z26" i="51"/>
  <c r="P26" i="51"/>
  <c r="X26" i="51" s="1"/>
  <c r="N26" i="51"/>
  <c r="L26" i="51"/>
  <c r="D26" i="51"/>
  <c r="B26" i="51"/>
  <c r="Z25" i="51"/>
  <c r="X25" i="51"/>
  <c r="P25" i="51"/>
  <c r="N25" i="51"/>
  <c r="L25" i="51"/>
  <c r="D25" i="51"/>
  <c r="B25" i="51"/>
  <c r="Z24" i="51"/>
  <c r="P24" i="51"/>
  <c r="X24" i="51" s="1"/>
  <c r="N24" i="51"/>
  <c r="D24" i="51"/>
  <c r="L24" i="51" s="1"/>
  <c r="B24" i="51"/>
  <c r="Z23" i="51"/>
  <c r="P23" i="51"/>
  <c r="X23" i="51" s="1"/>
  <c r="N23" i="51"/>
  <c r="D23" i="51"/>
  <c r="L23" i="51" s="1"/>
  <c r="B23" i="51"/>
  <c r="Z22" i="51"/>
  <c r="X22" i="51"/>
  <c r="P22" i="51"/>
  <c r="N22" i="51"/>
  <c r="L22" i="51"/>
  <c r="D22" i="51"/>
  <c r="B22" i="51"/>
  <c r="Z21" i="51"/>
  <c r="P21" i="51"/>
  <c r="X21" i="51" s="1"/>
  <c r="N21" i="51"/>
  <c r="D21" i="51"/>
  <c r="L21" i="51" s="1"/>
  <c r="B21" i="51"/>
  <c r="Z20" i="51"/>
  <c r="X20" i="51"/>
  <c r="P20" i="51"/>
  <c r="N20" i="51"/>
  <c r="D20" i="51"/>
  <c r="L20" i="51" s="1"/>
  <c r="B20" i="51"/>
  <c r="X19" i="51"/>
  <c r="Z19" i="51" s="1"/>
  <c r="P19" i="51"/>
  <c r="L19" i="51"/>
  <c r="N19" i="51" s="1"/>
  <c r="D19" i="51"/>
  <c r="B19" i="51"/>
  <c r="Z18" i="51"/>
  <c r="X18" i="51"/>
  <c r="P18" i="51"/>
  <c r="N18" i="51"/>
  <c r="D18" i="51"/>
  <c r="L18" i="51" s="1"/>
  <c r="B18" i="51"/>
  <c r="Z17" i="51"/>
  <c r="X17" i="51"/>
  <c r="P17" i="51"/>
  <c r="N17" i="51"/>
  <c r="L17" i="51"/>
  <c r="D17" i="51"/>
  <c r="B17" i="51"/>
  <c r="Z16" i="51"/>
  <c r="X16" i="51"/>
  <c r="P16" i="51"/>
  <c r="N16" i="51"/>
  <c r="L16" i="51"/>
  <c r="D16" i="51"/>
  <c r="B16" i="51"/>
  <c r="Z15" i="51"/>
  <c r="P15" i="51"/>
  <c r="N15" i="51"/>
  <c r="L15" i="51"/>
  <c r="D15" i="51"/>
  <c r="B15" i="51"/>
  <c r="Z14" i="51"/>
  <c r="P14" i="51"/>
  <c r="X14" i="51" s="1"/>
  <c r="N14" i="51"/>
  <c r="D14" i="51"/>
  <c r="B14" i="51"/>
  <c r="Z13" i="51"/>
  <c r="X13" i="51"/>
  <c r="P13" i="51"/>
  <c r="L13" i="51"/>
  <c r="N13" i="51" s="1"/>
  <c r="D13" i="51"/>
  <c r="B13" i="51"/>
  <c r="T12" i="51"/>
  <c r="V110" i="51" s="1"/>
  <c r="H12" i="51"/>
  <c r="J110" i="51" s="1"/>
  <c r="D4" i="51"/>
  <c r="X77" i="48"/>
  <c r="Z77" i="48" s="1"/>
  <c r="N77" i="48"/>
  <c r="L77" i="48"/>
  <c r="J77" i="48"/>
  <c r="P73" i="48"/>
  <c r="X73" i="48" s="1"/>
  <c r="Z73" i="48" s="1"/>
  <c r="N73" i="48"/>
  <c r="L73" i="48"/>
  <c r="J73" i="48"/>
  <c r="D73" i="48"/>
  <c r="B73" i="48"/>
  <c r="X72" i="48"/>
  <c r="T72" i="48"/>
  <c r="Z72" i="48" s="1"/>
  <c r="P72" i="48"/>
  <c r="H72" i="48"/>
  <c r="D72" i="48"/>
  <c r="L72" i="48" s="1"/>
  <c r="X70" i="48"/>
  <c r="Z70" i="48" s="1"/>
  <c r="N70" i="48"/>
  <c r="L70" i="48"/>
  <c r="B70" i="48"/>
  <c r="Z69" i="48"/>
  <c r="T69" i="48"/>
  <c r="P69" i="48"/>
  <c r="X69" i="48" s="1"/>
  <c r="N69" i="48"/>
  <c r="H69" i="48"/>
  <c r="D69" i="48"/>
  <c r="L69" i="48" s="1"/>
  <c r="B69" i="48"/>
  <c r="X68" i="48"/>
  <c r="Z68" i="48" s="1"/>
  <c r="L68" i="48"/>
  <c r="N68" i="48" s="1"/>
  <c r="B68" i="48"/>
  <c r="X67" i="48"/>
  <c r="Z67" i="48" s="1"/>
  <c r="T67" i="48"/>
  <c r="P67" i="48"/>
  <c r="J67" i="48"/>
  <c r="H67" i="48"/>
  <c r="D67" i="48"/>
  <c r="L67" i="48" s="1"/>
  <c r="N67" i="48" s="1"/>
  <c r="B67" i="48"/>
  <c r="Z66" i="48"/>
  <c r="X66" i="48"/>
  <c r="N66" i="48"/>
  <c r="L66" i="48"/>
  <c r="B66" i="48"/>
  <c r="X65" i="48"/>
  <c r="Z65" i="48" s="1"/>
  <c r="N65" i="48"/>
  <c r="L65" i="48"/>
  <c r="J65" i="48"/>
  <c r="B65" i="48"/>
  <c r="X64" i="48"/>
  <c r="T64" i="48"/>
  <c r="P64" i="48"/>
  <c r="H64" i="48"/>
  <c r="D64" i="48"/>
  <c r="L64" i="48" s="1"/>
  <c r="N64" i="48" s="1"/>
  <c r="B64" i="48"/>
  <c r="Z63" i="48"/>
  <c r="X63" i="48"/>
  <c r="N63" i="48"/>
  <c r="L63" i="48"/>
  <c r="J63" i="48"/>
  <c r="B63" i="48"/>
  <c r="T62" i="48"/>
  <c r="P62" i="48"/>
  <c r="H62" i="48"/>
  <c r="N62" i="48" s="1"/>
  <c r="D62" i="48"/>
  <c r="L62" i="48" s="1"/>
  <c r="B62" i="48"/>
  <c r="Z61" i="48"/>
  <c r="X61" i="48"/>
  <c r="N61" i="48"/>
  <c r="L61" i="48"/>
  <c r="B61" i="48"/>
  <c r="Z60" i="48"/>
  <c r="X60" i="48"/>
  <c r="N60" i="48"/>
  <c r="L60" i="48"/>
  <c r="B60" i="48"/>
  <c r="X59" i="48"/>
  <c r="Z59" i="48" s="1"/>
  <c r="N59" i="48"/>
  <c r="L59" i="48"/>
  <c r="J59" i="48"/>
  <c r="B59" i="48"/>
  <c r="Z58" i="48"/>
  <c r="X58" i="48"/>
  <c r="N58" i="48"/>
  <c r="L58" i="48"/>
  <c r="F58" i="48"/>
  <c r="B58" i="48"/>
  <c r="T57" i="48"/>
  <c r="P57" i="48"/>
  <c r="X57" i="48" s="1"/>
  <c r="Z57" i="48" s="1"/>
  <c r="L57" i="48"/>
  <c r="N57" i="48" s="1"/>
  <c r="J57" i="48"/>
  <c r="H57" i="48"/>
  <c r="D57" i="48"/>
  <c r="B57" i="48"/>
  <c r="X56" i="48"/>
  <c r="Z56" i="48" s="1"/>
  <c r="N56" i="48"/>
  <c r="L56" i="48"/>
  <c r="J56" i="48"/>
  <c r="F56" i="48"/>
  <c r="B56" i="48"/>
  <c r="Z55" i="48"/>
  <c r="X55" i="48"/>
  <c r="T55" i="48"/>
  <c r="P55" i="48"/>
  <c r="H55" i="48"/>
  <c r="D55" i="48"/>
  <c r="B55" i="48"/>
  <c r="X54" i="48"/>
  <c r="Z54" i="48" s="1"/>
  <c r="N54" i="48"/>
  <c r="L54" i="48"/>
  <c r="B54" i="48"/>
  <c r="T53" i="48"/>
  <c r="X53" i="48" s="1"/>
  <c r="Z53" i="48" s="1"/>
  <c r="P53" i="48"/>
  <c r="H53" i="48"/>
  <c r="D53" i="48"/>
  <c r="L53" i="48" s="1"/>
  <c r="N53" i="48" s="1"/>
  <c r="B53" i="48"/>
  <c r="X52" i="48"/>
  <c r="Z52" i="48" s="1"/>
  <c r="L52" i="48"/>
  <c r="N52" i="48" s="1"/>
  <c r="B52" i="48"/>
  <c r="X51" i="48"/>
  <c r="T51" i="48"/>
  <c r="Z51" i="48" s="1"/>
  <c r="P51" i="48"/>
  <c r="N51" i="48"/>
  <c r="J51" i="48"/>
  <c r="H51" i="48"/>
  <c r="D51" i="48"/>
  <c r="L51" i="48" s="1"/>
  <c r="B51" i="48"/>
  <c r="Z50" i="48"/>
  <c r="X50" i="48"/>
  <c r="L50" i="48"/>
  <c r="N50" i="48" s="1"/>
  <c r="F50" i="48"/>
  <c r="B50" i="48"/>
  <c r="Z49" i="48"/>
  <c r="X49" i="48"/>
  <c r="N49" i="48"/>
  <c r="L49" i="48"/>
  <c r="J49" i="48"/>
  <c r="B49" i="48"/>
  <c r="X48" i="48"/>
  <c r="T48" i="48"/>
  <c r="Z48" i="48" s="1"/>
  <c r="P48" i="48"/>
  <c r="H48" i="48"/>
  <c r="D48" i="48"/>
  <c r="L48" i="48" s="1"/>
  <c r="N48" i="48" s="1"/>
  <c r="B48" i="48"/>
  <c r="Z47" i="48"/>
  <c r="X47" i="48"/>
  <c r="L47" i="48"/>
  <c r="N47" i="48" s="1"/>
  <c r="J47" i="48"/>
  <c r="B47" i="48"/>
  <c r="T46" i="48"/>
  <c r="P46" i="48"/>
  <c r="H46" i="48"/>
  <c r="D46" i="48"/>
  <c r="B46" i="48"/>
  <c r="Z45" i="48"/>
  <c r="X45" i="48"/>
  <c r="L45" i="48"/>
  <c r="N45" i="48" s="1"/>
  <c r="B45" i="48"/>
  <c r="T44" i="48"/>
  <c r="P44" i="48"/>
  <c r="H44" i="48"/>
  <c r="D44" i="48"/>
  <c r="L44" i="48" s="1"/>
  <c r="N44" i="48" s="1"/>
  <c r="B44" i="48"/>
  <c r="Z43" i="48"/>
  <c r="X43" i="48"/>
  <c r="N43" i="48"/>
  <c r="L43" i="48"/>
  <c r="B43" i="48"/>
  <c r="T42" i="48"/>
  <c r="P42" i="48"/>
  <c r="X42" i="48" s="1"/>
  <c r="Z42" i="48" s="1"/>
  <c r="L42" i="48"/>
  <c r="H42" i="48"/>
  <c r="D42" i="48"/>
  <c r="B42" i="48"/>
  <c r="Z41" i="48"/>
  <c r="X41" i="48"/>
  <c r="N41" i="48"/>
  <c r="L41" i="48"/>
  <c r="J41" i="48"/>
  <c r="B41" i="48"/>
  <c r="Z40" i="48"/>
  <c r="X40" i="48"/>
  <c r="V40" i="48"/>
  <c r="N40" i="48"/>
  <c r="L40" i="48"/>
  <c r="B40" i="48"/>
  <c r="Z39" i="48"/>
  <c r="X39" i="48"/>
  <c r="L39" i="48"/>
  <c r="N39" i="48" s="1"/>
  <c r="J39" i="48"/>
  <c r="B39" i="48"/>
  <c r="X38" i="48"/>
  <c r="Z38" i="48" s="1"/>
  <c r="N38" i="48"/>
  <c r="L38" i="48"/>
  <c r="B38" i="48"/>
  <c r="Z37" i="48"/>
  <c r="X37" i="48"/>
  <c r="N37" i="48"/>
  <c r="L37" i="48"/>
  <c r="J37" i="48"/>
  <c r="B37" i="48"/>
  <c r="Z36" i="48"/>
  <c r="X36" i="48"/>
  <c r="N36" i="48"/>
  <c r="L36" i="48"/>
  <c r="B36" i="48"/>
  <c r="Z35" i="48"/>
  <c r="X35" i="48"/>
  <c r="L35" i="48"/>
  <c r="N35" i="48" s="1"/>
  <c r="J35" i="48"/>
  <c r="B35" i="48"/>
  <c r="Z34" i="48"/>
  <c r="X34" i="48"/>
  <c r="N34" i="48"/>
  <c r="L34" i="48"/>
  <c r="B34" i="48"/>
  <c r="Z33" i="48"/>
  <c r="X33" i="48"/>
  <c r="N33" i="48"/>
  <c r="L33" i="48"/>
  <c r="J33" i="48"/>
  <c r="B33" i="48"/>
  <c r="Z32" i="48"/>
  <c r="X32" i="48"/>
  <c r="L32" i="48"/>
  <c r="N32" i="48" s="1"/>
  <c r="F32" i="48"/>
  <c r="B32" i="48"/>
  <c r="T31" i="48"/>
  <c r="P31" i="48"/>
  <c r="X31" i="48" s="1"/>
  <c r="Z31" i="48" s="1"/>
  <c r="N31" i="48"/>
  <c r="J31" i="48"/>
  <c r="H31" i="48"/>
  <c r="F31" i="48"/>
  <c r="D31" i="48"/>
  <c r="L31" i="48" s="1"/>
  <c r="B31" i="48"/>
  <c r="X30" i="48"/>
  <c r="Z30" i="48" s="1"/>
  <c r="L30" i="48"/>
  <c r="N30" i="48" s="1"/>
  <c r="B30" i="48"/>
  <c r="Z29" i="48"/>
  <c r="X29" i="48"/>
  <c r="V29" i="48"/>
  <c r="L29" i="48"/>
  <c r="N29" i="48" s="1"/>
  <c r="F29" i="48"/>
  <c r="B29" i="48"/>
  <c r="X28" i="48"/>
  <c r="Z28" i="48" s="1"/>
  <c r="L28" i="48"/>
  <c r="N28" i="48" s="1"/>
  <c r="B28" i="48"/>
  <c r="Z27" i="48"/>
  <c r="X27" i="48"/>
  <c r="N27" i="48"/>
  <c r="L27" i="48"/>
  <c r="J27" i="48"/>
  <c r="B27" i="48"/>
  <c r="Z26" i="48"/>
  <c r="X26" i="48"/>
  <c r="N26" i="48"/>
  <c r="L26" i="48"/>
  <c r="F26" i="48"/>
  <c r="B26" i="48"/>
  <c r="Z25" i="48"/>
  <c r="X25" i="48"/>
  <c r="V25" i="48"/>
  <c r="L25" i="48"/>
  <c r="N25" i="48" s="1"/>
  <c r="B25" i="48"/>
  <c r="X24" i="48"/>
  <c r="Z24" i="48" s="1"/>
  <c r="L24" i="48"/>
  <c r="N24" i="48" s="1"/>
  <c r="B24" i="48"/>
  <c r="X23" i="48"/>
  <c r="Z23" i="48" s="1"/>
  <c r="N23" i="48"/>
  <c r="L23" i="48"/>
  <c r="J23" i="48"/>
  <c r="B23" i="48"/>
  <c r="X22" i="48"/>
  <c r="Z22" i="48" s="1"/>
  <c r="N22" i="48"/>
  <c r="L22" i="48"/>
  <c r="B22" i="48"/>
  <c r="Z21" i="48"/>
  <c r="X21" i="48"/>
  <c r="L21" i="48"/>
  <c r="N21" i="48" s="1"/>
  <c r="B21" i="48"/>
  <c r="T20" i="48"/>
  <c r="P20" i="48"/>
  <c r="X20" i="48" s="1"/>
  <c r="H20" i="48"/>
  <c r="D20" i="48"/>
  <c r="L20" i="48" s="1"/>
  <c r="N20" i="48" s="1"/>
  <c r="B20" i="48"/>
  <c r="T19" i="48"/>
  <c r="P19" i="48"/>
  <c r="X19" i="48" s="1"/>
  <c r="H19" i="48"/>
  <c r="D19" i="48"/>
  <c r="F19" i="48" s="1"/>
  <c r="H17" i="48"/>
  <c r="Z15" i="48"/>
  <c r="X15" i="48"/>
  <c r="V15" i="48"/>
  <c r="T15" i="48"/>
  <c r="P15" i="48"/>
  <c r="H15" i="48"/>
  <c r="D15" i="48"/>
  <c r="P13" i="48"/>
  <c r="X13" i="48" s="1"/>
  <c r="Z13" i="48" s="1"/>
  <c r="L13" i="48"/>
  <c r="N13" i="48" s="1"/>
  <c r="D13" i="48"/>
  <c r="B13" i="48"/>
  <c r="T12" i="48"/>
  <c r="P12" i="48"/>
  <c r="H12" i="48"/>
  <c r="J40" i="48" s="1"/>
  <c r="D12" i="48"/>
  <c r="D4" i="48"/>
  <c r="X104" i="45"/>
  <c r="Z104" i="45" s="1"/>
  <c r="N104" i="45"/>
  <c r="L104" i="45"/>
  <c r="T100" i="45"/>
  <c r="Z100" i="45" s="1"/>
  <c r="P100" i="45"/>
  <c r="H100" i="45"/>
  <c r="D100" i="45"/>
  <c r="Z98" i="45"/>
  <c r="X98" i="45"/>
  <c r="N98" i="45"/>
  <c r="L98" i="45"/>
  <c r="B98" i="45"/>
  <c r="X97" i="45"/>
  <c r="Z97" i="45" s="1"/>
  <c r="N97" i="45"/>
  <c r="L97" i="45"/>
  <c r="B97" i="45"/>
  <c r="Z96" i="45"/>
  <c r="T96" i="45"/>
  <c r="R96" i="45"/>
  <c r="P96" i="45"/>
  <c r="X96" i="45" s="1"/>
  <c r="L96" i="45"/>
  <c r="N96" i="45" s="1"/>
  <c r="H96" i="45"/>
  <c r="D96" i="45"/>
  <c r="B96" i="45"/>
  <c r="X95" i="45"/>
  <c r="Z95" i="45" s="1"/>
  <c r="N95" i="45"/>
  <c r="L95" i="45"/>
  <c r="J95" i="45"/>
  <c r="B95" i="45"/>
  <c r="X94" i="45"/>
  <c r="Z94" i="45" s="1"/>
  <c r="T94" i="45"/>
  <c r="P94" i="45"/>
  <c r="H94" i="45"/>
  <c r="D94" i="45"/>
  <c r="B94" i="45"/>
  <c r="X93" i="45"/>
  <c r="Z93" i="45" s="1"/>
  <c r="L93" i="45"/>
  <c r="N93" i="45" s="1"/>
  <c r="J93" i="45"/>
  <c r="B93" i="45"/>
  <c r="Z92" i="45"/>
  <c r="X92" i="45"/>
  <c r="N92" i="45"/>
  <c r="L92" i="45"/>
  <c r="B92" i="45"/>
  <c r="Z91" i="45"/>
  <c r="T91" i="45"/>
  <c r="P91" i="45"/>
  <c r="X91" i="45" s="1"/>
  <c r="H91" i="45"/>
  <c r="D91" i="45"/>
  <c r="L91" i="45" s="1"/>
  <c r="N91" i="45" s="1"/>
  <c r="B91" i="45"/>
  <c r="X90" i="45"/>
  <c r="Z90" i="45" s="1"/>
  <c r="L90" i="45"/>
  <c r="N90" i="45" s="1"/>
  <c r="J90" i="45"/>
  <c r="B90" i="45"/>
  <c r="X89" i="45"/>
  <c r="Z89" i="45" s="1"/>
  <c r="N89" i="45"/>
  <c r="L89" i="45"/>
  <c r="B89" i="45"/>
  <c r="Z88" i="45"/>
  <c r="X88" i="45"/>
  <c r="L88" i="45"/>
  <c r="N88" i="45" s="1"/>
  <c r="B88" i="45"/>
  <c r="X87" i="45"/>
  <c r="Z87" i="45" s="1"/>
  <c r="L87" i="45"/>
  <c r="N87" i="45" s="1"/>
  <c r="B87" i="45"/>
  <c r="X86" i="45"/>
  <c r="Z86" i="45" s="1"/>
  <c r="L86" i="45"/>
  <c r="N86" i="45" s="1"/>
  <c r="J86" i="45"/>
  <c r="B86" i="45"/>
  <c r="X85" i="45"/>
  <c r="Z85" i="45" s="1"/>
  <c r="N85" i="45"/>
  <c r="L85" i="45"/>
  <c r="B85" i="45"/>
  <c r="Z84" i="45"/>
  <c r="X84" i="45"/>
  <c r="N84" i="45"/>
  <c r="L84" i="45"/>
  <c r="B84" i="45"/>
  <c r="X83" i="45"/>
  <c r="Z83" i="45" s="1"/>
  <c r="R83" i="45"/>
  <c r="L83" i="45"/>
  <c r="N83" i="45" s="1"/>
  <c r="B83" i="45"/>
  <c r="X82" i="45"/>
  <c r="Z82" i="45" s="1"/>
  <c r="L82" i="45"/>
  <c r="N82" i="45" s="1"/>
  <c r="J82" i="45"/>
  <c r="B82" i="45"/>
  <c r="X81" i="45"/>
  <c r="Z81" i="45" s="1"/>
  <c r="N81" i="45"/>
  <c r="L81" i="45"/>
  <c r="B81" i="45"/>
  <c r="T80" i="45"/>
  <c r="P80" i="45"/>
  <c r="X80" i="45" s="1"/>
  <c r="Z80" i="45" s="1"/>
  <c r="L80" i="45"/>
  <c r="N80" i="45" s="1"/>
  <c r="H80" i="45"/>
  <c r="D80" i="45"/>
  <c r="B80" i="45"/>
  <c r="Z79" i="45"/>
  <c r="X79" i="45"/>
  <c r="N79" i="45"/>
  <c r="L79" i="45"/>
  <c r="J79" i="45"/>
  <c r="B79" i="45"/>
  <c r="Z78" i="45"/>
  <c r="X78" i="45"/>
  <c r="T78" i="45"/>
  <c r="P78" i="45"/>
  <c r="L78" i="45"/>
  <c r="H78" i="45"/>
  <c r="N78" i="45" s="1"/>
  <c r="D78" i="45"/>
  <c r="B78" i="45"/>
  <c r="X77" i="45"/>
  <c r="Z77" i="45" s="1"/>
  <c r="L77" i="45"/>
  <c r="N77" i="45" s="1"/>
  <c r="J77" i="45"/>
  <c r="B77" i="45"/>
  <c r="Z76" i="45"/>
  <c r="X76" i="45"/>
  <c r="N76" i="45"/>
  <c r="L76" i="45"/>
  <c r="B76" i="45"/>
  <c r="Z75" i="45"/>
  <c r="X75" i="45"/>
  <c r="L75" i="45"/>
  <c r="N75" i="45" s="1"/>
  <c r="J75" i="45"/>
  <c r="F75" i="45"/>
  <c r="B75" i="45"/>
  <c r="Z74" i="45"/>
  <c r="X74" i="45"/>
  <c r="L74" i="45"/>
  <c r="N74" i="45" s="1"/>
  <c r="B74" i="45"/>
  <c r="X73" i="45"/>
  <c r="Z73" i="45" s="1"/>
  <c r="T73" i="45"/>
  <c r="P73" i="45"/>
  <c r="N73" i="45"/>
  <c r="J73" i="45"/>
  <c r="H73" i="45"/>
  <c r="D73" i="45"/>
  <c r="L73" i="45" s="1"/>
  <c r="B73" i="45"/>
  <c r="Z72" i="45"/>
  <c r="X72" i="45"/>
  <c r="N72" i="45"/>
  <c r="L72" i="45"/>
  <c r="F72" i="45"/>
  <c r="B72" i="45"/>
  <c r="X71" i="45"/>
  <c r="Z71" i="45" s="1"/>
  <c r="L71" i="45"/>
  <c r="N71" i="45" s="1"/>
  <c r="F71" i="45"/>
  <c r="B71" i="45"/>
  <c r="X70" i="45"/>
  <c r="Z70" i="45" s="1"/>
  <c r="N70" i="45"/>
  <c r="L70" i="45"/>
  <c r="J70" i="45"/>
  <c r="B70" i="45"/>
  <c r="X69" i="45"/>
  <c r="Z69" i="45" s="1"/>
  <c r="N69" i="45"/>
  <c r="L69" i="45"/>
  <c r="B69" i="45"/>
  <c r="Z68" i="45"/>
  <c r="T68" i="45"/>
  <c r="P68" i="45"/>
  <c r="X68" i="45" s="1"/>
  <c r="L68" i="45"/>
  <c r="N68" i="45" s="1"/>
  <c r="H68" i="45"/>
  <c r="D68" i="45"/>
  <c r="B68" i="45"/>
  <c r="X67" i="45"/>
  <c r="Z67" i="45" s="1"/>
  <c r="N67" i="45"/>
  <c r="L67" i="45"/>
  <c r="J67" i="45"/>
  <c r="B67" i="45"/>
  <c r="X66" i="45"/>
  <c r="Z66" i="45" s="1"/>
  <c r="T66" i="45"/>
  <c r="P66" i="45"/>
  <c r="L66" i="45"/>
  <c r="N66" i="45" s="1"/>
  <c r="H66" i="45"/>
  <c r="D66" i="45"/>
  <c r="B66" i="45"/>
  <c r="X65" i="45"/>
  <c r="Z65" i="45" s="1"/>
  <c r="L65" i="45"/>
  <c r="N65" i="45" s="1"/>
  <c r="J65" i="45"/>
  <c r="B65" i="45"/>
  <c r="T64" i="45"/>
  <c r="P64" i="45"/>
  <c r="X64" i="45" s="1"/>
  <c r="H64" i="45"/>
  <c r="D64" i="45"/>
  <c r="B64" i="45"/>
  <c r="X63" i="45"/>
  <c r="Z63" i="45" s="1"/>
  <c r="L63" i="45"/>
  <c r="N63" i="45" s="1"/>
  <c r="B63" i="45"/>
  <c r="X62" i="45"/>
  <c r="Z62" i="45" s="1"/>
  <c r="T62" i="45"/>
  <c r="P62" i="45"/>
  <c r="H62" i="45"/>
  <c r="D62" i="45"/>
  <c r="L62" i="45" s="1"/>
  <c r="N62" i="45" s="1"/>
  <c r="B62" i="45"/>
  <c r="Z61" i="45"/>
  <c r="X61" i="45"/>
  <c r="L61" i="45"/>
  <c r="N61" i="45" s="1"/>
  <c r="B61" i="45"/>
  <c r="T60" i="45"/>
  <c r="P60" i="45"/>
  <c r="L60" i="45"/>
  <c r="N60" i="45" s="1"/>
  <c r="J60" i="45"/>
  <c r="H60" i="45"/>
  <c r="D60" i="45"/>
  <c r="B60" i="45"/>
  <c r="Z59" i="45"/>
  <c r="X59" i="45"/>
  <c r="L59" i="45"/>
  <c r="N59" i="45" s="1"/>
  <c r="J59" i="45"/>
  <c r="F59" i="45"/>
  <c r="B59" i="45"/>
  <c r="V58" i="45"/>
  <c r="T58" i="45"/>
  <c r="P58" i="45"/>
  <c r="X58" i="45" s="1"/>
  <c r="H58" i="45"/>
  <c r="F58" i="45"/>
  <c r="D58" i="45"/>
  <c r="L58" i="45" s="1"/>
  <c r="B58" i="45"/>
  <c r="X57" i="45"/>
  <c r="Z57" i="45" s="1"/>
  <c r="N57" i="45"/>
  <c r="L57" i="45"/>
  <c r="B57" i="45"/>
  <c r="Z56" i="45"/>
  <c r="T56" i="45"/>
  <c r="P56" i="45"/>
  <c r="X56" i="45" s="1"/>
  <c r="L56" i="45"/>
  <c r="N56" i="45" s="1"/>
  <c r="H56" i="45"/>
  <c r="D56" i="45"/>
  <c r="B56" i="45"/>
  <c r="X55" i="45"/>
  <c r="Z55" i="45" s="1"/>
  <c r="N55" i="45"/>
  <c r="L55" i="45"/>
  <c r="J55" i="45"/>
  <c r="B55" i="45"/>
  <c r="X54" i="45"/>
  <c r="Z54" i="45" s="1"/>
  <c r="T54" i="45"/>
  <c r="P54" i="45"/>
  <c r="L54" i="45"/>
  <c r="H54" i="45"/>
  <c r="N54" i="45" s="1"/>
  <c r="D54" i="45"/>
  <c r="B54" i="45"/>
  <c r="X53" i="45"/>
  <c r="Z53" i="45" s="1"/>
  <c r="L53" i="45"/>
  <c r="N53" i="45" s="1"/>
  <c r="J53" i="45"/>
  <c r="B53" i="45"/>
  <c r="T52" i="45"/>
  <c r="P52" i="45"/>
  <c r="X52" i="45" s="1"/>
  <c r="H52" i="45"/>
  <c r="D52" i="45"/>
  <c r="B52" i="45"/>
  <c r="X51" i="45"/>
  <c r="Z51" i="45" s="1"/>
  <c r="L51" i="45"/>
  <c r="N51" i="45" s="1"/>
  <c r="B51" i="45"/>
  <c r="X50" i="45"/>
  <c r="T50" i="45"/>
  <c r="Z50" i="45" s="1"/>
  <c r="P50" i="45"/>
  <c r="N50" i="45"/>
  <c r="H50" i="45"/>
  <c r="F50" i="45"/>
  <c r="D50" i="45"/>
  <c r="L50" i="45" s="1"/>
  <c r="B50" i="45"/>
  <c r="Z49" i="45"/>
  <c r="X49" i="45"/>
  <c r="L49" i="45"/>
  <c r="N49" i="45" s="1"/>
  <c r="B49" i="45"/>
  <c r="X48" i="45"/>
  <c r="T48" i="45"/>
  <c r="Z48" i="45" s="1"/>
  <c r="P48" i="45"/>
  <c r="L48" i="45"/>
  <c r="N48" i="45" s="1"/>
  <c r="J48" i="45"/>
  <c r="H48" i="45"/>
  <c r="D48" i="45"/>
  <c r="B48" i="45"/>
  <c r="Z47" i="45"/>
  <c r="X47" i="45"/>
  <c r="N47" i="45"/>
  <c r="L47" i="45"/>
  <c r="J47" i="45"/>
  <c r="B47" i="45"/>
  <c r="Z46" i="45"/>
  <c r="X46" i="45"/>
  <c r="V46" i="45"/>
  <c r="N46" i="45"/>
  <c r="L46" i="45"/>
  <c r="B46" i="45"/>
  <c r="X45" i="45"/>
  <c r="Z45" i="45" s="1"/>
  <c r="L45" i="45"/>
  <c r="N45" i="45" s="1"/>
  <c r="J45" i="45"/>
  <c r="B45" i="45"/>
  <c r="Z44" i="45"/>
  <c r="X44" i="45"/>
  <c r="N44" i="45"/>
  <c r="L44" i="45"/>
  <c r="B44" i="45"/>
  <c r="Z43" i="45"/>
  <c r="X43" i="45"/>
  <c r="N43" i="45"/>
  <c r="L43" i="45"/>
  <c r="J43" i="45"/>
  <c r="B43" i="45"/>
  <c r="Z42" i="45"/>
  <c r="X42" i="45"/>
  <c r="V42" i="45"/>
  <c r="L42" i="45"/>
  <c r="N42" i="45" s="1"/>
  <c r="B42" i="45"/>
  <c r="X41" i="45"/>
  <c r="Z41" i="45" s="1"/>
  <c r="L41" i="45"/>
  <c r="N41" i="45" s="1"/>
  <c r="J41" i="45"/>
  <c r="B41" i="45"/>
  <c r="Z40" i="45"/>
  <c r="X40" i="45"/>
  <c r="N40" i="45"/>
  <c r="L40" i="45"/>
  <c r="B40" i="45"/>
  <c r="Z39" i="45"/>
  <c r="X39" i="45"/>
  <c r="L39" i="45"/>
  <c r="N39" i="45" s="1"/>
  <c r="J39" i="45"/>
  <c r="F39" i="45"/>
  <c r="B39" i="45"/>
  <c r="Z38" i="45"/>
  <c r="X38" i="45"/>
  <c r="N38" i="45"/>
  <c r="L38" i="45"/>
  <c r="B38" i="45"/>
  <c r="T37" i="45"/>
  <c r="P37" i="45"/>
  <c r="X37" i="45" s="1"/>
  <c r="Z37" i="45" s="1"/>
  <c r="N37" i="45"/>
  <c r="J37" i="45"/>
  <c r="H37" i="45"/>
  <c r="D37" i="45"/>
  <c r="L37" i="45" s="1"/>
  <c r="B37" i="45"/>
  <c r="Z36" i="45"/>
  <c r="X36" i="45"/>
  <c r="L36" i="45"/>
  <c r="N36" i="45" s="1"/>
  <c r="B36" i="45"/>
  <c r="X35" i="45"/>
  <c r="Z35" i="45" s="1"/>
  <c r="L35" i="45"/>
  <c r="N35" i="45" s="1"/>
  <c r="B35" i="45"/>
  <c r="X34" i="45"/>
  <c r="Z34" i="45" s="1"/>
  <c r="L34" i="45"/>
  <c r="N34" i="45" s="1"/>
  <c r="J34" i="45"/>
  <c r="B34" i="45"/>
  <c r="Z33" i="45"/>
  <c r="X33" i="45"/>
  <c r="N33" i="45"/>
  <c r="L33" i="45"/>
  <c r="B33" i="45"/>
  <c r="Z32" i="45"/>
  <c r="X32" i="45"/>
  <c r="N32" i="45"/>
  <c r="L32" i="45"/>
  <c r="F32" i="45"/>
  <c r="B32" i="45"/>
  <c r="X31" i="45"/>
  <c r="Z31" i="45" s="1"/>
  <c r="L31" i="45"/>
  <c r="N31" i="45" s="1"/>
  <c r="F31" i="45"/>
  <c r="B31" i="45"/>
  <c r="X30" i="45"/>
  <c r="Z30" i="45" s="1"/>
  <c r="L30" i="45"/>
  <c r="N30" i="45" s="1"/>
  <c r="J30" i="45"/>
  <c r="B30" i="45"/>
  <c r="X29" i="45"/>
  <c r="Z29" i="45" s="1"/>
  <c r="N29" i="45"/>
  <c r="L29" i="45"/>
  <c r="B29" i="45"/>
  <c r="Z28" i="45"/>
  <c r="X28" i="45"/>
  <c r="N28" i="45"/>
  <c r="L28" i="45"/>
  <c r="F28" i="45"/>
  <c r="B28" i="45"/>
  <c r="X27" i="45"/>
  <c r="Z27" i="45" s="1"/>
  <c r="V27" i="45"/>
  <c r="L27" i="45"/>
  <c r="N27" i="45" s="1"/>
  <c r="B27" i="45"/>
  <c r="T26" i="45"/>
  <c r="P26" i="45"/>
  <c r="X26" i="45" s="1"/>
  <c r="J26" i="45"/>
  <c r="H26" i="45"/>
  <c r="D26" i="45"/>
  <c r="L26" i="45" s="1"/>
  <c r="N26" i="45" s="1"/>
  <c r="B26" i="45"/>
  <c r="T25" i="45"/>
  <c r="P25" i="45"/>
  <c r="H25" i="45"/>
  <c r="D25" i="45"/>
  <c r="F25" i="45" s="1"/>
  <c r="H23" i="45"/>
  <c r="Z21" i="45"/>
  <c r="X21" i="45"/>
  <c r="N21" i="45"/>
  <c r="L21" i="45"/>
  <c r="B21" i="45"/>
  <c r="Z20" i="45"/>
  <c r="X20" i="45"/>
  <c r="N20" i="45"/>
  <c r="L20" i="45"/>
  <c r="J20" i="45"/>
  <c r="F20" i="45"/>
  <c r="B20" i="45"/>
  <c r="X19" i="45"/>
  <c r="Z19" i="45" s="1"/>
  <c r="N19" i="45"/>
  <c r="L19" i="45"/>
  <c r="J19" i="45"/>
  <c r="B19" i="45"/>
  <c r="X18" i="45"/>
  <c r="Z18" i="45" s="1"/>
  <c r="T18" i="45"/>
  <c r="P18" i="45"/>
  <c r="L18" i="45"/>
  <c r="N18" i="45" s="1"/>
  <c r="H18" i="45"/>
  <c r="D18" i="45"/>
  <c r="Z16" i="45"/>
  <c r="X16" i="45"/>
  <c r="P16" i="45"/>
  <c r="N16" i="45"/>
  <c r="L16" i="45"/>
  <c r="D16" i="45"/>
  <c r="B16" i="45"/>
  <c r="Z15" i="45"/>
  <c r="P15" i="45"/>
  <c r="X15" i="45" s="1"/>
  <c r="N15" i="45"/>
  <c r="D15" i="45"/>
  <c r="L15" i="45" s="1"/>
  <c r="B15" i="45"/>
  <c r="P14" i="45"/>
  <c r="X14" i="45" s="1"/>
  <c r="Z14" i="45" s="1"/>
  <c r="L14" i="45"/>
  <c r="N14" i="45" s="1"/>
  <c r="D14" i="45"/>
  <c r="B14" i="45"/>
  <c r="Z13" i="45"/>
  <c r="X13" i="45"/>
  <c r="P13" i="45"/>
  <c r="N13" i="45"/>
  <c r="L13" i="45"/>
  <c r="D13" i="45"/>
  <c r="D12" i="45" s="1"/>
  <c r="F83" i="45" s="1"/>
  <c r="B13" i="45"/>
  <c r="T12" i="45"/>
  <c r="V97" i="45" s="1"/>
  <c r="P12" i="45"/>
  <c r="R100" i="45" s="1"/>
  <c r="L12" i="45"/>
  <c r="N12" i="45" s="1"/>
  <c r="H12" i="45"/>
  <c r="J98" i="45" s="1"/>
  <c r="D4" i="45"/>
  <c r="X123" i="42"/>
  <c r="Z123" i="42" s="1"/>
  <c r="N123" i="42"/>
  <c r="L123" i="42"/>
  <c r="J123" i="42"/>
  <c r="Z119" i="42"/>
  <c r="X119" i="42"/>
  <c r="V119" i="42"/>
  <c r="P119" i="42"/>
  <c r="N119" i="42"/>
  <c r="J119" i="42"/>
  <c r="D119" i="42"/>
  <c r="L119" i="42" s="1"/>
  <c r="B119" i="42"/>
  <c r="P118" i="42"/>
  <c r="X118" i="42" s="1"/>
  <c r="Z118" i="42" s="1"/>
  <c r="D118" i="42"/>
  <c r="L118" i="42" s="1"/>
  <c r="N118" i="42" s="1"/>
  <c r="B118" i="42"/>
  <c r="P117" i="42"/>
  <c r="D117" i="42"/>
  <c r="L117" i="42" s="1"/>
  <c r="N117" i="42" s="1"/>
  <c r="B117" i="42"/>
  <c r="X116" i="42"/>
  <c r="Z116" i="42" s="1"/>
  <c r="P116" i="42"/>
  <c r="N116" i="42"/>
  <c r="L116" i="42"/>
  <c r="D116" i="42"/>
  <c r="B116" i="42"/>
  <c r="T115" i="42"/>
  <c r="H115" i="42"/>
  <c r="Z113" i="42"/>
  <c r="X113" i="42"/>
  <c r="L113" i="42"/>
  <c r="N113" i="42" s="1"/>
  <c r="B113" i="42"/>
  <c r="T112" i="42"/>
  <c r="P112" i="42"/>
  <c r="X112" i="42" s="1"/>
  <c r="H112" i="42"/>
  <c r="D112" i="42"/>
  <c r="L112" i="42" s="1"/>
  <c r="B112" i="42"/>
  <c r="Z111" i="42"/>
  <c r="X111" i="42"/>
  <c r="N111" i="42"/>
  <c r="L111" i="42"/>
  <c r="B111" i="42"/>
  <c r="Z110" i="42"/>
  <c r="X110" i="42"/>
  <c r="N110" i="42"/>
  <c r="L110" i="42"/>
  <c r="B110" i="42"/>
  <c r="Z109" i="42"/>
  <c r="X109" i="42"/>
  <c r="N109" i="42"/>
  <c r="L109" i="42"/>
  <c r="B109" i="42"/>
  <c r="Z108" i="42"/>
  <c r="T108" i="42"/>
  <c r="P108" i="42"/>
  <c r="X108" i="42" s="1"/>
  <c r="N108" i="42"/>
  <c r="H108" i="42"/>
  <c r="D108" i="42"/>
  <c r="L108" i="42" s="1"/>
  <c r="B108" i="42"/>
  <c r="Z107" i="42"/>
  <c r="X107" i="42"/>
  <c r="N107" i="42"/>
  <c r="L107" i="42"/>
  <c r="B107" i="42"/>
  <c r="Z106" i="42"/>
  <c r="X106" i="42"/>
  <c r="T106" i="42"/>
  <c r="P106" i="42"/>
  <c r="N106" i="42"/>
  <c r="L106" i="42"/>
  <c r="H106" i="42"/>
  <c r="D106" i="42"/>
  <c r="B106" i="42"/>
  <c r="Z105" i="42"/>
  <c r="X105" i="42"/>
  <c r="L105" i="42"/>
  <c r="N105" i="42" s="1"/>
  <c r="B105" i="42"/>
  <c r="Z104" i="42"/>
  <c r="X104" i="42"/>
  <c r="L104" i="42"/>
  <c r="N104" i="42" s="1"/>
  <c r="B104" i="42"/>
  <c r="X103" i="42"/>
  <c r="Z103" i="42" s="1"/>
  <c r="T103" i="42"/>
  <c r="P103" i="42"/>
  <c r="N103" i="42"/>
  <c r="H103" i="42"/>
  <c r="D103" i="42"/>
  <c r="L103" i="42" s="1"/>
  <c r="B103" i="42"/>
  <c r="Z102" i="42"/>
  <c r="X102" i="42"/>
  <c r="N102" i="42"/>
  <c r="L102" i="42"/>
  <c r="B102" i="42"/>
  <c r="X101" i="42"/>
  <c r="Z101" i="42" s="1"/>
  <c r="V101" i="42"/>
  <c r="N101" i="42"/>
  <c r="L101" i="42"/>
  <c r="B101" i="42"/>
  <c r="Z100" i="42"/>
  <c r="X100" i="42"/>
  <c r="N100" i="42"/>
  <c r="L100" i="42"/>
  <c r="B100" i="42"/>
  <c r="Z99" i="42"/>
  <c r="X99" i="42"/>
  <c r="V99" i="42"/>
  <c r="N99" i="42"/>
  <c r="L99" i="42"/>
  <c r="B99" i="42"/>
  <c r="Z98" i="42"/>
  <c r="X98" i="42"/>
  <c r="N98" i="42"/>
  <c r="L98" i="42"/>
  <c r="B98" i="42"/>
  <c r="X97" i="42"/>
  <c r="Z97" i="42" s="1"/>
  <c r="L97" i="42"/>
  <c r="N97" i="42" s="1"/>
  <c r="B97" i="42"/>
  <c r="X96" i="42"/>
  <c r="Z96" i="42" s="1"/>
  <c r="L96" i="42"/>
  <c r="N96" i="42" s="1"/>
  <c r="B96" i="42"/>
  <c r="X95" i="42"/>
  <c r="Z95" i="42" s="1"/>
  <c r="N95" i="42"/>
  <c r="L95" i="42"/>
  <c r="B95" i="42"/>
  <c r="Z94" i="42"/>
  <c r="X94" i="42"/>
  <c r="L94" i="42"/>
  <c r="N94" i="42" s="1"/>
  <c r="B94" i="42"/>
  <c r="Z93" i="42"/>
  <c r="X93" i="42"/>
  <c r="N93" i="42"/>
  <c r="L93" i="42"/>
  <c r="B93" i="42"/>
  <c r="X92" i="42"/>
  <c r="Z92" i="42" s="1"/>
  <c r="N92" i="42"/>
  <c r="L92" i="42"/>
  <c r="B92" i="42"/>
  <c r="X91" i="42"/>
  <c r="T91" i="42"/>
  <c r="Z91" i="42" s="1"/>
  <c r="P91" i="42"/>
  <c r="H91" i="42"/>
  <c r="D91" i="42"/>
  <c r="L91" i="42" s="1"/>
  <c r="B91" i="42"/>
  <c r="Z90" i="42"/>
  <c r="X90" i="42"/>
  <c r="N90" i="42"/>
  <c r="L90" i="42"/>
  <c r="B90" i="42"/>
  <c r="X89" i="42"/>
  <c r="Z89" i="42" s="1"/>
  <c r="N89" i="42"/>
  <c r="L89" i="42"/>
  <c r="J89" i="42"/>
  <c r="B89" i="42"/>
  <c r="X88" i="42"/>
  <c r="Z88" i="42" s="1"/>
  <c r="T88" i="42"/>
  <c r="P88" i="42"/>
  <c r="H88" i="42"/>
  <c r="L88" i="42" s="1"/>
  <c r="D88" i="42"/>
  <c r="B88" i="42"/>
  <c r="Z87" i="42"/>
  <c r="X87" i="42"/>
  <c r="N87" i="42"/>
  <c r="L87" i="42"/>
  <c r="B87" i="42"/>
  <c r="Z86" i="42"/>
  <c r="X86" i="42"/>
  <c r="N86" i="42"/>
  <c r="L86" i="42"/>
  <c r="B86" i="42"/>
  <c r="Z85" i="42"/>
  <c r="X85" i="42"/>
  <c r="L85" i="42"/>
  <c r="N85" i="42" s="1"/>
  <c r="B85" i="42"/>
  <c r="Z84" i="42"/>
  <c r="X84" i="42"/>
  <c r="V84" i="42"/>
  <c r="N84" i="42"/>
  <c r="L84" i="42"/>
  <c r="B84" i="42"/>
  <c r="Z83" i="42"/>
  <c r="X83" i="42"/>
  <c r="L83" i="42"/>
  <c r="N83" i="42" s="1"/>
  <c r="B83" i="42"/>
  <c r="V82" i="42"/>
  <c r="T82" i="42"/>
  <c r="P82" i="42"/>
  <c r="H82" i="42"/>
  <c r="D82" i="42"/>
  <c r="L82" i="42" s="1"/>
  <c r="B82" i="42"/>
  <c r="Z81" i="42"/>
  <c r="X81" i="42"/>
  <c r="N81" i="42"/>
  <c r="L81" i="42"/>
  <c r="B81" i="42"/>
  <c r="Z80" i="42"/>
  <c r="X80" i="42"/>
  <c r="N80" i="42"/>
  <c r="L80" i="42"/>
  <c r="B80" i="42"/>
  <c r="X79" i="42"/>
  <c r="T79" i="42"/>
  <c r="Z79" i="42" s="1"/>
  <c r="P79" i="42"/>
  <c r="H79" i="42"/>
  <c r="N79" i="42" s="1"/>
  <c r="D79" i="42"/>
  <c r="L79" i="42" s="1"/>
  <c r="B79" i="42"/>
  <c r="X78" i="42"/>
  <c r="Z78" i="42" s="1"/>
  <c r="N78" i="42"/>
  <c r="L78" i="42"/>
  <c r="B78" i="42"/>
  <c r="X77" i="42"/>
  <c r="Z77" i="42" s="1"/>
  <c r="N77" i="42"/>
  <c r="L77" i="42"/>
  <c r="B77" i="42"/>
  <c r="Z76" i="42"/>
  <c r="X76" i="42"/>
  <c r="V76" i="42"/>
  <c r="N76" i="42"/>
  <c r="L76" i="42"/>
  <c r="B76" i="42"/>
  <c r="Z75" i="42"/>
  <c r="X75" i="42"/>
  <c r="N75" i="42"/>
  <c r="L75" i="42"/>
  <c r="B75" i="42"/>
  <c r="X74" i="42"/>
  <c r="Z74" i="42" s="1"/>
  <c r="T74" i="42"/>
  <c r="P74" i="42"/>
  <c r="L74" i="42"/>
  <c r="N74" i="42" s="1"/>
  <c r="H74" i="42"/>
  <c r="D74" i="42"/>
  <c r="B74" i="42"/>
  <c r="Z73" i="42"/>
  <c r="X73" i="42"/>
  <c r="V73" i="42"/>
  <c r="L73" i="42"/>
  <c r="N73" i="42" s="1"/>
  <c r="B73" i="42"/>
  <c r="T72" i="42"/>
  <c r="P72" i="42"/>
  <c r="J72" i="42"/>
  <c r="H72" i="42"/>
  <c r="D72" i="42"/>
  <c r="B72" i="42"/>
  <c r="X71" i="42"/>
  <c r="Z71" i="42" s="1"/>
  <c r="V71" i="42"/>
  <c r="N71" i="42"/>
  <c r="L71" i="42"/>
  <c r="B71" i="42"/>
  <c r="V70" i="42"/>
  <c r="T70" i="42"/>
  <c r="P70" i="42"/>
  <c r="X70" i="42" s="1"/>
  <c r="Z70" i="42" s="1"/>
  <c r="L70" i="42"/>
  <c r="N70" i="42" s="1"/>
  <c r="H70" i="42"/>
  <c r="D70" i="42"/>
  <c r="B70" i="42"/>
  <c r="X69" i="42"/>
  <c r="Z69" i="42" s="1"/>
  <c r="N69" i="42"/>
  <c r="L69" i="42"/>
  <c r="J69" i="42"/>
  <c r="B69" i="42"/>
  <c r="X68" i="42"/>
  <c r="Z68" i="42" s="1"/>
  <c r="T68" i="42"/>
  <c r="P68" i="42"/>
  <c r="L68" i="42"/>
  <c r="H68" i="42"/>
  <c r="N68" i="42" s="1"/>
  <c r="D68" i="42"/>
  <c r="B68" i="42"/>
  <c r="X67" i="42"/>
  <c r="Z67" i="42" s="1"/>
  <c r="N67" i="42"/>
  <c r="L67" i="42"/>
  <c r="B67" i="42"/>
  <c r="T66" i="42"/>
  <c r="P66" i="42"/>
  <c r="N66" i="42"/>
  <c r="J66" i="42"/>
  <c r="H66" i="42"/>
  <c r="D66" i="42"/>
  <c r="B66" i="42"/>
  <c r="Z65" i="42"/>
  <c r="X65" i="42"/>
  <c r="V65" i="42"/>
  <c r="N65" i="42"/>
  <c r="L65" i="42"/>
  <c r="B65" i="42"/>
  <c r="X64" i="42"/>
  <c r="T64" i="42"/>
  <c r="Z64" i="42" s="1"/>
  <c r="P64" i="42"/>
  <c r="N64" i="42"/>
  <c r="J64" i="42"/>
  <c r="H64" i="42"/>
  <c r="D64" i="42"/>
  <c r="L64" i="42" s="1"/>
  <c r="B64" i="42"/>
  <c r="X63" i="42"/>
  <c r="Z63" i="42" s="1"/>
  <c r="L63" i="42"/>
  <c r="N63" i="42" s="1"/>
  <c r="B63" i="42"/>
  <c r="T62" i="42"/>
  <c r="X62" i="42" s="1"/>
  <c r="P62" i="42"/>
  <c r="L62" i="42"/>
  <c r="N62" i="42" s="1"/>
  <c r="H62" i="42"/>
  <c r="D62" i="42"/>
  <c r="B62" i="42"/>
  <c r="Z61" i="42"/>
  <c r="X61" i="42"/>
  <c r="V61" i="42"/>
  <c r="L61" i="42"/>
  <c r="N61" i="42" s="1"/>
  <c r="J61" i="42"/>
  <c r="B61" i="42"/>
  <c r="V60" i="42"/>
  <c r="T60" i="42"/>
  <c r="P60" i="42"/>
  <c r="H60" i="42"/>
  <c r="D60" i="42"/>
  <c r="B60" i="42"/>
  <c r="X59" i="42"/>
  <c r="Z59" i="42" s="1"/>
  <c r="L59" i="42"/>
  <c r="N59" i="42" s="1"/>
  <c r="B59" i="42"/>
  <c r="Z58" i="42"/>
  <c r="X58" i="42"/>
  <c r="V58" i="42"/>
  <c r="L58" i="42"/>
  <c r="N58" i="42" s="1"/>
  <c r="J58" i="42"/>
  <c r="B58" i="42"/>
  <c r="Z57" i="42"/>
  <c r="X57" i="42"/>
  <c r="N57" i="42"/>
  <c r="L57" i="42"/>
  <c r="J57" i="42"/>
  <c r="B57" i="42"/>
  <c r="X56" i="42"/>
  <c r="Z56" i="42" s="1"/>
  <c r="V56" i="42"/>
  <c r="T56" i="42"/>
  <c r="P56" i="42"/>
  <c r="L56" i="42"/>
  <c r="H56" i="42"/>
  <c r="D56" i="42"/>
  <c r="B56" i="42"/>
  <c r="Z55" i="42"/>
  <c r="X55" i="42"/>
  <c r="N55" i="42"/>
  <c r="L55" i="42"/>
  <c r="J55" i="42"/>
  <c r="B55" i="42"/>
  <c r="T54" i="42"/>
  <c r="P54" i="42"/>
  <c r="H54" i="42"/>
  <c r="D54" i="42"/>
  <c r="B54" i="42"/>
  <c r="X53" i="42"/>
  <c r="Z53" i="42" s="1"/>
  <c r="V53" i="42"/>
  <c r="L53" i="42"/>
  <c r="N53" i="42" s="1"/>
  <c r="B53" i="42"/>
  <c r="X52" i="42"/>
  <c r="T52" i="42"/>
  <c r="P52" i="42"/>
  <c r="J52" i="42"/>
  <c r="H52" i="42"/>
  <c r="D52" i="42"/>
  <c r="L52" i="42" s="1"/>
  <c r="N52" i="42" s="1"/>
  <c r="B52" i="42"/>
  <c r="Z51" i="42"/>
  <c r="X51" i="42"/>
  <c r="V51" i="42"/>
  <c r="N51" i="42"/>
  <c r="L51" i="42"/>
  <c r="B51" i="42"/>
  <c r="T50" i="42"/>
  <c r="P50" i="42"/>
  <c r="L50" i="42"/>
  <c r="N50" i="42" s="1"/>
  <c r="H50" i="42"/>
  <c r="D50" i="42"/>
  <c r="B50" i="42"/>
  <c r="Z49" i="42"/>
  <c r="X49" i="42"/>
  <c r="V49" i="42"/>
  <c r="N49" i="42"/>
  <c r="L49" i="42"/>
  <c r="J49" i="42"/>
  <c r="B49" i="42"/>
  <c r="Z48" i="42"/>
  <c r="X48" i="42"/>
  <c r="N48" i="42"/>
  <c r="L48" i="42"/>
  <c r="B48" i="42"/>
  <c r="Z47" i="42"/>
  <c r="X47" i="42"/>
  <c r="N47" i="42"/>
  <c r="L47" i="42"/>
  <c r="J47" i="42"/>
  <c r="B47" i="42"/>
  <c r="X46" i="42"/>
  <c r="Z46" i="42" s="1"/>
  <c r="V46" i="42"/>
  <c r="N46" i="42"/>
  <c r="L46" i="42"/>
  <c r="J46" i="42"/>
  <c r="B46" i="42"/>
  <c r="Z45" i="42"/>
  <c r="X45" i="42"/>
  <c r="V45" i="42"/>
  <c r="N45" i="42"/>
  <c r="L45" i="42"/>
  <c r="J45" i="42"/>
  <c r="B45" i="42"/>
  <c r="Z44" i="42"/>
  <c r="X44" i="42"/>
  <c r="L44" i="42"/>
  <c r="N44" i="42" s="1"/>
  <c r="B44" i="42"/>
  <c r="Z43" i="42"/>
  <c r="X43" i="42"/>
  <c r="N43" i="42"/>
  <c r="L43" i="42"/>
  <c r="J43" i="42"/>
  <c r="B43" i="42"/>
  <c r="Z42" i="42"/>
  <c r="X42" i="42"/>
  <c r="V42" i="42"/>
  <c r="N42" i="42"/>
  <c r="L42" i="42"/>
  <c r="J42" i="42"/>
  <c r="B42" i="42"/>
  <c r="Z41" i="42"/>
  <c r="X41" i="42"/>
  <c r="V41" i="42"/>
  <c r="L41" i="42"/>
  <c r="N41" i="42" s="1"/>
  <c r="J41" i="42"/>
  <c r="B41" i="42"/>
  <c r="Z40" i="42"/>
  <c r="X40" i="42"/>
  <c r="L40" i="42"/>
  <c r="N40" i="42" s="1"/>
  <c r="B40" i="42"/>
  <c r="T39" i="42"/>
  <c r="X39" i="42" s="1"/>
  <c r="Z39" i="42" s="1"/>
  <c r="P39" i="42"/>
  <c r="J39" i="42"/>
  <c r="H39" i="42"/>
  <c r="D39" i="42"/>
  <c r="L39" i="42" s="1"/>
  <c r="N39" i="42" s="1"/>
  <c r="B39" i="42"/>
  <c r="Z38" i="42"/>
  <c r="X38" i="42"/>
  <c r="V38" i="42"/>
  <c r="L38" i="42"/>
  <c r="N38" i="42" s="1"/>
  <c r="B38" i="42"/>
  <c r="X37" i="42"/>
  <c r="Z37" i="42" s="1"/>
  <c r="V37" i="42"/>
  <c r="L37" i="42"/>
  <c r="N37" i="42" s="1"/>
  <c r="B37" i="42"/>
  <c r="X36" i="42"/>
  <c r="Z36" i="42" s="1"/>
  <c r="L36" i="42"/>
  <c r="N36" i="42" s="1"/>
  <c r="J36" i="42"/>
  <c r="B36" i="42"/>
  <c r="Z35" i="42"/>
  <c r="X35" i="42"/>
  <c r="V35" i="42"/>
  <c r="N35" i="42"/>
  <c r="L35" i="42"/>
  <c r="J35" i="42"/>
  <c r="B35" i="42"/>
  <c r="Z34" i="42"/>
  <c r="X34" i="42"/>
  <c r="V34" i="42"/>
  <c r="L34" i="42"/>
  <c r="N34" i="42" s="1"/>
  <c r="B34" i="42"/>
  <c r="X33" i="42"/>
  <c r="Z33" i="42" s="1"/>
  <c r="V33" i="42"/>
  <c r="L33" i="42"/>
  <c r="N33" i="42" s="1"/>
  <c r="B33" i="42"/>
  <c r="X32" i="42"/>
  <c r="Z32" i="42" s="1"/>
  <c r="L32" i="42"/>
  <c r="N32" i="42" s="1"/>
  <c r="J32" i="42"/>
  <c r="B32" i="42"/>
  <c r="Z31" i="42"/>
  <c r="X31" i="42"/>
  <c r="V31" i="42"/>
  <c r="N31" i="42"/>
  <c r="L31" i="42"/>
  <c r="J31" i="42"/>
  <c r="B31" i="42"/>
  <c r="Z30" i="42"/>
  <c r="X30" i="42"/>
  <c r="V30" i="42"/>
  <c r="L30" i="42"/>
  <c r="N30" i="42" s="1"/>
  <c r="B30" i="42"/>
  <c r="X29" i="42"/>
  <c r="Z29" i="42" s="1"/>
  <c r="V29" i="42"/>
  <c r="T29" i="42"/>
  <c r="P29" i="42"/>
  <c r="J29" i="42"/>
  <c r="H29" i="42"/>
  <c r="D29" i="42"/>
  <c r="L29" i="42" s="1"/>
  <c r="N29" i="42" s="1"/>
  <c r="B29" i="42"/>
  <c r="T28" i="42"/>
  <c r="V28" i="42" s="1"/>
  <c r="P28" i="42"/>
  <c r="X28" i="42" s="1"/>
  <c r="Z28" i="42" s="1"/>
  <c r="H28" i="42"/>
  <c r="L28" i="42" s="1"/>
  <c r="D28" i="42"/>
  <c r="V26" i="42"/>
  <c r="T26" i="42"/>
  <c r="H26" i="42"/>
  <c r="Z24" i="42"/>
  <c r="X24" i="42"/>
  <c r="V24" i="42"/>
  <c r="N24" i="42"/>
  <c r="L24" i="42"/>
  <c r="B24" i="42"/>
  <c r="Z23" i="42"/>
  <c r="X23" i="42"/>
  <c r="V23" i="42"/>
  <c r="N23" i="42"/>
  <c r="L23" i="42"/>
  <c r="J23" i="42"/>
  <c r="B23" i="42"/>
  <c r="X22" i="42"/>
  <c r="Z22" i="42" s="1"/>
  <c r="V22" i="42"/>
  <c r="L22" i="42"/>
  <c r="N22" i="42" s="1"/>
  <c r="J22" i="42"/>
  <c r="B22" i="42"/>
  <c r="X21" i="42"/>
  <c r="Z21" i="42" s="1"/>
  <c r="V21" i="42"/>
  <c r="T21" i="42"/>
  <c r="P21" i="42"/>
  <c r="H21" i="42"/>
  <c r="J21" i="42" s="1"/>
  <c r="D21" i="42"/>
  <c r="L21" i="42" s="1"/>
  <c r="N21" i="42" s="1"/>
  <c r="Z19" i="42"/>
  <c r="X19" i="42"/>
  <c r="P19" i="42"/>
  <c r="N19" i="42"/>
  <c r="L19" i="42"/>
  <c r="D19" i="42"/>
  <c r="B19" i="42"/>
  <c r="Z18" i="42"/>
  <c r="P18" i="42"/>
  <c r="X18" i="42" s="1"/>
  <c r="N18" i="42"/>
  <c r="L18" i="42"/>
  <c r="D18" i="42"/>
  <c r="B18" i="42"/>
  <c r="P17" i="42"/>
  <c r="X17" i="42" s="1"/>
  <c r="Z17" i="42" s="1"/>
  <c r="L17" i="42"/>
  <c r="N17" i="42" s="1"/>
  <c r="D17" i="42"/>
  <c r="B17" i="42"/>
  <c r="Z16" i="42"/>
  <c r="X16" i="42"/>
  <c r="P16" i="42"/>
  <c r="N16" i="42"/>
  <c r="L16" i="42"/>
  <c r="D16" i="42"/>
  <c r="B16" i="42"/>
  <c r="Z15" i="42"/>
  <c r="P15" i="42"/>
  <c r="N15" i="42"/>
  <c r="L15" i="42"/>
  <c r="D15" i="42"/>
  <c r="B15" i="42"/>
  <c r="Z14" i="42"/>
  <c r="P14" i="42"/>
  <c r="X14" i="42" s="1"/>
  <c r="N14" i="42"/>
  <c r="D14" i="42"/>
  <c r="B14" i="42"/>
  <c r="P13" i="42"/>
  <c r="X13" i="42" s="1"/>
  <c r="Z13" i="42" s="1"/>
  <c r="L13" i="42"/>
  <c r="N13" i="42" s="1"/>
  <c r="D13" i="42"/>
  <c r="B13" i="42"/>
  <c r="T12" i="42"/>
  <c r="V111" i="42" s="1"/>
  <c r="H12" i="42"/>
  <c r="J82" i="42" s="1"/>
  <c r="D4" i="42"/>
  <c r="X130" i="39"/>
  <c r="Z130" i="39" s="1"/>
  <c r="N130" i="39"/>
  <c r="L130" i="39"/>
  <c r="J130" i="39"/>
  <c r="Z126" i="39"/>
  <c r="X126" i="39"/>
  <c r="V126" i="39"/>
  <c r="P126" i="39"/>
  <c r="N126" i="39"/>
  <c r="L126" i="39"/>
  <c r="D126" i="39"/>
  <c r="B126" i="39"/>
  <c r="X125" i="39"/>
  <c r="Z125" i="39" s="1"/>
  <c r="P125" i="39"/>
  <c r="D125" i="39"/>
  <c r="B125" i="39"/>
  <c r="V124" i="39"/>
  <c r="P124" i="39"/>
  <c r="D124" i="39"/>
  <c r="L124" i="39" s="1"/>
  <c r="N124" i="39" s="1"/>
  <c r="B124" i="39"/>
  <c r="X123" i="39"/>
  <c r="Z123" i="39" s="1"/>
  <c r="P123" i="39"/>
  <c r="N123" i="39"/>
  <c r="L123" i="39"/>
  <c r="D123" i="39"/>
  <c r="B123" i="39"/>
  <c r="V122" i="39"/>
  <c r="T122" i="39"/>
  <c r="H122" i="39"/>
  <c r="Z120" i="39"/>
  <c r="X120" i="39"/>
  <c r="V120" i="39"/>
  <c r="N120" i="39"/>
  <c r="L120" i="39"/>
  <c r="B120" i="39"/>
  <c r="T119" i="39"/>
  <c r="P119" i="39"/>
  <c r="L119" i="39"/>
  <c r="H119" i="39"/>
  <c r="D119" i="39"/>
  <c r="B119" i="39"/>
  <c r="Z118" i="39"/>
  <c r="X118" i="39"/>
  <c r="V118" i="39"/>
  <c r="N118" i="39"/>
  <c r="L118" i="39"/>
  <c r="B118" i="39"/>
  <c r="Z117" i="39"/>
  <c r="X117" i="39"/>
  <c r="N117" i="39"/>
  <c r="L117" i="39"/>
  <c r="B117" i="39"/>
  <c r="Z116" i="39"/>
  <c r="X116" i="39"/>
  <c r="V116" i="39"/>
  <c r="N116" i="39"/>
  <c r="L116" i="39"/>
  <c r="B116" i="39"/>
  <c r="T115" i="39"/>
  <c r="P115" i="39"/>
  <c r="X115" i="39" s="1"/>
  <c r="N115" i="39"/>
  <c r="H115" i="39"/>
  <c r="D115" i="39"/>
  <c r="L115" i="39" s="1"/>
  <c r="B115" i="39"/>
  <c r="Z114" i="39"/>
  <c r="X114" i="39"/>
  <c r="V114" i="39"/>
  <c r="N114" i="39"/>
  <c r="L114" i="39"/>
  <c r="B114" i="39"/>
  <c r="T113" i="39"/>
  <c r="P113" i="39"/>
  <c r="X113" i="39" s="1"/>
  <c r="N113" i="39"/>
  <c r="L113" i="39"/>
  <c r="H113" i="39"/>
  <c r="D113" i="39"/>
  <c r="B113" i="39"/>
  <c r="Z112" i="39"/>
  <c r="X112" i="39"/>
  <c r="V112" i="39"/>
  <c r="N112" i="39"/>
  <c r="L112" i="39"/>
  <c r="B112" i="39"/>
  <c r="Z111" i="39"/>
  <c r="X111" i="39"/>
  <c r="L111" i="39"/>
  <c r="N111" i="39" s="1"/>
  <c r="B111" i="39"/>
  <c r="Z110" i="39"/>
  <c r="T110" i="39"/>
  <c r="P110" i="39"/>
  <c r="X110" i="39" s="1"/>
  <c r="H110" i="39"/>
  <c r="D110" i="39"/>
  <c r="L110" i="39" s="1"/>
  <c r="N110" i="39" s="1"/>
  <c r="B110" i="39"/>
  <c r="Z109" i="39"/>
  <c r="X109" i="39"/>
  <c r="N109" i="39"/>
  <c r="L109" i="39"/>
  <c r="B109" i="39"/>
  <c r="Z108" i="39"/>
  <c r="X108" i="39"/>
  <c r="V108" i="39"/>
  <c r="L108" i="39"/>
  <c r="N108" i="39" s="1"/>
  <c r="B108" i="39"/>
  <c r="Z107" i="39"/>
  <c r="X107" i="39"/>
  <c r="N107" i="39"/>
  <c r="L107" i="39"/>
  <c r="B107" i="39"/>
  <c r="Z106" i="39"/>
  <c r="X106" i="39"/>
  <c r="V106" i="39"/>
  <c r="N106" i="39"/>
  <c r="L106" i="39"/>
  <c r="J106" i="39"/>
  <c r="B106" i="39"/>
  <c r="Z105" i="39"/>
  <c r="X105" i="39"/>
  <c r="N105" i="39"/>
  <c r="L105" i="39"/>
  <c r="B105" i="39"/>
  <c r="Z104" i="39"/>
  <c r="X104" i="39"/>
  <c r="V104" i="39"/>
  <c r="L104" i="39"/>
  <c r="N104" i="39" s="1"/>
  <c r="B104" i="39"/>
  <c r="X103" i="39"/>
  <c r="Z103" i="39" s="1"/>
  <c r="L103" i="39"/>
  <c r="N103" i="39" s="1"/>
  <c r="B103" i="39"/>
  <c r="X102" i="39"/>
  <c r="Z102" i="39" s="1"/>
  <c r="V102" i="39"/>
  <c r="N102" i="39"/>
  <c r="L102" i="39"/>
  <c r="B102" i="39"/>
  <c r="Z101" i="39"/>
  <c r="X101" i="39"/>
  <c r="L101" i="39"/>
  <c r="N101" i="39" s="1"/>
  <c r="B101" i="39"/>
  <c r="Z100" i="39"/>
  <c r="X100" i="39"/>
  <c r="V100" i="39"/>
  <c r="L100" i="39"/>
  <c r="N100" i="39" s="1"/>
  <c r="B100" i="39"/>
  <c r="X99" i="39"/>
  <c r="Z99" i="39" s="1"/>
  <c r="N99" i="39"/>
  <c r="L99" i="39"/>
  <c r="B99" i="39"/>
  <c r="X98" i="39"/>
  <c r="Z98" i="39" s="1"/>
  <c r="V98" i="39"/>
  <c r="T98" i="39"/>
  <c r="P98" i="39"/>
  <c r="N98" i="39"/>
  <c r="L98" i="39"/>
  <c r="H98" i="39"/>
  <c r="D98" i="39"/>
  <c r="B98" i="39"/>
  <c r="X97" i="39"/>
  <c r="Z97" i="39" s="1"/>
  <c r="L97" i="39"/>
  <c r="N97" i="39" s="1"/>
  <c r="B97" i="39"/>
  <c r="X96" i="39"/>
  <c r="Z96" i="39" s="1"/>
  <c r="N96" i="39"/>
  <c r="L96" i="39"/>
  <c r="B96" i="39"/>
  <c r="X95" i="39"/>
  <c r="Z95" i="39" s="1"/>
  <c r="T95" i="39"/>
  <c r="P95" i="39"/>
  <c r="H95" i="39"/>
  <c r="D95" i="39"/>
  <c r="B95" i="39"/>
  <c r="Z94" i="39"/>
  <c r="X94" i="39"/>
  <c r="L94" i="39"/>
  <c r="N94" i="39" s="1"/>
  <c r="B94" i="39"/>
  <c r="X93" i="39"/>
  <c r="Z93" i="39" s="1"/>
  <c r="N93" i="39"/>
  <c r="L93" i="39"/>
  <c r="B93" i="39"/>
  <c r="Z92" i="39"/>
  <c r="X92" i="39"/>
  <c r="V92" i="39"/>
  <c r="N92" i="39"/>
  <c r="L92" i="39"/>
  <c r="B92" i="39"/>
  <c r="Z91" i="39"/>
  <c r="X91" i="39"/>
  <c r="N91" i="39"/>
  <c r="L91" i="39"/>
  <c r="B91" i="39"/>
  <c r="Z90" i="39"/>
  <c r="X90" i="39"/>
  <c r="L90" i="39"/>
  <c r="N90" i="39" s="1"/>
  <c r="B90" i="39"/>
  <c r="T89" i="39"/>
  <c r="P89" i="39"/>
  <c r="H89" i="39"/>
  <c r="D89" i="39"/>
  <c r="L89" i="39" s="1"/>
  <c r="B89" i="39"/>
  <c r="Z88" i="39"/>
  <c r="X88" i="39"/>
  <c r="V88" i="39"/>
  <c r="L88" i="39"/>
  <c r="N88" i="39" s="1"/>
  <c r="B88" i="39"/>
  <c r="Z87" i="39"/>
  <c r="X87" i="39"/>
  <c r="N87" i="39"/>
  <c r="L87" i="39"/>
  <c r="B87" i="39"/>
  <c r="X86" i="39"/>
  <c r="Z86" i="39" s="1"/>
  <c r="V86" i="39"/>
  <c r="T86" i="39"/>
  <c r="P86" i="39"/>
  <c r="N86" i="39"/>
  <c r="L86" i="39"/>
  <c r="J86" i="39"/>
  <c r="H86" i="39"/>
  <c r="D86" i="39"/>
  <c r="B86" i="39"/>
  <c r="X85" i="39"/>
  <c r="Z85" i="39" s="1"/>
  <c r="L85" i="39"/>
  <c r="N85" i="39" s="1"/>
  <c r="B85" i="39"/>
  <c r="X84" i="39"/>
  <c r="Z84" i="39" s="1"/>
  <c r="N84" i="39"/>
  <c r="L84" i="39"/>
  <c r="J84" i="39"/>
  <c r="B84" i="39"/>
  <c r="X83" i="39"/>
  <c r="Z83" i="39" s="1"/>
  <c r="N83" i="39"/>
  <c r="L83" i="39"/>
  <c r="B83" i="39"/>
  <c r="Z82" i="39"/>
  <c r="X82" i="39"/>
  <c r="V82" i="39"/>
  <c r="N82" i="39"/>
  <c r="L82" i="39"/>
  <c r="B82" i="39"/>
  <c r="T81" i="39"/>
  <c r="P81" i="39"/>
  <c r="L81" i="39"/>
  <c r="N81" i="39" s="1"/>
  <c r="H81" i="39"/>
  <c r="D81" i="39"/>
  <c r="B81" i="39"/>
  <c r="Z80" i="39"/>
  <c r="X80" i="39"/>
  <c r="V80" i="39"/>
  <c r="N80" i="39"/>
  <c r="L80" i="39"/>
  <c r="J80" i="39"/>
  <c r="B80" i="39"/>
  <c r="T79" i="39"/>
  <c r="P79" i="39"/>
  <c r="X79" i="39" s="1"/>
  <c r="H79" i="39"/>
  <c r="D79" i="39"/>
  <c r="B79" i="39"/>
  <c r="X78" i="39"/>
  <c r="Z78" i="39" s="1"/>
  <c r="V78" i="39"/>
  <c r="N78" i="39"/>
  <c r="L78" i="39"/>
  <c r="J78" i="39"/>
  <c r="B78" i="39"/>
  <c r="T77" i="39"/>
  <c r="P77" i="39"/>
  <c r="X77" i="39" s="1"/>
  <c r="Z77" i="39" s="1"/>
  <c r="H77" i="39"/>
  <c r="D77" i="39"/>
  <c r="L77" i="39" s="1"/>
  <c r="B77" i="39"/>
  <c r="X76" i="39"/>
  <c r="Z76" i="39" s="1"/>
  <c r="N76" i="39"/>
  <c r="L76" i="39"/>
  <c r="J76" i="39"/>
  <c r="B76" i="39"/>
  <c r="X75" i="39"/>
  <c r="Z75" i="39" s="1"/>
  <c r="T75" i="39"/>
  <c r="P75" i="39"/>
  <c r="H75" i="39"/>
  <c r="D75" i="39"/>
  <c r="L75" i="39" s="1"/>
  <c r="B75" i="39"/>
  <c r="Z74" i="39"/>
  <c r="X74" i="39"/>
  <c r="N74" i="39"/>
  <c r="L74" i="39"/>
  <c r="J74" i="39"/>
  <c r="B74" i="39"/>
  <c r="T73" i="39"/>
  <c r="P73" i="39"/>
  <c r="H73" i="39"/>
  <c r="N73" i="39" s="1"/>
  <c r="D73" i="39"/>
  <c r="L73" i="39" s="1"/>
  <c r="B73" i="39"/>
  <c r="Z72" i="39"/>
  <c r="X72" i="39"/>
  <c r="V72" i="39"/>
  <c r="N72" i="39"/>
  <c r="L72" i="39"/>
  <c r="B72" i="39"/>
  <c r="Z71" i="39"/>
  <c r="X71" i="39"/>
  <c r="N71" i="39"/>
  <c r="L71" i="39"/>
  <c r="B71" i="39"/>
  <c r="Z70" i="39"/>
  <c r="X70" i="39"/>
  <c r="V70" i="39"/>
  <c r="T70" i="39"/>
  <c r="P70" i="39"/>
  <c r="N70" i="39"/>
  <c r="L70" i="39"/>
  <c r="H70" i="39"/>
  <c r="D70" i="39"/>
  <c r="B70" i="39"/>
  <c r="X69" i="39"/>
  <c r="Z69" i="39" s="1"/>
  <c r="L69" i="39"/>
  <c r="N69" i="39" s="1"/>
  <c r="B69" i="39"/>
  <c r="T68" i="39"/>
  <c r="P68" i="39"/>
  <c r="J68" i="39"/>
  <c r="H68" i="39"/>
  <c r="D68" i="39"/>
  <c r="L68" i="39" s="1"/>
  <c r="N68" i="39" s="1"/>
  <c r="B68" i="39"/>
  <c r="Z67" i="39"/>
  <c r="X67" i="39"/>
  <c r="L67" i="39"/>
  <c r="N67" i="39" s="1"/>
  <c r="B67" i="39"/>
  <c r="T66" i="39"/>
  <c r="P66" i="39"/>
  <c r="X66" i="39" s="1"/>
  <c r="Z66" i="39" s="1"/>
  <c r="J66" i="39"/>
  <c r="H66" i="39"/>
  <c r="D66" i="39"/>
  <c r="L66" i="39" s="1"/>
  <c r="N66" i="39" s="1"/>
  <c r="B66" i="39"/>
  <c r="Z65" i="39"/>
  <c r="X65" i="39"/>
  <c r="L65" i="39"/>
  <c r="N65" i="39" s="1"/>
  <c r="B65" i="39"/>
  <c r="Z64" i="39"/>
  <c r="X64" i="39"/>
  <c r="V64" i="39"/>
  <c r="L64" i="39"/>
  <c r="N64" i="39" s="1"/>
  <c r="B64" i="39"/>
  <c r="Z63" i="39"/>
  <c r="X63" i="39"/>
  <c r="N63" i="39"/>
  <c r="L63" i="39"/>
  <c r="B63" i="39"/>
  <c r="X62" i="39"/>
  <c r="Z62" i="39" s="1"/>
  <c r="V62" i="39"/>
  <c r="T62" i="39"/>
  <c r="P62" i="39"/>
  <c r="N62" i="39"/>
  <c r="L62" i="39"/>
  <c r="J62" i="39"/>
  <c r="H62" i="39"/>
  <c r="D62" i="39"/>
  <c r="B62" i="39"/>
  <c r="X61" i="39"/>
  <c r="Z61" i="39" s="1"/>
  <c r="L61" i="39"/>
  <c r="N61" i="39" s="1"/>
  <c r="B61" i="39"/>
  <c r="T60" i="39"/>
  <c r="P60" i="39"/>
  <c r="N60" i="39"/>
  <c r="J60" i="39"/>
  <c r="H60" i="39"/>
  <c r="D60" i="39"/>
  <c r="L60" i="39" s="1"/>
  <c r="B60" i="39"/>
  <c r="Z59" i="39"/>
  <c r="X59" i="39"/>
  <c r="L59" i="39"/>
  <c r="N59" i="39" s="1"/>
  <c r="B59" i="39"/>
  <c r="Z58" i="39"/>
  <c r="T58" i="39"/>
  <c r="P58" i="39"/>
  <c r="X58" i="39" s="1"/>
  <c r="N58" i="39"/>
  <c r="H58" i="39"/>
  <c r="D58" i="39"/>
  <c r="L58" i="39" s="1"/>
  <c r="B58" i="39"/>
  <c r="Z57" i="39"/>
  <c r="X57" i="39"/>
  <c r="L57" i="39"/>
  <c r="N57" i="39" s="1"/>
  <c r="B57" i="39"/>
  <c r="Z56" i="39"/>
  <c r="X56" i="39"/>
  <c r="V56" i="39"/>
  <c r="T56" i="39"/>
  <c r="P56" i="39"/>
  <c r="L56" i="39"/>
  <c r="N56" i="39" s="1"/>
  <c r="J56" i="39"/>
  <c r="H56" i="39"/>
  <c r="D56" i="39"/>
  <c r="B56" i="39"/>
  <c r="Z55" i="39"/>
  <c r="X55" i="39"/>
  <c r="N55" i="39"/>
  <c r="L55" i="39"/>
  <c r="B55" i="39"/>
  <c r="Z54" i="39"/>
  <c r="X54" i="39"/>
  <c r="V54" i="39"/>
  <c r="N54" i="39"/>
  <c r="L54" i="39"/>
  <c r="B54" i="39"/>
  <c r="X53" i="39"/>
  <c r="Z53" i="39" s="1"/>
  <c r="L53" i="39"/>
  <c r="N53" i="39" s="1"/>
  <c r="B53" i="39"/>
  <c r="X52" i="39"/>
  <c r="Z52" i="39" s="1"/>
  <c r="N52" i="39"/>
  <c r="L52" i="39"/>
  <c r="J52" i="39"/>
  <c r="B52" i="39"/>
  <c r="Z51" i="39"/>
  <c r="X51" i="39"/>
  <c r="N51" i="39"/>
  <c r="L51" i="39"/>
  <c r="B51" i="39"/>
  <c r="Z50" i="39"/>
  <c r="X50" i="39"/>
  <c r="V50" i="39"/>
  <c r="N50" i="39"/>
  <c r="L50" i="39"/>
  <c r="B50" i="39"/>
  <c r="X49" i="39"/>
  <c r="Z49" i="39" s="1"/>
  <c r="L49" i="39"/>
  <c r="N49" i="39" s="1"/>
  <c r="B49" i="39"/>
  <c r="Z48" i="39"/>
  <c r="X48" i="39"/>
  <c r="N48" i="39"/>
  <c r="L48" i="39"/>
  <c r="J48" i="39"/>
  <c r="B48" i="39"/>
  <c r="X47" i="39"/>
  <c r="Z47" i="39" s="1"/>
  <c r="N47" i="39"/>
  <c r="L47" i="39"/>
  <c r="B47" i="39"/>
  <c r="Z46" i="39"/>
  <c r="X46" i="39"/>
  <c r="V46" i="39"/>
  <c r="N46" i="39"/>
  <c r="L46" i="39"/>
  <c r="B46" i="39"/>
  <c r="T45" i="39"/>
  <c r="P45" i="39"/>
  <c r="X45" i="39" s="1"/>
  <c r="L45" i="39"/>
  <c r="N45" i="39" s="1"/>
  <c r="H45" i="39"/>
  <c r="D45" i="39"/>
  <c r="B45" i="39"/>
  <c r="Z44" i="39"/>
  <c r="X44" i="39"/>
  <c r="V44" i="39"/>
  <c r="N44" i="39"/>
  <c r="L44" i="39"/>
  <c r="J44" i="39"/>
  <c r="B44" i="39"/>
  <c r="Z43" i="39"/>
  <c r="X43" i="39"/>
  <c r="V43" i="39"/>
  <c r="L43" i="39"/>
  <c r="N43" i="39" s="1"/>
  <c r="B43" i="39"/>
  <c r="Z42" i="39"/>
  <c r="X42" i="39"/>
  <c r="L42" i="39"/>
  <c r="N42" i="39" s="1"/>
  <c r="J42" i="39"/>
  <c r="B42" i="39"/>
  <c r="Z41" i="39"/>
  <c r="X41" i="39"/>
  <c r="V41" i="39"/>
  <c r="N41" i="39"/>
  <c r="L41" i="39"/>
  <c r="B41" i="39"/>
  <c r="Z40" i="39"/>
  <c r="X40" i="39"/>
  <c r="V40" i="39"/>
  <c r="N40" i="39"/>
  <c r="L40" i="39"/>
  <c r="J40" i="39"/>
  <c r="B40" i="39"/>
  <c r="Z39" i="39"/>
  <c r="X39" i="39"/>
  <c r="V39" i="39"/>
  <c r="L39" i="39"/>
  <c r="N39" i="39" s="1"/>
  <c r="B39" i="39"/>
  <c r="Z38" i="39"/>
  <c r="X38" i="39"/>
  <c r="L38" i="39"/>
  <c r="N38" i="39" s="1"/>
  <c r="J38" i="39"/>
  <c r="B38" i="39"/>
  <c r="X37" i="39"/>
  <c r="Z37" i="39" s="1"/>
  <c r="V37" i="39"/>
  <c r="N37" i="39"/>
  <c r="L37" i="39"/>
  <c r="B37" i="39"/>
  <c r="Z36" i="39"/>
  <c r="X36" i="39"/>
  <c r="V36" i="39"/>
  <c r="N36" i="39"/>
  <c r="L36" i="39"/>
  <c r="J36" i="39"/>
  <c r="B36" i="39"/>
  <c r="T35" i="39"/>
  <c r="P35" i="39"/>
  <c r="X35" i="39" s="1"/>
  <c r="H35" i="39"/>
  <c r="D35" i="39"/>
  <c r="B35" i="39"/>
  <c r="T34" i="39"/>
  <c r="P34" i="39"/>
  <c r="X34" i="39" s="1"/>
  <c r="H34" i="39"/>
  <c r="N34" i="39" s="1"/>
  <c r="D34" i="39"/>
  <c r="L34" i="39" s="1"/>
  <c r="Z30" i="39"/>
  <c r="X30" i="39"/>
  <c r="V30" i="39"/>
  <c r="N30" i="39"/>
  <c r="L30" i="39"/>
  <c r="J30" i="39"/>
  <c r="B30" i="39"/>
  <c r="Z29" i="39"/>
  <c r="X29" i="39"/>
  <c r="V29" i="39"/>
  <c r="N29" i="39"/>
  <c r="L29" i="39"/>
  <c r="B29" i="39"/>
  <c r="Z28" i="39"/>
  <c r="X28" i="39"/>
  <c r="V28" i="39"/>
  <c r="L28" i="39"/>
  <c r="N28" i="39" s="1"/>
  <c r="B28" i="39"/>
  <c r="T27" i="39"/>
  <c r="P27" i="39"/>
  <c r="X27" i="39" s="1"/>
  <c r="J27" i="39"/>
  <c r="H27" i="39"/>
  <c r="D27" i="39"/>
  <c r="L27" i="39" s="1"/>
  <c r="N27" i="39" s="1"/>
  <c r="Z25" i="39"/>
  <c r="X25" i="39"/>
  <c r="P25" i="39"/>
  <c r="N25" i="39"/>
  <c r="D25" i="39"/>
  <c r="L25" i="39" s="1"/>
  <c r="B25" i="39"/>
  <c r="Z24" i="39"/>
  <c r="X24" i="39"/>
  <c r="P24" i="39"/>
  <c r="N24" i="39"/>
  <c r="L24" i="39"/>
  <c r="D24" i="39"/>
  <c r="B24" i="39"/>
  <c r="Z23" i="39"/>
  <c r="X23" i="39"/>
  <c r="P23" i="39"/>
  <c r="N23" i="39"/>
  <c r="L23" i="39"/>
  <c r="D23" i="39"/>
  <c r="B23" i="39"/>
  <c r="Z22" i="39"/>
  <c r="X22" i="39"/>
  <c r="P22" i="39"/>
  <c r="N22" i="39"/>
  <c r="L22" i="39"/>
  <c r="D22" i="39"/>
  <c r="B22" i="39"/>
  <c r="Z21" i="39"/>
  <c r="X21" i="39"/>
  <c r="P21" i="39"/>
  <c r="N21" i="39"/>
  <c r="L21" i="39"/>
  <c r="D21" i="39"/>
  <c r="B21" i="39"/>
  <c r="Z20" i="39"/>
  <c r="P20" i="39"/>
  <c r="X20" i="39" s="1"/>
  <c r="N20" i="39"/>
  <c r="D20" i="39"/>
  <c r="L20" i="39" s="1"/>
  <c r="B20" i="39"/>
  <c r="Z19" i="39"/>
  <c r="P19" i="39"/>
  <c r="X19" i="39" s="1"/>
  <c r="D19" i="39"/>
  <c r="L19" i="39" s="1"/>
  <c r="N19" i="39" s="1"/>
  <c r="B19" i="39"/>
  <c r="Z18" i="39"/>
  <c r="P18" i="39"/>
  <c r="X18" i="39" s="1"/>
  <c r="N18" i="39"/>
  <c r="D18" i="39"/>
  <c r="L18" i="39" s="1"/>
  <c r="B18" i="39"/>
  <c r="Z17" i="39"/>
  <c r="P17" i="39"/>
  <c r="X17" i="39" s="1"/>
  <c r="N17" i="39"/>
  <c r="D17" i="39"/>
  <c r="L17" i="39" s="1"/>
  <c r="B17" i="39"/>
  <c r="Z16" i="39"/>
  <c r="X16" i="39"/>
  <c r="P16" i="39"/>
  <c r="N16" i="39"/>
  <c r="D16" i="39"/>
  <c r="L16" i="39" s="1"/>
  <c r="B16" i="39"/>
  <c r="Z15" i="39"/>
  <c r="X15" i="39"/>
  <c r="P15" i="39"/>
  <c r="N15" i="39"/>
  <c r="D15" i="39"/>
  <c r="L15" i="39" s="1"/>
  <c r="B15" i="39"/>
  <c r="Z14" i="39"/>
  <c r="X14" i="39"/>
  <c r="P14" i="39"/>
  <c r="N14" i="39"/>
  <c r="D14" i="39"/>
  <c r="L14" i="39" s="1"/>
  <c r="B14" i="39"/>
  <c r="X13" i="39"/>
  <c r="Z13" i="39" s="1"/>
  <c r="P13" i="39"/>
  <c r="D13" i="39"/>
  <c r="B13" i="39"/>
  <c r="T12" i="39"/>
  <c r="V123" i="39" s="1"/>
  <c r="H12" i="39"/>
  <c r="D4" i="39"/>
  <c r="X130" i="36"/>
  <c r="Z130" i="36" s="1"/>
  <c r="L130" i="36"/>
  <c r="N130" i="36" s="1"/>
  <c r="J130" i="36"/>
  <c r="Z126" i="36"/>
  <c r="P126" i="36"/>
  <c r="X126" i="36" s="1"/>
  <c r="N126" i="36"/>
  <c r="D126" i="36"/>
  <c r="L126" i="36" s="1"/>
  <c r="B126" i="36"/>
  <c r="X125" i="36"/>
  <c r="Z125" i="36" s="1"/>
  <c r="P125" i="36"/>
  <c r="D125" i="36"/>
  <c r="L125" i="36" s="1"/>
  <c r="N125" i="36" s="1"/>
  <c r="B125" i="36"/>
  <c r="P124" i="36"/>
  <c r="P122" i="36" s="1"/>
  <c r="X122" i="36" s="1"/>
  <c r="Z122" i="36" s="1"/>
  <c r="D124" i="36"/>
  <c r="L124" i="36" s="1"/>
  <c r="N124" i="36" s="1"/>
  <c r="B124" i="36"/>
  <c r="Z123" i="36"/>
  <c r="X123" i="36"/>
  <c r="P123" i="36"/>
  <c r="L123" i="36"/>
  <c r="N123" i="36" s="1"/>
  <c r="D123" i="36"/>
  <c r="B123" i="36"/>
  <c r="T122" i="36"/>
  <c r="H122" i="36"/>
  <c r="X120" i="36"/>
  <c r="Z120" i="36" s="1"/>
  <c r="N120" i="36"/>
  <c r="L120" i="36"/>
  <c r="B120" i="36"/>
  <c r="T119" i="36"/>
  <c r="Z119" i="36" s="1"/>
  <c r="P119" i="36"/>
  <c r="X119" i="36" s="1"/>
  <c r="L119" i="36"/>
  <c r="H119" i="36"/>
  <c r="D119" i="36"/>
  <c r="B119" i="36"/>
  <c r="Z118" i="36"/>
  <c r="X118" i="36"/>
  <c r="N118" i="36"/>
  <c r="L118" i="36"/>
  <c r="J118" i="36"/>
  <c r="B118" i="36"/>
  <c r="Z117" i="36"/>
  <c r="X117" i="36"/>
  <c r="N117" i="36"/>
  <c r="L117" i="36"/>
  <c r="J117" i="36"/>
  <c r="B117" i="36"/>
  <c r="Z116" i="36"/>
  <c r="X116" i="36"/>
  <c r="L116" i="36"/>
  <c r="N116" i="36" s="1"/>
  <c r="B116" i="36"/>
  <c r="T115" i="36"/>
  <c r="P115" i="36"/>
  <c r="H115" i="36"/>
  <c r="D115" i="36"/>
  <c r="L115" i="36" s="1"/>
  <c r="N115" i="36" s="1"/>
  <c r="B115" i="36"/>
  <c r="Z114" i="36"/>
  <c r="X114" i="36"/>
  <c r="L114" i="36"/>
  <c r="N114" i="36" s="1"/>
  <c r="B114" i="36"/>
  <c r="T113" i="36"/>
  <c r="P113" i="36"/>
  <c r="X113" i="36" s="1"/>
  <c r="L113" i="36"/>
  <c r="H113" i="36"/>
  <c r="N113" i="36" s="1"/>
  <c r="D113" i="36"/>
  <c r="B113" i="36"/>
  <c r="X112" i="36"/>
  <c r="Z112" i="36" s="1"/>
  <c r="N112" i="36"/>
  <c r="L112" i="36"/>
  <c r="B112" i="36"/>
  <c r="Z111" i="36"/>
  <c r="X111" i="36"/>
  <c r="N111" i="36"/>
  <c r="L111" i="36"/>
  <c r="B111" i="36"/>
  <c r="X110" i="36"/>
  <c r="T110" i="36"/>
  <c r="Z110" i="36" s="1"/>
  <c r="P110" i="36"/>
  <c r="L110" i="36"/>
  <c r="N110" i="36" s="1"/>
  <c r="J110" i="36"/>
  <c r="H110" i="36"/>
  <c r="D110" i="36"/>
  <c r="B110" i="36"/>
  <c r="Z109" i="36"/>
  <c r="X109" i="36"/>
  <c r="L109" i="36"/>
  <c r="N109" i="36" s="1"/>
  <c r="J109" i="36"/>
  <c r="B109" i="36"/>
  <c r="Z108" i="36"/>
  <c r="X108" i="36"/>
  <c r="L108" i="36"/>
  <c r="N108" i="36" s="1"/>
  <c r="B108" i="36"/>
  <c r="Z107" i="36"/>
  <c r="X107" i="36"/>
  <c r="N107" i="36"/>
  <c r="L107" i="36"/>
  <c r="B107" i="36"/>
  <c r="X106" i="36"/>
  <c r="Z106" i="36" s="1"/>
  <c r="N106" i="36"/>
  <c r="L106" i="36"/>
  <c r="J106" i="36"/>
  <c r="B106" i="36"/>
  <c r="Z105" i="36"/>
  <c r="X105" i="36"/>
  <c r="L105" i="36"/>
  <c r="N105" i="36" s="1"/>
  <c r="J105" i="36"/>
  <c r="B105" i="36"/>
  <c r="Z104" i="36"/>
  <c r="X104" i="36"/>
  <c r="L104" i="36"/>
  <c r="N104" i="36" s="1"/>
  <c r="B104" i="36"/>
  <c r="Z103" i="36"/>
  <c r="X103" i="36"/>
  <c r="L103" i="36"/>
  <c r="N103" i="36" s="1"/>
  <c r="B103" i="36"/>
  <c r="X102" i="36"/>
  <c r="Z102" i="36" s="1"/>
  <c r="N102" i="36"/>
  <c r="L102" i="36"/>
  <c r="J102" i="36"/>
  <c r="B102" i="36"/>
  <c r="Z101" i="36"/>
  <c r="X101" i="36"/>
  <c r="L101" i="36"/>
  <c r="N101" i="36" s="1"/>
  <c r="J101" i="36"/>
  <c r="B101" i="36"/>
  <c r="Z100" i="36"/>
  <c r="X100" i="36"/>
  <c r="L100" i="36"/>
  <c r="N100" i="36" s="1"/>
  <c r="B100" i="36"/>
  <c r="X99" i="36"/>
  <c r="Z99" i="36" s="1"/>
  <c r="L99" i="36"/>
  <c r="N99" i="36" s="1"/>
  <c r="B99" i="36"/>
  <c r="T98" i="36"/>
  <c r="R98" i="36"/>
  <c r="P98" i="36"/>
  <c r="H98" i="36"/>
  <c r="D98" i="36"/>
  <c r="L98" i="36" s="1"/>
  <c r="N98" i="36" s="1"/>
  <c r="B98" i="36"/>
  <c r="X97" i="36"/>
  <c r="Z97" i="36" s="1"/>
  <c r="L97" i="36"/>
  <c r="N97" i="36" s="1"/>
  <c r="B97" i="36"/>
  <c r="X96" i="36"/>
  <c r="Z96" i="36" s="1"/>
  <c r="N96" i="36"/>
  <c r="L96" i="36"/>
  <c r="J96" i="36"/>
  <c r="B96" i="36"/>
  <c r="X95" i="36"/>
  <c r="T95" i="36"/>
  <c r="Z95" i="36" s="1"/>
  <c r="P95" i="36"/>
  <c r="J95" i="36"/>
  <c r="H95" i="36"/>
  <c r="D95" i="36"/>
  <c r="L95" i="36" s="1"/>
  <c r="B95" i="36"/>
  <c r="X94" i="36"/>
  <c r="Z94" i="36" s="1"/>
  <c r="L94" i="36"/>
  <c r="N94" i="36" s="1"/>
  <c r="J94" i="36"/>
  <c r="B94" i="36"/>
  <c r="X93" i="36"/>
  <c r="Z93" i="36" s="1"/>
  <c r="N93" i="36"/>
  <c r="L93" i="36"/>
  <c r="B93" i="36"/>
  <c r="X92" i="36"/>
  <c r="Z92" i="36" s="1"/>
  <c r="N92" i="36"/>
  <c r="L92" i="36"/>
  <c r="B92" i="36"/>
  <c r="Z91" i="36"/>
  <c r="X91" i="36"/>
  <c r="N91" i="36"/>
  <c r="L91" i="36"/>
  <c r="B91" i="36"/>
  <c r="X90" i="36"/>
  <c r="Z90" i="36" s="1"/>
  <c r="L90" i="36"/>
  <c r="N90" i="36" s="1"/>
  <c r="J90" i="36"/>
  <c r="B90" i="36"/>
  <c r="X89" i="36"/>
  <c r="T89" i="36"/>
  <c r="P89" i="36"/>
  <c r="H89" i="36"/>
  <c r="N89" i="36" s="1"/>
  <c r="D89" i="36"/>
  <c r="L89" i="36" s="1"/>
  <c r="B89" i="36"/>
  <c r="Z88" i="36"/>
  <c r="X88" i="36"/>
  <c r="N88" i="36"/>
  <c r="L88" i="36"/>
  <c r="B88" i="36"/>
  <c r="Z87" i="36"/>
  <c r="X87" i="36"/>
  <c r="N87" i="36"/>
  <c r="L87" i="36"/>
  <c r="J87" i="36"/>
  <c r="B87" i="36"/>
  <c r="T86" i="36"/>
  <c r="P86" i="36"/>
  <c r="N86" i="36"/>
  <c r="H86" i="36"/>
  <c r="D86" i="36"/>
  <c r="L86" i="36" s="1"/>
  <c r="B86" i="36"/>
  <c r="X85" i="36"/>
  <c r="Z85" i="36" s="1"/>
  <c r="L85" i="36"/>
  <c r="N85" i="36" s="1"/>
  <c r="B85" i="36"/>
  <c r="X84" i="36"/>
  <c r="Z84" i="36" s="1"/>
  <c r="N84" i="36"/>
  <c r="L84" i="36"/>
  <c r="J84" i="36"/>
  <c r="B84" i="36"/>
  <c r="X83" i="36"/>
  <c r="Z83" i="36" s="1"/>
  <c r="N83" i="36"/>
  <c r="L83" i="36"/>
  <c r="B83" i="36"/>
  <c r="Z82" i="36"/>
  <c r="X82" i="36"/>
  <c r="N82" i="36"/>
  <c r="L82" i="36"/>
  <c r="B82" i="36"/>
  <c r="T81" i="36"/>
  <c r="P81" i="36"/>
  <c r="X81" i="36" s="1"/>
  <c r="L81" i="36"/>
  <c r="J81" i="36"/>
  <c r="H81" i="36"/>
  <c r="N81" i="36" s="1"/>
  <c r="D81" i="36"/>
  <c r="B81" i="36"/>
  <c r="Z80" i="36"/>
  <c r="X80" i="36"/>
  <c r="N80" i="36"/>
  <c r="L80" i="36"/>
  <c r="B80" i="36"/>
  <c r="T79" i="36"/>
  <c r="P79" i="36"/>
  <c r="L79" i="36"/>
  <c r="H79" i="36"/>
  <c r="N79" i="36" s="1"/>
  <c r="D79" i="36"/>
  <c r="B79" i="36"/>
  <c r="X78" i="36"/>
  <c r="Z78" i="36" s="1"/>
  <c r="N78" i="36"/>
  <c r="L78" i="36"/>
  <c r="J78" i="36"/>
  <c r="B78" i="36"/>
  <c r="Z77" i="36"/>
  <c r="T77" i="36"/>
  <c r="P77" i="36"/>
  <c r="X77" i="36" s="1"/>
  <c r="L77" i="36"/>
  <c r="H77" i="36"/>
  <c r="N77" i="36" s="1"/>
  <c r="D77" i="36"/>
  <c r="B77" i="36"/>
  <c r="X76" i="36"/>
  <c r="Z76" i="36" s="1"/>
  <c r="N76" i="36"/>
  <c r="L76" i="36"/>
  <c r="J76" i="36"/>
  <c r="B76" i="36"/>
  <c r="X75" i="36"/>
  <c r="T75" i="36"/>
  <c r="Z75" i="36" s="1"/>
  <c r="P75" i="36"/>
  <c r="H75" i="36"/>
  <c r="D75" i="36"/>
  <c r="L75" i="36" s="1"/>
  <c r="B75" i="36"/>
  <c r="X74" i="36"/>
  <c r="Z74" i="36" s="1"/>
  <c r="L74" i="36"/>
  <c r="N74" i="36" s="1"/>
  <c r="J74" i="36"/>
  <c r="B74" i="36"/>
  <c r="X73" i="36"/>
  <c r="T73" i="36"/>
  <c r="Z73" i="36" s="1"/>
  <c r="P73" i="36"/>
  <c r="H73" i="36"/>
  <c r="D73" i="36"/>
  <c r="B73" i="36"/>
  <c r="Z72" i="36"/>
  <c r="X72" i="36"/>
  <c r="L72" i="36"/>
  <c r="N72" i="36" s="1"/>
  <c r="B72" i="36"/>
  <c r="Z71" i="36"/>
  <c r="X71" i="36"/>
  <c r="T71" i="36"/>
  <c r="P71" i="36"/>
  <c r="N71" i="36"/>
  <c r="H71" i="36"/>
  <c r="D71" i="36"/>
  <c r="L71" i="36" s="1"/>
  <c r="B71" i="36"/>
  <c r="Z70" i="36"/>
  <c r="X70" i="36"/>
  <c r="N70" i="36"/>
  <c r="L70" i="36"/>
  <c r="B70" i="36"/>
  <c r="T69" i="36"/>
  <c r="Z69" i="36" s="1"/>
  <c r="P69" i="36"/>
  <c r="L69" i="36"/>
  <c r="J69" i="36"/>
  <c r="H69" i="36"/>
  <c r="N69" i="36" s="1"/>
  <c r="D69" i="36"/>
  <c r="B69" i="36"/>
  <c r="X68" i="36"/>
  <c r="Z68" i="36" s="1"/>
  <c r="N68" i="36"/>
  <c r="L68" i="36"/>
  <c r="B68" i="36"/>
  <c r="T67" i="36"/>
  <c r="P67" i="36"/>
  <c r="X67" i="36" s="1"/>
  <c r="L67" i="36"/>
  <c r="H67" i="36"/>
  <c r="D67" i="36"/>
  <c r="B67" i="36"/>
  <c r="X66" i="36"/>
  <c r="Z66" i="36" s="1"/>
  <c r="N66" i="36"/>
  <c r="L66" i="36"/>
  <c r="J66" i="36"/>
  <c r="B66" i="36"/>
  <c r="Z65" i="36"/>
  <c r="T65" i="36"/>
  <c r="P65" i="36"/>
  <c r="X65" i="36" s="1"/>
  <c r="N65" i="36"/>
  <c r="L65" i="36"/>
  <c r="H65" i="36"/>
  <c r="D65" i="36"/>
  <c r="B65" i="36"/>
  <c r="X64" i="36"/>
  <c r="Z64" i="36" s="1"/>
  <c r="L64" i="36"/>
  <c r="N64" i="36" s="1"/>
  <c r="J64" i="36"/>
  <c r="B64" i="36"/>
  <c r="X63" i="36"/>
  <c r="T63" i="36"/>
  <c r="Z63" i="36" s="1"/>
  <c r="P63" i="36"/>
  <c r="H63" i="36"/>
  <c r="D63" i="36"/>
  <c r="B63" i="36"/>
  <c r="X62" i="36"/>
  <c r="Z62" i="36" s="1"/>
  <c r="L62" i="36"/>
  <c r="N62" i="36" s="1"/>
  <c r="J62" i="36"/>
  <c r="B62" i="36"/>
  <c r="X61" i="36"/>
  <c r="Z61" i="36" s="1"/>
  <c r="N61" i="36"/>
  <c r="L61" i="36"/>
  <c r="B61" i="36"/>
  <c r="Z60" i="36"/>
  <c r="X60" i="36"/>
  <c r="N60" i="36"/>
  <c r="L60" i="36"/>
  <c r="B60" i="36"/>
  <c r="T59" i="36"/>
  <c r="P59" i="36"/>
  <c r="L59" i="36"/>
  <c r="H59" i="36"/>
  <c r="N59" i="36" s="1"/>
  <c r="D59" i="36"/>
  <c r="B59" i="36"/>
  <c r="X58" i="36"/>
  <c r="Z58" i="36" s="1"/>
  <c r="N58" i="36"/>
  <c r="L58" i="36"/>
  <c r="J58" i="36"/>
  <c r="B58" i="36"/>
  <c r="Z57" i="36"/>
  <c r="T57" i="36"/>
  <c r="P57" i="36"/>
  <c r="X57" i="36" s="1"/>
  <c r="H57" i="36"/>
  <c r="D57" i="36"/>
  <c r="B57" i="36"/>
  <c r="X56" i="36"/>
  <c r="Z56" i="36" s="1"/>
  <c r="L56" i="36"/>
  <c r="N56" i="36" s="1"/>
  <c r="J56" i="36"/>
  <c r="B56" i="36"/>
  <c r="X55" i="36"/>
  <c r="T55" i="36"/>
  <c r="Z55" i="36" s="1"/>
  <c r="P55" i="36"/>
  <c r="J55" i="36"/>
  <c r="H55" i="36"/>
  <c r="N55" i="36" s="1"/>
  <c r="D55" i="36"/>
  <c r="L55" i="36" s="1"/>
  <c r="B55" i="36"/>
  <c r="X54" i="36"/>
  <c r="Z54" i="36" s="1"/>
  <c r="L54" i="36"/>
  <c r="N54" i="36" s="1"/>
  <c r="J54" i="36"/>
  <c r="B54" i="36"/>
  <c r="X53" i="36"/>
  <c r="T53" i="36"/>
  <c r="P53" i="36"/>
  <c r="J53" i="36"/>
  <c r="H53" i="36"/>
  <c r="D53" i="36"/>
  <c r="L53" i="36" s="1"/>
  <c r="B53" i="36"/>
  <c r="Z52" i="36"/>
  <c r="X52" i="36"/>
  <c r="N52" i="36"/>
  <c r="L52" i="36"/>
  <c r="B52" i="36"/>
  <c r="Z51" i="36"/>
  <c r="X51" i="36"/>
  <c r="N51" i="36"/>
  <c r="L51" i="36"/>
  <c r="J51" i="36"/>
  <c r="B51" i="36"/>
  <c r="X50" i="36"/>
  <c r="Z50" i="36" s="1"/>
  <c r="N50" i="36"/>
  <c r="L50" i="36"/>
  <c r="J50" i="36"/>
  <c r="B50" i="36"/>
  <c r="Z49" i="36"/>
  <c r="X49" i="36"/>
  <c r="N49" i="36"/>
  <c r="L49" i="36"/>
  <c r="J49" i="36"/>
  <c r="B49" i="36"/>
  <c r="Z48" i="36"/>
  <c r="X48" i="36"/>
  <c r="N48" i="36"/>
  <c r="L48" i="36"/>
  <c r="B48" i="36"/>
  <c r="Z47" i="36"/>
  <c r="X47" i="36"/>
  <c r="L47" i="36"/>
  <c r="N47" i="36" s="1"/>
  <c r="J47" i="36"/>
  <c r="B47" i="36"/>
  <c r="X46" i="36"/>
  <c r="Z46" i="36" s="1"/>
  <c r="N46" i="36"/>
  <c r="L46" i="36"/>
  <c r="J46" i="36"/>
  <c r="B46" i="36"/>
  <c r="Z45" i="36"/>
  <c r="X45" i="36"/>
  <c r="N45" i="36"/>
  <c r="L45" i="36"/>
  <c r="J45" i="36"/>
  <c r="B45" i="36"/>
  <c r="Z44" i="36"/>
  <c r="X44" i="36"/>
  <c r="L44" i="36"/>
  <c r="N44" i="36" s="1"/>
  <c r="B44" i="36"/>
  <c r="Z43" i="36"/>
  <c r="X43" i="36"/>
  <c r="L43" i="36"/>
  <c r="N43" i="36" s="1"/>
  <c r="J43" i="36"/>
  <c r="B43" i="36"/>
  <c r="T42" i="36"/>
  <c r="P42" i="36"/>
  <c r="H42" i="36"/>
  <c r="D42" i="36"/>
  <c r="B42" i="36"/>
  <c r="X41" i="36"/>
  <c r="Z41" i="36" s="1"/>
  <c r="L41" i="36"/>
  <c r="N41" i="36" s="1"/>
  <c r="B41" i="36"/>
  <c r="X40" i="36"/>
  <c r="Z40" i="36" s="1"/>
  <c r="L40" i="36"/>
  <c r="N40" i="36" s="1"/>
  <c r="J40" i="36"/>
  <c r="B40" i="36"/>
  <c r="X39" i="36"/>
  <c r="Z39" i="36" s="1"/>
  <c r="N39" i="36"/>
  <c r="L39" i="36"/>
  <c r="J39" i="36"/>
  <c r="B39" i="36"/>
  <c r="Z38" i="36"/>
  <c r="X38" i="36"/>
  <c r="N38" i="36"/>
  <c r="L38" i="36"/>
  <c r="B38" i="36"/>
  <c r="Z37" i="36"/>
  <c r="X37" i="36"/>
  <c r="N37" i="36"/>
  <c r="L37" i="36"/>
  <c r="B37" i="36"/>
  <c r="X36" i="36"/>
  <c r="Z36" i="36" s="1"/>
  <c r="L36" i="36"/>
  <c r="N36" i="36" s="1"/>
  <c r="J36" i="36"/>
  <c r="B36" i="36"/>
  <c r="X35" i="36"/>
  <c r="Z35" i="36" s="1"/>
  <c r="N35" i="36"/>
  <c r="L35" i="36"/>
  <c r="J35" i="36"/>
  <c r="B35" i="36"/>
  <c r="Z34" i="36"/>
  <c r="X34" i="36"/>
  <c r="L34" i="36"/>
  <c r="N34" i="36" s="1"/>
  <c r="B34" i="36"/>
  <c r="Z33" i="36"/>
  <c r="X33" i="36"/>
  <c r="L33" i="36"/>
  <c r="N33" i="36" s="1"/>
  <c r="B33" i="36"/>
  <c r="X32" i="36"/>
  <c r="Z32" i="36" s="1"/>
  <c r="L32" i="36"/>
  <c r="N32" i="36" s="1"/>
  <c r="J32" i="36"/>
  <c r="B32" i="36"/>
  <c r="X31" i="36"/>
  <c r="T31" i="36"/>
  <c r="Z31" i="36" s="1"/>
  <c r="P31" i="36"/>
  <c r="N31" i="36"/>
  <c r="L31" i="36"/>
  <c r="H31" i="36"/>
  <c r="J31" i="36" s="1"/>
  <c r="D31" i="36"/>
  <c r="B31" i="36"/>
  <c r="T30" i="36"/>
  <c r="P30" i="36"/>
  <c r="X30" i="36" s="1"/>
  <c r="H30" i="36"/>
  <c r="J30" i="36" s="1"/>
  <c r="D30" i="36"/>
  <c r="L30" i="36" s="1"/>
  <c r="N30" i="36" s="1"/>
  <c r="H28" i="36"/>
  <c r="Z26" i="36"/>
  <c r="X26" i="36"/>
  <c r="N26" i="36"/>
  <c r="L26" i="36"/>
  <c r="J26" i="36"/>
  <c r="B26" i="36"/>
  <c r="Z25" i="36"/>
  <c r="X25" i="36"/>
  <c r="N25" i="36"/>
  <c r="L25" i="36"/>
  <c r="J25" i="36"/>
  <c r="B25" i="36"/>
  <c r="X24" i="36"/>
  <c r="Z24" i="36" s="1"/>
  <c r="N24" i="36"/>
  <c r="L24" i="36"/>
  <c r="B24" i="36"/>
  <c r="T23" i="36"/>
  <c r="P23" i="36"/>
  <c r="L23" i="36"/>
  <c r="N23" i="36" s="1"/>
  <c r="H23" i="36"/>
  <c r="D23" i="36"/>
  <c r="Z21" i="36"/>
  <c r="P21" i="36"/>
  <c r="X21" i="36" s="1"/>
  <c r="N21" i="36"/>
  <c r="D21" i="36"/>
  <c r="L21" i="36" s="1"/>
  <c r="B21" i="36"/>
  <c r="Z20" i="36"/>
  <c r="P20" i="36"/>
  <c r="X20" i="36" s="1"/>
  <c r="N20" i="36"/>
  <c r="D20" i="36"/>
  <c r="L20" i="36" s="1"/>
  <c r="B20" i="36"/>
  <c r="Z19" i="36"/>
  <c r="P19" i="36"/>
  <c r="X19" i="36" s="1"/>
  <c r="N19" i="36"/>
  <c r="D19" i="36"/>
  <c r="L19" i="36" s="1"/>
  <c r="B19" i="36"/>
  <c r="X18" i="36"/>
  <c r="Z18" i="36" s="1"/>
  <c r="P18" i="36"/>
  <c r="D18" i="36"/>
  <c r="L18" i="36" s="1"/>
  <c r="N18" i="36" s="1"/>
  <c r="B18" i="36"/>
  <c r="Z17" i="36"/>
  <c r="X17" i="36"/>
  <c r="P17" i="36"/>
  <c r="N17" i="36"/>
  <c r="D17" i="36"/>
  <c r="L17" i="36" s="1"/>
  <c r="B17" i="36"/>
  <c r="Z16" i="36"/>
  <c r="X16" i="36"/>
  <c r="P16" i="36"/>
  <c r="N16" i="36"/>
  <c r="L16" i="36"/>
  <c r="D16" i="36"/>
  <c r="B16" i="36"/>
  <c r="Z15" i="36"/>
  <c r="X15" i="36"/>
  <c r="P15" i="36"/>
  <c r="N15" i="36"/>
  <c r="L15" i="36"/>
  <c r="D15" i="36"/>
  <c r="B15" i="36"/>
  <c r="Z14" i="36"/>
  <c r="X14" i="36"/>
  <c r="P14" i="36"/>
  <c r="P12" i="36" s="1"/>
  <c r="N14" i="36"/>
  <c r="D14" i="36"/>
  <c r="L14" i="36" s="1"/>
  <c r="B14" i="36"/>
  <c r="P13" i="36"/>
  <c r="X13" i="36" s="1"/>
  <c r="Z13" i="36" s="1"/>
  <c r="L13" i="36"/>
  <c r="N13" i="36" s="1"/>
  <c r="D13" i="36"/>
  <c r="B13" i="36"/>
  <c r="T12" i="36"/>
  <c r="V85" i="36" s="1"/>
  <c r="H12" i="36"/>
  <c r="J119" i="36" s="1"/>
  <c r="D4" i="36"/>
  <c r="Z90" i="33"/>
  <c r="X90" i="33"/>
  <c r="N90" i="33"/>
  <c r="L90" i="33"/>
  <c r="Z86" i="33"/>
  <c r="V86" i="33"/>
  <c r="P86" i="33"/>
  <c r="N86" i="33"/>
  <c r="D86" i="33"/>
  <c r="L86" i="33" s="1"/>
  <c r="B86" i="33"/>
  <c r="X85" i="33"/>
  <c r="Z85" i="33" s="1"/>
  <c r="V85" i="33"/>
  <c r="P85" i="33"/>
  <c r="N85" i="33"/>
  <c r="L85" i="33"/>
  <c r="D85" i="33"/>
  <c r="B85" i="33"/>
  <c r="T84" i="33"/>
  <c r="J84" i="33"/>
  <c r="H84" i="33"/>
  <c r="Z82" i="33"/>
  <c r="X82" i="33"/>
  <c r="N82" i="33"/>
  <c r="L82" i="33"/>
  <c r="B82" i="33"/>
  <c r="Z81" i="33"/>
  <c r="T81" i="33"/>
  <c r="P81" i="33"/>
  <c r="X81" i="33" s="1"/>
  <c r="H81" i="33"/>
  <c r="N81" i="33" s="1"/>
  <c r="D81" i="33"/>
  <c r="L81" i="33" s="1"/>
  <c r="B81" i="33"/>
  <c r="Z80" i="33"/>
  <c r="X80" i="33"/>
  <c r="N80" i="33"/>
  <c r="L80" i="33"/>
  <c r="B80" i="33"/>
  <c r="V79" i="33"/>
  <c r="T79" i="33"/>
  <c r="P79" i="33"/>
  <c r="N79" i="33"/>
  <c r="L79" i="33"/>
  <c r="H79" i="33"/>
  <c r="D79" i="33"/>
  <c r="B79" i="33"/>
  <c r="Z78" i="33"/>
  <c r="X78" i="33"/>
  <c r="V78" i="33"/>
  <c r="N78" i="33"/>
  <c r="L78" i="33"/>
  <c r="B78" i="33"/>
  <c r="X77" i="33"/>
  <c r="Z77" i="33" s="1"/>
  <c r="N77" i="33"/>
  <c r="L77" i="33"/>
  <c r="J77" i="33"/>
  <c r="B77" i="33"/>
  <c r="X76" i="33"/>
  <c r="Z76" i="33" s="1"/>
  <c r="N76" i="33"/>
  <c r="L76" i="33"/>
  <c r="B76" i="33"/>
  <c r="Z75" i="33"/>
  <c r="X75" i="33"/>
  <c r="V75" i="33"/>
  <c r="N75" i="33"/>
  <c r="L75" i="33"/>
  <c r="B75" i="33"/>
  <c r="Z74" i="33"/>
  <c r="X74" i="33"/>
  <c r="V74" i="33"/>
  <c r="N74" i="33"/>
  <c r="L74" i="33"/>
  <c r="J74" i="33"/>
  <c r="B74" i="33"/>
  <c r="T73" i="33"/>
  <c r="P73" i="33"/>
  <c r="H73" i="33"/>
  <c r="L73" i="33" s="1"/>
  <c r="D73" i="33"/>
  <c r="B73" i="33"/>
  <c r="Z72" i="33"/>
  <c r="X72" i="33"/>
  <c r="N72" i="33"/>
  <c r="L72" i="33"/>
  <c r="J72" i="33"/>
  <c r="B72" i="33"/>
  <c r="Z71" i="33"/>
  <c r="X71" i="33"/>
  <c r="T71" i="33"/>
  <c r="P71" i="33"/>
  <c r="H71" i="33"/>
  <c r="N71" i="33" s="1"/>
  <c r="D71" i="33"/>
  <c r="L71" i="33" s="1"/>
  <c r="B71" i="33"/>
  <c r="Z70" i="33"/>
  <c r="X70" i="33"/>
  <c r="L70" i="33"/>
  <c r="N70" i="33" s="1"/>
  <c r="B70" i="33"/>
  <c r="T69" i="33"/>
  <c r="P69" i="33"/>
  <c r="H69" i="33"/>
  <c r="D69" i="33"/>
  <c r="B69" i="33"/>
  <c r="Z68" i="33"/>
  <c r="X68" i="33"/>
  <c r="V68" i="33"/>
  <c r="N68" i="33"/>
  <c r="L68" i="33"/>
  <c r="B68" i="33"/>
  <c r="Z67" i="33"/>
  <c r="X67" i="33"/>
  <c r="N67" i="33"/>
  <c r="L67" i="33"/>
  <c r="B67" i="33"/>
  <c r="Z66" i="33"/>
  <c r="X66" i="33"/>
  <c r="N66" i="33"/>
  <c r="L66" i="33"/>
  <c r="B66" i="33"/>
  <c r="V65" i="33"/>
  <c r="T65" i="33"/>
  <c r="P65" i="33"/>
  <c r="H65" i="33"/>
  <c r="D65" i="33"/>
  <c r="L65" i="33" s="1"/>
  <c r="N65" i="33" s="1"/>
  <c r="B65" i="33"/>
  <c r="X64" i="33"/>
  <c r="Z64" i="33" s="1"/>
  <c r="V64" i="33"/>
  <c r="L64" i="33"/>
  <c r="N64" i="33" s="1"/>
  <c r="B64" i="33"/>
  <c r="X63" i="33"/>
  <c r="Z63" i="33" s="1"/>
  <c r="V63" i="33"/>
  <c r="N63" i="33"/>
  <c r="L63" i="33"/>
  <c r="B63" i="33"/>
  <c r="T62" i="33"/>
  <c r="P62" i="33"/>
  <c r="X62" i="33" s="1"/>
  <c r="Z62" i="33" s="1"/>
  <c r="L62" i="33"/>
  <c r="J62" i="33"/>
  <c r="H62" i="33"/>
  <c r="D62" i="33"/>
  <c r="B62" i="33"/>
  <c r="Z61" i="33"/>
  <c r="X61" i="33"/>
  <c r="N61" i="33"/>
  <c r="L61" i="33"/>
  <c r="J61" i="33"/>
  <c r="B61" i="33"/>
  <c r="T60" i="33"/>
  <c r="P60" i="33"/>
  <c r="N60" i="33"/>
  <c r="H60" i="33"/>
  <c r="L60" i="33" s="1"/>
  <c r="D60" i="33"/>
  <c r="B60" i="33"/>
  <c r="X59" i="33"/>
  <c r="Z59" i="33" s="1"/>
  <c r="L59" i="33"/>
  <c r="N59" i="33" s="1"/>
  <c r="J59" i="33"/>
  <c r="B59" i="33"/>
  <c r="Z58" i="33"/>
  <c r="T58" i="33"/>
  <c r="P58" i="33"/>
  <c r="X58" i="33" s="1"/>
  <c r="J58" i="33"/>
  <c r="H58" i="33"/>
  <c r="D58" i="33"/>
  <c r="L58" i="33" s="1"/>
  <c r="B58" i="33"/>
  <c r="Z57" i="33"/>
  <c r="X57" i="33"/>
  <c r="N57" i="33"/>
  <c r="L57" i="33"/>
  <c r="B57" i="33"/>
  <c r="X56" i="33"/>
  <c r="V56" i="33"/>
  <c r="T56" i="33"/>
  <c r="Z56" i="33" s="1"/>
  <c r="P56" i="33"/>
  <c r="H56" i="33"/>
  <c r="D56" i="33"/>
  <c r="L56" i="33" s="1"/>
  <c r="N56" i="33" s="1"/>
  <c r="B56" i="33"/>
  <c r="X55" i="33"/>
  <c r="Z55" i="33" s="1"/>
  <c r="N55" i="33"/>
  <c r="L55" i="33"/>
  <c r="B55" i="33"/>
  <c r="T54" i="33"/>
  <c r="P54" i="33"/>
  <c r="H54" i="33"/>
  <c r="D54" i="33"/>
  <c r="B54" i="33"/>
  <c r="Z53" i="33"/>
  <c r="X53" i="33"/>
  <c r="V53" i="33"/>
  <c r="N53" i="33"/>
  <c r="L53" i="33"/>
  <c r="B53" i="33"/>
  <c r="Z52" i="33"/>
  <c r="X52" i="33"/>
  <c r="V52" i="33"/>
  <c r="N52" i="33"/>
  <c r="L52" i="33"/>
  <c r="J52" i="33"/>
  <c r="B52" i="33"/>
  <c r="Z51" i="33"/>
  <c r="X51" i="33"/>
  <c r="N51" i="33"/>
  <c r="L51" i="33"/>
  <c r="J51" i="33"/>
  <c r="B51" i="33"/>
  <c r="Z50" i="33"/>
  <c r="X50" i="33"/>
  <c r="N50" i="33"/>
  <c r="L50" i="33"/>
  <c r="B50" i="33"/>
  <c r="Z49" i="33"/>
  <c r="X49" i="33"/>
  <c r="V49" i="33"/>
  <c r="N49" i="33"/>
  <c r="L49" i="33"/>
  <c r="B49" i="33"/>
  <c r="Z48" i="33"/>
  <c r="X48" i="33"/>
  <c r="V48" i="33"/>
  <c r="N48" i="33"/>
  <c r="L48" i="33"/>
  <c r="J48" i="33"/>
  <c r="B48" i="33"/>
  <c r="Z47" i="33"/>
  <c r="X47" i="33"/>
  <c r="N47" i="33"/>
  <c r="L47" i="33"/>
  <c r="J47" i="33"/>
  <c r="B47" i="33"/>
  <c r="Z46" i="33"/>
  <c r="X46" i="33"/>
  <c r="N46" i="33"/>
  <c r="L46" i="33"/>
  <c r="B46" i="33"/>
  <c r="Z45" i="33"/>
  <c r="X45" i="33"/>
  <c r="V45" i="33"/>
  <c r="N45" i="33"/>
  <c r="L45" i="33"/>
  <c r="B45" i="33"/>
  <c r="Z44" i="33"/>
  <c r="X44" i="33"/>
  <c r="V44" i="33"/>
  <c r="N44" i="33"/>
  <c r="L44" i="33"/>
  <c r="J44" i="33"/>
  <c r="B44" i="33"/>
  <c r="V43" i="33"/>
  <c r="T43" i="33"/>
  <c r="P43" i="33"/>
  <c r="X43" i="33" s="1"/>
  <c r="Z43" i="33" s="1"/>
  <c r="H43" i="33"/>
  <c r="D43" i="33"/>
  <c r="B43" i="33"/>
  <c r="Z42" i="33"/>
  <c r="X42" i="33"/>
  <c r="N42" i="33"/>
  <c r="L42" i="33"/>
  <c r="B42" i="33"/>
  <c r="Z41" i="33"/>
  <c r="X41" i="33"/>
  <c r="N41" i="33"/>
  <c r="L41" i="33"/>
  <c r="B41" i="33"/>
  <c r="X40" i="33"/>
  <c r="Z40" i="33" s="1"/>
  <c r="V40" i="33"/>
  <c r="L40" i="33"/>
  <c r="N40" i="33" s="1"/>
  <c r="B40" i="33"/>
  <c r="Z39" i="33"/>
  <c r="X39" i="33"/>
  <c r="V39" i="33"/>
  <c r="N39" i="33"/>
  <c r="L39" i="33"/>
  <c r="J39" i="33"/>
  <c r="B39" i="33"/>
  <c r="X38" i="33"/>
  <c r="Z38" i="33" s="1"/>
  <c r="N38" i="33"/>
  <c r="L38" i="33"/>
  <c r="B38" i="33"/>
  <c r="Z37" i="33"/>
  <c r="X37" i="33"/>
  <c r="N37" i="33"/>
  <c r="L37" i="33"/>
  <c r="B37" i="33"/>
  <c r="X36" i="33"/>
  <c r="Z36" i="33" s="1"/>
  <c r="V36" i="33"/>
  <c r="L36" i="33"/>
  <c r="N36" i="33" s="1"/>
  <c r="B36" i="33"/>
  <c r="X35" i="33"/>
  <c r="Z35" i="33" s="1"/>
  <c r="V35" i="33"/>
  <c r="L35" i="33"/>
  <c r="N35" i="33" s="1"/>
  <c r="J35" i="33"/>
  <c r="B35" i="33"/>
  <c r="X34" i="33"/>
  <c r="Z34" i="33" s="1"/>
  <c r="N34" i="33"/>
  <c r="L34" i="33"/>
  <c r="B34" i="33"/>
  <c r="T33" i="33"/>
  <c r="P33" i="33"/>
  <c r="X33" i="33" s="1"/>
  <c r="Z33" i="33" s="1"/>
  <c r="J33" i="33"/>
  <c r="H33" i="33"/>
  <c r="D33" i="33"/>
  <c r="L33" i="33" s="1"/>
  <c r="B33" i="33"/>
  <c r="T32" i="33"/>
  <c r="P32" i="33"/>
  <c r="H32" i="33"/>
  <c r="L32" i="33" s="1"/>
  <c r="D32" i="33"/>
  <c r="H30" i="33"/>
  <c r="Z28" i="33"/>
  <c r="X28" i="33"/>
  <c r="N28" i="33"/>
  <c r="L28" i="33"/>
  <c r="J28" i="33"/>
  <c r="B28" i="33"/>
  <c r="Z27" i="33"/>
  <c r="X27" i="33"/>
  <c r="V27" i="33"/>
  <c r="N27" i="33"/>
  <c r="L27" i="33"/>
  <c r="J27" i="33"/>
  <c r="B27" i="33"/>
  <c r="Z26" i="33"/>
  <c r="T26" i="33"/>
  <c r="P26" i="33"/>
  <c r="H26" i="33"/>
  <c r="N26" i="33" s="1"/>
  <c r="D26" i="33"/>
  <c r="Z24" i="33"/>
  <c r="X24" i="33"/>
  <c r="P24" i="33"/>
  <c r="N24" i="33"/>
  <c r="L24" i="33"/>
  <c r="D24" i="33"/>
  <c r="B24" i="33"/>
  <c r="Z23" i="33"/>
  <c r="P23" i="33"/>
  <c r="X23" i="33" s="1"/>
  <c r="N23" i="33"/>
  <c r="D23" i="33"/>
  <c r="L23" i="33" s="1"/>
  <c r="B23" i="33"/>
  <c r="Z22" i="33"/>
  <c r="P22" i="33"/>
  <c r="X22" i="33" s="1"/>
  <c r="N22" i="33"/>
  <c r="D22" i="33"/>
  <c r="L22" i="33" s="1"/>
  <c r="B22" i="33"/>
  <c r="Z21" i="33"/>
  <c r="P21" i="33"/>
  <c r="X21" i="33" s="1"/>
  <c r="N21" i="33"/>
  <c r="L21" i="33"/>
  <c r="D21" i="33"/>
  <c r="B21" i="33"/>
  <c r="Z20" i="33"/>
  <c r="X20" i="33"/>
  <c r="P20" i="33"/>
  <c r="N20" i="33"/>
  <c r="D20" i="33"/>
  <c r="L20" i="33" s="1"/>
  <c r="B20" i="33"/>
  <c r="Z19" i="33"/>
  <c r="X19" i="33"/>
  <c r="P19" i="33"/>
  <c r="N19" i="33"/>
  <c r="D19" i="33"/>
  <c r="L19" i="33" s="1"/>
  <c r="B19" i="33"/>
  <c r="X18" i="33"/>
  <c r="Z18" i="33" s="1"/>
  <c r="P18" i="33"/>
  <c r="D18" i="33"/>
  <c r="L18" i="33" s="1"/>
  <c r="N18" i="33" s="1"/>
  <c r="B18" i="33"/>
  <c r="Z17" i="33"/>
  <c r="P17" i="33"/>
  <c r="X17" i="33" s="1"/>
  <c r="N17" i="33"/>
  <c r="L17" i="33"/>
  <c r="D17" i="33"/>
  <c r="B17" i="33"/>
  <c r="Z16" i="33"/>
  <c r="X16" i="33"/>
  <c r="P16" i="33"/>
  <c r="N16" i="33"/>
  <c r="L16" i="33"/>
  <c r="D16" i="33"/>
  <c r="B16" i="33"/>
  <c r="Z15" i="33"/>
  <c r="X15" i="33"/>
  <c r="P15" i="33"/>
  <c r="N15" i="33"/>
  <c r="L15" i="33"/>
  <c r="D15" i="33"/>
  <c r="B15" i="33"/>
  <c r="Z14" i="33"/>
  <c r="P14" i="33"/>
  <c r="X14" i="33" s="1"/>
  <c r="N14" i="33"/>
  <c r="D14" i="33"/>
  <c r="B14" i="33"/>
  <c r="P13" i="33"/>
  <c r="X13" i="33" s="1"/>
  <c r="Z13" i="33" s="1"/>
  <c r="L13" i="33"/>
  <c r="N13" i="33" s="1"/>
  <c r="D13" i="33"/>
  <c r="B13" i="33"/>
  <c r="T12" i="33"/>
  <c r="V71" i="33" s="1"/>
  <c r="H12" i="33"/>
  <c r="D4" i="33"/>
  <c r="X175" i="30"/>
  <c r="Z175" i="30" s="1"/>
  <c r="N175" i="30"/>
  <c r="L175" i="30"/>
  <c r="Z171" i="30"/>
  <c r="P171" i="30"/>
  <c r="X171" i="30" s="1"/>
  <c r="N171" i="30"/>
  <c r="D171" i="30"/>
  <c r="L171" i="30" s="1"/>
  <c r="B171" i="30"/>
  <c r="X170" i="30"/>
  <c r="Z170" i="30" s="1"/>
  <c r="P170" i="30"/>
  <c r="N170" i="30"/>
  <c r="D170" i="30"/>
  <c r="L170" i="30" s="1"/>
  <c r="B170" i="30"/>
  <c r="P169" i="30"/>
  <c r="X169" i="30" s="1"/>
  <c r="Z169" i="30" s="1"/>
  <c r="L169" i="30"/>
  <c r="N169" i="30" s="1"/>
  <c r="J169" i="30"/>
  <c r="D169" i="30"/>
  <c r="B169" i="30"/>
  <c r="Z168" i="30"/>
  <c r="X168" i="30"/>
  <c r="P168" i="30"/>
  <c r="N168" i="30"/>
  <c r="D168" i="30"/>
  <c r="L168" i="30" s="1"/>
  <c r="B168" i="30"/>
  <c r="T167" i="30"/>
  <c r="H167" i="30"/>
  <c r="X165" i="30"/>
  <c r="Z165" i="30" s="1"/>
  <c r="N165" i="30"/>
  <c r="L165" i="30"/>
  <c r="B165" i="30"/>
  <c r="T164" i="30"/>
  <c r="X164" i="30" s="1"/>
  <c r="P164" i="30"/>
  <c r="H164" i="30"/>
  <c r="D164" i="30"/>
  <c r="L164" i="30" s="1"/>
  <c r="B164" i="30"/>
  <c r="Z163" i="30"/>
  <c r="X163" i="30"/>
  <c r="N163" i="30"/>
  <c r="L163" i="30"/>
  <c r="B163" i="30"/>
  <c r="X162" i="30"/>
  <c r="Z162" i="30" s="1"/>
  <c r="L162" i="30"/>
  <c r="N162" i="30" s="1"/>
  <c r="J162" i="30"/>
  <c r="B162" i="30"/>
  <c r="T161" i="30"/>
  <c r="P161" i="30"/>
  <c r="X161" i="30" s="1"/>
  <c r="Z161" i="30" s="1"/>
  <c r="H161" i="30"/>
  <c r="D161" i="30"/>
  <c r="B161" i="30"/>
  <c r="X160" i="30"/>
  <c r="Z160" i="30" s="1"/>
  <c r="N160" i="30"/>
  <c r="L160" i="30"/>
  <c r="B160" i="30"/>
  <c r="Z159" i="30"/>
  <c r="X159" i="30"/>
  <c r="T159" i="30"/>
  <c r="P159" i="30"/>
  <c r="L159" i="30"/>
  <c r="H159" i="30"/>
  <c r="N159" i="30" s="1"/>
  <c r="D159" i="30"/>
  <c r="B159" i="30"/>
  <c r="X158" i="30"/>
  <c r="Z158" i="30" s="1"/>
  <c r="L158" i="30"/>
  <c r="N158" i="30" s="1"/>
  <c r="J158" i="30"/>
  <c r="B158" i="30"/>
  <c r="X157" i="30"/>
  <c r="Z157" i="30" s="1"/>
  <c r="N157" i="30"/>
  <c r="L157" i="30"/>
  <c r="B157" i="30"/>
  <c r="T156" i="30"/>
  <c r="X156" i="30" s="1"/>
  <c r="P156" i="30"/>
  <c r="H156" i="30"/>
  <c r="D156" i="30"/>
  <c r="L156" i="30" s="1"/>
  <c r="B156" i="30"/>
  <c r="Z155" i="30"/>
  <c r="X155" i="30"/>
  <c r="N155" i="30"/>
  <c r="L155" i="30"/>
  <c r="B155" i="30"/>
  <c r="X154" i="30"/>
  <c r="Z154" i="30" s="1"/>
  <c r="L154" i="30"/>
  <c r="N154" i="30" s="1"/>
  <c r="J154" i="30"/>
  <c r="B154" i="30"/>
  <c r="Z153" i="30"/>
  <c r="X153" i="30"/>
  <c r="N153" i="30"/>
  <c r="L153" i="30"/>
  <c r="B153" i="30"/>
  <c r="Z152" i="30"/>
  <c r="X152" i="30"/>
  <c r="L152" i="30"/>
  <c r="N152" i="30" s="1"/>
  <c r="B152" i="30"/>
  <c r="Z151" i="30"/>
  <c r="X151" i="30"/>
  <c r="N151" i="30"/>
  <c r="L151" i="30"/>
  <c r="B151" i="30"/>
  <c r="X150" i="30"/>
  <c r="Z150" i="30" s="1"/>
  <c r="L150" i="30"/>
  <c r="N150" i="30" s="1"/>
  <c r="B150" i="30"/>
  <c r="Z149" i="30"/>
  <c r="X149" i="30"/>
  <c r="L149" i="30"/>
  <c r="N149" i="30" s="1"/>
  <c r="J149" i="30"/>
  <c r="B149" i="30"/>
  <c r="Z148" i="30"/>
  <c r="X148" i="30"/>
  <c r="L148" i="30"/>
  <c r="N148" i="30" s="1"/>
  <c r="B148" i="30"/>
  <c r="T147" i="30"/>
  <c r="P147" i="30"/>
  <c r="X147" i="30" s="1"/>
  <c r="Z147" i="30" s="1"/>
  <c r="H147" i="30"/>
  <c r="D147" i="30"/>
  <c r="L147" i="30" s="1"/>
  <c r="N147" i="30" s="1"/>
  <c r="B147" i="30"/>
  <c r="Z146" i="30"/>
  <c r="X146" i="30"/>
  <c r="N146" i="30"/>
  <c r="L146" i="30"/>
  <c r="B146" i="30"/>
  <c r="X145" i="30"/>
  <c r="Z145" i="30" s="1"/>
  <c r="N145" i="30"/>
  <c r="L145" i="30"/>
  <c r="B145" i="30"/>
  <c r="T144" i="30"/>
  <c r="P144" i="30"/>
  <c r="X144" i="30" s="1"/>
  <c r="L144" i="30"/>
  <c r="H144" i="30"/>
  <c r="N144" i="30" s="1"/>
  <c r="D144" i="30"/>
  <c r="B144" i="30"/>
  <c r="Z143" i="30"/>
  <c r="X143" i="30"/>
  <c r="N143" i="30"/>
  <c r="L143" i="30"/>
  <c r="B143" i="30"/>
  <c r="X142" i="30"/>
  <c r="Z142" i="30" s="1"/>
  <c r="L142" i="30"/>
  <c r="N142" i="30" s="1"/>
  <c r="B142" i="30"/>
  <c r="Z141" i="30"/>
  <c r="X141" i="30"/>
  <c r="N141" i="30"/>
  <c r="L141" i="30"/>
  <c r="B141" i="30"/>
  <c r="T140" i="30"/>
  <c r="X140" i="30" s="1"/>
  <c r="Z140" i="30" s="1"/>
  <c r="P140" i="30"/>
  <c r="H140" i="30"/>
  <c r="D140" i="30"/>
  <c r="B140" i="30"/>
  <c r="Z139" i="30"/>
  <c r="X139" i="30"/>
  <c r="N139" i="30"/>
  <c r="L139" i="30"/>
  <c r="B139" i="30"/>
  <c r="X138" i="30"/>
  <c r="Z138" i="30" s="1"/>
  <c r="L138" i="30"/>
  <c r="N138" i="30" s="1"/>
  <c r="J138" i="30"/>
  <c r="B138" i="30"/>
  <c r="Z137" i="30"/>
  <c r="X137" i="30"/>
  <c r="L137" i="30"/>
  <c r="N137" i="30" s="1"/>
  <c r="J137" i="30"/>
  <c r="B137" i="30"/>
  <c r="Z136" i="30"/>
  <c r="T136" i="30"/>
  <c r="P136" i="30"/>
  <c r="X136" i="30" s="1"/>
  <c r="H136" i="30"/>
  <c r="D136" i="30"/>
  <c r="L136" i="30" s="1"/>
  <c r="B136" i="30"/>
  <c r="Z135" i="30"/>
  <c r="X135" i="30"/>
  <c r="N135" i="30"/>
  <c r="L135" i="30"/>
  <c r="B135" i="30"/>
  <c r="Z134" i="30"/>
  <c r="X134" i="30"/>
  <c r="N134" i="30"/>
  <c r="L134" i="30"/>
  <c r="B134" i="30"/>
  <c r="Z133" i="30"/>
  <c r="X133" i="30"/>
  <c r="N133" i="30"/>
  <c r="L133" i="30"/>
  <c r="B133" i="30"/>
  <c r="T132" i="30"/>
  <c r="Z132" i="30" s="1"/>
  <c r="P132" i="30"/>
  <c r="X132" i="30" s="1"/>
  <c r="L132" i="30"/>
  <c r="J132" i="30"/>
  <c r="H132" i="30"/>
  <c r="N132" i="30" s="1"/>
  <c r="D132" i="30"/>
  <c r="B132" i="30"/>
  <c r="Z131" i="30"/>
  <c r="X131" i="30"/>
  <c r="N131" i="30"/>
  <c r="L131" i="30"/>
  <c r="B131" i="30"/>
  <c r="T130" i="30"/>
  <c r="P130" i="30"/>
  <c r="L130" i="30"/>
  <c r="N130" i="30" s="1"/>
  <c r="H130" i="30"/>
  <c r="D130" i="30"/>
  <c r="B130" i="30"/>
  <c r="Z129" i="30"/>
  <c r="X129" i="30"/>
  <c r="N129" i="30"/>
  <c r="L129" i="30"/>
  <c r="J129" i="30"/>
  <c r="B129" i="30"/>
  <c r="Z128" i="30"/>
  <c r="X128" i="30"/>
  <c r="T128" i="30"/>
  <c r="P128" i="30"/>
  <c r="H128" i="30"/>
  <c r="N128" i="30" s="1"/>
  <c r="D128" i="30"/>
  <c r="L128" i="30" s="1"/>
  <c r="B128" i="30"/>
  <c r="Z127" i="30"/>
  <c r="X127" i="30"/>
  <c r="N127" i="30"/>
  <c r="L127" i="30"/>
  <c r="B127" i="30"/>
  <c r="X126" i="30"/>
  <c r="Z126" i="30" s="1"/>
  <c r="L126" i="30"/>
  <c r="N126" i="30" s="1"/>
  <c r="B126" i="30"/>
  <c r="T125" i="30"/>
  <c r="P125" i="30"/>
  <c r="X125" i="30" s="1"/>
  <c r="N125" i="30"/>
  <c r="L125" i="30"/>
  <c r="H125" i="30"/>
  <c r="D125" i="30"/>
  <c r="B125" i="30"/>
  <c r="X124" i="30"/>
  <c r="Z124" i="30" s="1"/>
  <c r="N124" i="30"/>
  <c r="L124" i="30"/>
  <c r="B124" i="30"/>
  <c r="T123" i="30"/>
  <c r="P123" i="30"/>
  <c r="N123" i="30"/>
  <c r="L123" i="30"/>
  <c r="H123" i="30"/>
  <c r="D123" i="30"/>
  <c r="B123" i="30"/>
  <c r="X122" i="30"/>
  <c r="Z122" i="30" s="1"/>
  <c r="N122" i="30"/>
  <c r="L122" i="30"/>
  <c r="B122" i="30"/>
  <c r="Z121" i="30"/>
  <c r="X121" i="30"/>
  <c r="N121" i="30"/>
  <c r="L121" i="30"/>
  <c r="B121" i="30"/>
  <c r="Z120" i="30"/>
  <c r="T120" i="30"/>
  <c r="P120" i="30"/>
  <c r="X120" i="30" s="1"/>
  <c r="J120" i="30"/>
  <c r="H120" i="30"/>
  <c r="N120" i="30" s="1"/>
  <c r="D120" i="30"/>
  <c r="L120" i="30" s="1"/>
  <c r="B120" i="30"/>
  <c r="Z119" i="30"/>
  <c r="X119" i="30"/>
  <c r="N119" i="30"/>
  <c r="L119" i="30"/>
  <c r="B119" i="30"/>
  <c r="Z118" i="30"/>
  <c r="X118" i="30"/>
  <c r="N118" i="30"/>
  <c r="L118" i="30"/>
  <c r="B118" i="30"/>
  <c r="T117" i="30"/>
  <c r="P117" i="30"/>
  <c r="X117" i="30" s="1"/>
  <c r="H117" i="30"/>
  <c r="D117" i="30"/>
  <c r="L117" i="30" s="1"/>
  <c r="N117" i="30" s="1"/>
  <c r="B117" i="30"/>
  <c r="Z116" i="30"/>
  <c r="X116" i="30"/>
  <c r="N116" i="30"/>
  <c r="L116" i="30"/>
  <c r="B116" i="30"/>
  <c r="T115" i="30"/>
  <c r="P115" i="30"/>
  <c r="N115" i="30"/>
  <c r="L115" i="30"/>
  <c r="H115" i="30"/>
  <c r="D115" i="30"/>
  <c r="B115" i="30"/>
  <c r="Z114" i="30"/>
  <c r="X114" i="30"/>
  <c r="N114" i="30"/>
  <c r="L114" i="30"/>
  <c r="B114" i="30"/>
  <c r="T113" i="30"/>
  <c r="Z113" i="30" s="1"/>
  <c r="P113" i="30"/>
  <c r="X113" i="30" s="1"/>
  <c r="N113" i="30"/>
  <c r="H113" i="30"/>
  <c r="D113" i="30"/>
  <c r="L113" i="30" s="1"/>
  <c r="B113" i="30"/>
  <c r="Z112" i="30"/>
  <c r="X112" i="30"/>
  <c r="N112" i="30"/>
  <c r="L112" i="30"/>
  <c r="B112" i="30"/>
  <c r="Z111" i="30"/>
  <c r="X111" i="30"/>
  <c r="N111" i="30"/>
  <c r="L111" i="30"/>
  <c r="B111" i="30"/>
  <c r="X110" i="30"/>
  <c r="T110" i="30"/>
  <c r="P110" i="30"/>
  <c r="H110" i="30"/>
  <c r="N110" i="30" s="1"/>
  <c r="D110" i="30"/>
  <c r="L110" i="30" s="1"/>
  <c r="B110" i="30"/>
  <c r="X109" i="30"/>
  <c r="Z109" i="30" s="1"/>
  <c r="N109" i="30"/>
  <c r="L109" i="30"/>
  <c r="B109" i="30"/>
  <c r="T108" i="30"/>
  <c r="P108" i="30"/>
  <c r="H108" i="30"/>
  <c r="D108" i="30"/>
  <c r="L108" i="30" s="1"/>
  <c r="B108" i="30"/>
  <c r="Z107" i="30"/>
  <c r="X107" i="30"/>
  <c r="N107" i="30"/>
  <c r="L107" i="30"/>
  <c r="B107" i="30"/>
  <c r="T106" i="30"/>
  <c r="P106" i="30"/>
  <c r="N106" i="30"/>
  <c r="H106" i="30"/>
  <c r="D106" i="30"/>
  <c r="L106" i="30" s="1"/>
  <c r="B106" i="30"/>
  <c r="X105" i="30"/>
  <c r="Z105" i="30" s="1"/>
  <c r="L105" i="30"/>
  <c r="N105" i="30" s="1"/>
  <c r="B105" i="30"/>
  <c r="T104" i="30"/>
  <c r="Z104" i="30" s="1"/>
  <c r="P104" i="30"/>
  <c r="X104" i="30" s="1"/>
  <c r="L104" i="30"/>
  <c r="H104" i="30"/>
  <c r="D104" i="30"/>
  <c r="B104" i="30"/>
  <c r="Z103" i="30"/>
  <c r="X103" i="30"/>
  <c r="N103" i="30"/>
  <c r="L103" i="30"/>
  <c r="B103" i="30"/>
  <c r="Z102" i="30"/>
  <c r="X102" i="30"/>
  <c r="N102" i="30"/>
  <c r="L102" i="30"/>
  <c r="J102" i="30"/>
  <c r="B102" i="30"/>
  <c r="Z101" i="30"/>
  <c r="X101" i="30"/>
  <c r="N101" i="30"/>
  <c r="L101" i="30"/>
  <c r="B101" i="30"/>
  <c r="X100" i="30"/>
  <c r="Z100" i="30" s="1"/>
  <c r="N100" i="30"/>
  <c r="L100" i="30"/>
  <c r="B100" i="30"/>
  <c r="Z99" i="30"/>
  <c r="X99" i="30"/>
  <c r="N99" i="30"/>
  <c r="L99" i="30"/>
  <c r="J99" i="30"/>
  <c r="B99" i="30"/>
  <c r="Z98" i="30"/>
  <c r="X98" i="30"/>
  <c r="N98" i="30"/>
  <c r="L98" i="30"/>
  <c r="B98" i="30"/>
  <c r="Z97" i="30"/>
  <c r="X97" i="30"/>
  <c r="N97" i="30"/>
  <c r="L97" i="30"/>
  <c r="B97" i="30"/>
  <c r="Z96" i="30"/>
  <c r="X96" i="30"/>
  <c r="N96" i="30"/>
  <c r="L96" i="30"/>
  <c r="B96" i="30"/>
  <c r="Z95" i="30"/>
  <c r="X95" i="30"/>
  <c r="N95" i="30"/>
  <c r="L95" i="30"/>
  <c r="B95" i="30"/>
  <c r="Z94" i="30"/>
  <c r="X94" i="30"/>
  <c r="N94" i="30"/>
  <c r="L94" i="30"/>
  <c r="B94" i="30"/>
  <c r="Z93" i="30"/>
  <c r="X93" i="30"/>
  <c r="T93" i="30"/>
  <c r="P93" i="30"/>
  <c r="H93" i="30"/>
  <c r="D93" i="30"/>
  <c r="B93" i="30"/>
  <c r="Z92" i="30"/>
  <c r="X92" i="30"/>
  <c r="L92" i="30"/>
  <c r="N92" i="30" s="1"/>
  <c r="B92" i="30"/>
  <c r="Z91" i="30"/>
  <c r="X91" i="30"/>
  <c r="N91" i="30"/>
  <c r="L91" i="30"/>
  <c r="B91" i="30"/>
  <c r="X90" i="30"/>
  <c r="Z90" i="30" s="1"/>
  <c r="L90" i="30"/>
  <c r="N90" i="30" s="1"/>
  <c r="B90" i="30"/>
  <c r="Z89" i="30"/>
  <c r="X89" i="30"/>
  <c r="N89" i="30"/>
  <c r="L89" i="30"/>
  <c r="J89" i="30"/>
  <c r="B89" i="30"/>
  <c r="Z88" i="30"/>
  <c r="X88" i="30"/>
  <c r="L88" i="30"/>
  <c r="N88" i="30" s="1"/>
  <c r="B88" i="30"/>
  <c r="Z87" i="30"/>
  <c r="X87" i="30"/>
  <c r="N87" i="30"/>
  <c r="L87" i="30"/>
  <c r="B87" i="30"/>
  <c r="X86" i="30"/>
  <c r="Z86" i="30" s="1"/>
  <c r="L86" i="30"/>
  <c r="N86" i="30" s="1"/>
  <c r="B86" i="30"/>
  <c r="X85" i="30"/>
  <c r="Z85" i="30" s="1"/>
  <c r="L85" i="30"/>
  <c r="N85" i="30" s="1"/>
  <c r="J85" i="30"/>
  <c r="B85" i="30"/>
  <c r="Z84" i="30"/>
  <c r="X84" i="30"/>
  <c r="L84" i="30"/>
  <c r="N84" i="30" s="1"/>
  <c r="B84" i="30"/>
  <c r="T83" i="30"/>
  <c r="P83" i="30"/>
  <c r="X83" i="30" s="1"/>
  <c r="Z83" i="30" s="1"/>
  <c r="H83" i="30"/>
  <c r="D83" i="30"/>
  <c r="L83" i="30" s="1"/>
  <c r="N83" i="30" s="1"/>
  <c r="B83" i="30"/>
  <c r="T82" i="30"/>
  <c r="P82" i="30"/>
  <c r="X82" i="30" s="1"/>
  <c r="H82" i="30"/>
  <c r="D82" i="30"/>
  <c r="Z78" i="30"/>
  <c r="X78" i="30"/>
  <c r="N78" i="30"/>
  <c r="L78" i="30"/>
  <c r="B78" i="30"/>
  <c r="Z77" i="30"/>
  <c r="X77" i="30"/>
  <c r="N77" i="30"/>
  <c r="L77" i="30"/>
  <c r="B77" i="30"/>
  <c r="Z76" i="30"/>
  <c r="X76" i="30"/>
  <c r="N76" i="30"/>
  <c r="L76" i="30"/>
  <c r="B76" i="30"/>
  <c r="Z75" i="30"/>
  <c r="X75" i="30"/>
  <c r="N75" i="30"/>
  <c r="L75" i="30"/>
  <c r="J75" i="30"/>
  <c r="B75" i="30"/>
  <c r="Z74" i="30"/>
  <c r="X74" i="30"/>
  <c r="N74" i="30"/>
  <c r="L74" i="30"/>
  <c r="B74" i="30"/>
  <c r="Z73" i="30"/>
  <c r="X73" i="30"/>
  <c r="N73" i="30"/>
  <c r="L73" i="30"/>
  <c r="B73" i="30"/>
  <c r="Z72" i="30"/>
  <c r="X72" i="30"/>
  <c r="N72" i="30"/>
  <c r="L72" i="30"/>
  <c r="B72" i="30"/>
  <c r="Z71" i="30"/>
  <c r="X71" i="30"/>
  <c r="V71" i="30"/>
  <c r="N71" i="30"/>
  <c r="L71" i="30"/>
  <c r="B71" i="30"/>
  <c r="Z70" i="30"/>
  <c r="X70" i="30"/>
  <c r="N70" i="30"/>
  <c r="L70" i="30"/>
  <c r="B70" i="30"/>
  <c r="Z69" i="30"/>
  <c r="X69" i="30"/>
  <c r="N69" i="30"/>
  <c r="L69" i="30"/>
  <c r="B69" i="30"/>
  <c r="Z68" i="30"/>
  <c r="X68" i="30"/>
  <c r="N68" i="30"/>
  <c r="L68" i="30"/>
  <c r="B68" i="30"/>
  <c r="Z67" i="30"/>
  <c r="X67" i="30"/>
  <c r="N67" i="30"/>
  <c r="L67" i="30"/>
  <c r="J67" i="30"/>
  <c r="B67" i="30"/>
  <c r="Z66" i="30"/>
  <c r="X66" i="30"/>
  <c r="V66" i="30"/>
  <c r="N66" i="30"/>
  <c r="L66" i="30"/>
  <c r="B66" i="30"/>
  <c r="Z65" i="30"/>
  <c r="X65" i="30"/>
  <c r="N65" i="30"/>
  <c r="L65" i="30"/>
  <c r="B65" i="30"/>
  <c r="Z64" i="30"/>
  <c r="X64" i="30"/>
  <c r="N64" i="30"/>
  <c r="L64" i="30"/>
  <c r="B64" i="30"/>
  <c r="Z63" i="30"/>
  <c r="X63" i="30"/>
  <c r="N63" i="30"/>
  <c r="L63" i="30"/>
  <c r="B63" i="30"/>
  <c r="Z62" i="30"/>
  <c r="X62" i="30"/>
  <c r="N62" i="30"/>
  <c r="L62" i="30"/>
  <c r="B62" i="30"/>
  <c r="Z61" i="30"/>
  <c r="X61" i="30"/>
  <c r="N61" i="30"/>
  <c r="L61" i="30"/>
  <c r="B61" i="30"/>
  <c r="Z60" i="30"/>
  <c r="X60" i="30"/>
  <c r="N60" i="30"/>
  <c r="L60" i="30"/>
  <c r="B60" i="30"/>
  <c r="Z59" i="30"/>
  <c r="X59" i="30"/>
  <c r="N59" i="30"/>
  <c r="L59" i="30"/>
  <c r="J59" i="30"/>
  <c r="B59" i="30"/>
  <c r="Z58" i="30"/>
  <c r="X58" i="30"/>
  <c r="N58" i="30"/>
  <c r="L58" i="30"/>
  <c r="B58" i="30"/>
  <c r="Z57" i="30"/>
  <c r="X57" i="30"/>
  <c r="V57" i="30"/>
  <c r="N57" i="30"/>
  <c r="L57" i="30"/>
  <c r="B57" i="30"/>
  <c r="Z56" i="30"/>
  <c r="X56" i="30"/>
  <c r="N56" i="30"/>
  <c r="L56" i="30"/>
  <c r="B56" i="30"/>
  <c r="Z55" i="30"/>
  <c r="X55" i="30"/>
  <c r="N55" i="30"/>
  <c r="L55" i="30"/>
  <c r="B55" i="30"/>
  <c r="X54" i="30"/>
  <c r="Z54" i="30" s="1"/>
  <c r="N54" i="30"/>
  <c r="L54" i="30"/>
  <c r="B54" i="30"/>
  <c r="X53" i="30"/>
  <c r="T53" i="30"/>
  <c r="Z53" i="30" s="1"/>
  <c r="P53" i="30"/>
  <c r="H53" i="30"/>
  <c r="D53" i="30"/>
  <c r="L53" i="30" s="1"/>
  <c r="N53" i="30" s="1"/>
  <c r="Z51" i="30"/>
  <c r="P51" i="30"/>
  <c r="X51" i="30" s="1"/>
  <c r="N51" i="30"/>
  <c r="L51" i="30"/>
  <c r="D51" i="30"/>
  <c r="B51" i="30"/>
  <c r="Z50" i="30"/>
  <c r="X50" i="30"/>
  <c r="P50" i="30"/>
  <c r="N50" i="30"/>
  <c r="L50" i="30"/>
  <c r="D50" i="30"/>
  <c r="B50" i="30"/>
  <c r="Z49" i="30"/>
  <c r="P49" i="30"/>
  <c r="X49" i="30" s="1"/>
  <c r="N49" i="30"/>
  <c r="D49" i="30"/>
  <c r="L49" i="30" s="1"/>
  <c r="B49" i="30"/>
  <c r="Z48" i="30"/>
  <c r="P48" i="30"/>
  <c r="X48" i="30" s="1"/>
  <c r="N48" i="30"/>
  <c r="D48" i="30"/>
  <c r="L48" i="30" s="1"/>
  <c r="B48" i="30"/>
  <c r="Z47" i="30"/>
  <c r="P47" i="30"/>
  <c r="X47" i="30" s="1"/>
  <c r="N47" i="30"/>
  <c r="L47" i="30"/>
  <c r="D47" i="30"/>
  <c r="B47" i="30"/>
  <c r="Z46" i="30"/>
  <c r="P46" i="30"/>
  <c r="X46" i="30" s="1"/>
  <c r="N46" i="30"/>
  <c r="D46" i="30"/>
  <c r="L46" i="30" s="1"/>
  <c r="B46" i="30"/>
  <c r="Z45" i="30"/>
  <c r="X45" i="30"/>
  <c r="P45" i="30"/>
  <c r="N45" i="30"/>
  <c r="D45" i="30"/>
  <c r="L45" i="30" s="1"/>
  <c r="B45" i="30"/>
  <c r="Z44" i="30"/>
  <c r="X44" i="30"/>
  <c r="P44" i="30"/>
  <c r="N44" i="30"/>
  <c r="D44" i="30"/>
  <c r="L44" i="30" s="1"/>
  <c r="B44" i="30"/>
  <c r="Z43" i="30"/>
  <c r="X43" i="30"/>
  <c r="P43" i="30"/>
  <c r="N43" i="30"/>
  <c r="D43" i="30"/>
  <c r="L43" i="30" s="1"/>
  <c r="B43" i="30"/>
  <c r="Z42" i="30"/>
  <c r="X42" i="30"/>
  <c r="P42" i="30"/>
  <c r="N42" i="30"/>
  <c r="L42" i="30"/>
  <c r="D42" i="30"/>
  <c r="B42" i="30"/>
  <c r="Z41" i="30"/>
  <c r="X41" i="30"/>
  <c r="P41" i="30"/>
  <c r="N41" i="30"/>
  <c r="L41" i="30"/>
  <c r="D41" i="30"/>
  <c r="B41" i="30"/>
  <c r="Z40" i="30"/>
  <c r="P40" i="30"/>
  <c r="X40" i="30" s="1"/>
  <c r="N40" i="30"/>
  <c r="L40" i="30"/>
  <c r="D40" i="30"/>
  <c r="B40" i="30"/>
  <c r="Z39" i="30"/>
  <c r="P39" i="30"/>
  <c r="X39" i="30" s="1"/>
  <c r="N39" i="30"/>
  <c r="L39" i="30"/>
  <c r="D39" i="30"/>
  <c r="B39" i="30"/>
  <c r="Z38" i="30"/>
  <c r="P38" i="30"/>
  <c r="X38" i="30" s="1"/>
  <c r="N38" i="30"/>
  <c r="L38" i="30"/>
  <c r="D38" i="30"/>
  <c r="B38" i="30"/>
  <c r="Z37" i="30"/>
  <c r="P37" i="30"/>
  <c r="X37" i="30" s="1"/>
  <c r="N37" i="30"/>
  <c r="D37" i="30"/>
  <c r="L37" i="30" s="1"/>
  <c r="B37" i="30"/>
  <c r="Z36" i="30"/>
  <c r="P36" i="30"/>
  <c r="X36" i="30" s="1"/>
  <c r="N36" i="30"/>
  <c r="D36" i="30"/>
  <c r="L36" i="30" s="1"/>
  <c r="B36" i="30"/>
  <c r="Z35" i="30"/>
  <c r="P35" i="30"/>
  <c r="X35" i="30" s="1"/>
  <c r="N35" i="30"/>
  <c r="L35" i="30"/>
  <c r="D35" i="30"/>
  <c r="B35" i="30"/>
  <c r="Z34" i="30"/>
  <c r="P34" i="30"/>
  <c r="X34" i="30" s="1"/>
  <c r="N34" i="30"/>
  <c r="D34" i="30"/>
  <c r="L34" i="30" s="1"/>
  <c r="B34" i="30"/>
  <c r="Z33" i="30"/>
  <c r="X33" i="30"/>
  <c r="P33" i="30"/>
  <c r="N33" i="30"/>
  <c r="D33" i="30"/>
  <c r="B33" i="30"/>
  <c r="Z32" i="30"/>
  <c r="X32" i="30"/>
  <c r="P32" i="30"/>
  <c r="N32" i="30"/>
  <c r="D32" i="30"/>
  <c r="L32" i="30" s="1"/>
  <c r="B32" i="30"/>
  <c r="Z31" i="30"/>
  <c r="X31" i="30"/>
  <c r="P31" i="30"/>
  <c r="N31" i="30"/>
  <c r="D31" i="30"/>
  <c r="L31" i="30" s="1"/>
  <c r="B31" i="30"/>
  <c r="Z30" i="30"/>
  <c r="X30" i="30"/>
  <c r="P30" i="30"/>
  <c r="N30" i="30"/>
  <c r="L30" i="30"/>
  <c r="D30" i="30"/>
  <c r="B30" i="30"/>
  <c r="Z29" i="30"/>
  <c r="X29" i="30"/>
  <c r="P29" i="30"/>
  <c r="N29" i="30"/>
  <c r="L29" i="30"/>
  <c r="D29" i="30"/>
  <c r="B29" i="30"/>
  <c r="Z28" i="30"/>
  <c r="P28" i="30"/>
  <c r="X28" i="30" s="1"/>
  <c r="N28" i="30"/>
  <c r="L28" i="30"/>
  <c r="D28" i="30"/>
  <c r="B28" i="30"/>
  <c r="Z27" i="30"/>
  <c r="P27" i="30"/>
  <c r="X27" i="30" s="1"/>
  <c r="N27" i="30"/>
  <c r="L27" i="30"/>
  <c r="D27" i="30"/>
  <c r="B27" i="30"/>
  <c r="Z26" i="30"/>
  <c r="P26" i="30"/>
  <c r="X26" i="30" s="1"/>
  <c r="N26" i="30"/>
  <c r="L26" i="30"/>
  <c r="D26" i="30"/>
  <c r="B26" i="30"/>
  <c r="Z25" i="30"/>
  <c r="P25" i="30"/>
  <c r="X25" i="30" s="1"/>
  <c r="N25" i="30"/>
  <c r="D25" i="30"/>
  <c r="L25" i="30" s="1"/>
  <c r="B25" i="30"/>
  <c r="Z24" i="30"/>
  <c r="P24" i="30"/>
  <c r="X24" i="30" s="1"/>
  <c r="N24" i="30"/>
  <c r="D24" i="30"/>
  <c r="L24" i="30" s="1"/>
  <c r="B24" i="30"/>
  <c r="Z23" i="30"/>
  <c r="P23" i="30"/>
  <c r="X23" i="30" s="1"/>
  <c r="N23" i="30"/>
  <c r="L23" i="30"/>
  <c r="D23" i="30"/>
  <c r="B23" i="30"/>
  <c r="Z22" i="30"/>
  <c r="P22" i="30"/>
  <c r="X22" i="30" s="1"/>
  <c r="N22" i="30"/>
  <c r="D22" i="30"/>
  <c r="L22" i="30" s="1"/>
  <c r="B22" i="30"/>
  <c r="Z21" i="30"/>
  <c r="X21" i="30"/>
  <c r="P21" i="30"/>
  <c r="N21" i="30"/>
  <c r="D21" i="30"/>
  <c r="L21" i="30" s="1"/>
  <c r="B21" i="30"/>
  <c r="Z20" i="30"/>
  <c r="X20" i="30"/>
  <c r="P20" i="30"/>
  <c r="N20" i="30"/>
  <c r="D20" i="30"/>
  <c r="L20" i="30" s="1"/>
  <c r="B20" i="30"/>
  <c r="Z19" i="30"/>
  <c r="X19" i="30"/>
  <c r="P19" i="30"/>
  <c r="N19" i="30"/>
  <c r="D19" i="30"/>
  <c r="L19" i="30" s="1"/>
  <c r="B19" i="30"/>
  <c r="Z18" i="30"/>
  <c r="X18" i="30"/>
  <c r="P18" i="30"/>
  <c r="N18" i="30"/>
  <c r="L18" i="30"/>
  <c r="D18" i="30"/>
  <c r="B18" i="30"/>
  <c r="Z17" i="30"/>
  <c r="X17" i="30"/>
  <c r="P17" i="30"/>
  <c r="N17" i="30"/>
  <c r="L17" i="30"/>
  <c r="D17" i="30"/>
  <c r="B17" i="30"/>
  <c r="Z16" i="30"/>
  <c r="P16" i="30"/>
  <c r="X16" i="30" s="1"/>
  <c r="N16" i="30"/>
  <c r="L16" i="30"/>
  <c r="D16" i="30"/>
  <c r="B16" i="30"/>
  <c r="Z15" i="30"/>
  <c r="P15" i="30"/>
  <c r="X15" i="30" s="1"/>
  <c r="N15" i="30"/>
  <c r="L15" i="30"/>
  <c r="D15" i="30"/>
  <c r="B15" i="30"/>
  <c r="Z14" i="30"/>
  <c r="P14" i="30"/>
  <c r="X14" i="30" s="1"/>
  <c r="N14" i="30"/>
  <c r="L14" i="30"/>
  <c r="D14" i="30"/>
  <c r="B14" i="30"/>
  <c r="P13" i="30"/>
  <c r="D13" i="30"/>
  <c r="L13" i="30" s="1"/>
  <c r="N13" i="30" s="1"/>
  <c r="B13" i="30"/>
  <c r="T12" i="30"/>
  <c r="V105" i="30" s="1"/>
  <c r="H12" i="30"/>
  <c r="J128" i="30" s="1"/>
  <c r="D4" i="30"/>
  <c r="X123" i="27"/>
  <c r="Z123" i="27" s="1"/>
  <c r="L123" i="27"/>
  <c r="N123" i="27" s="1"/>
  <c r="J123" i="27"/>
  <c r="Z119" i="27"/>
  <c r="P119" i="27"/>
  <c r="X119" i="27" s="1"/>
  <c r="N119" i="27"/>
  <c r="J119" i="27"/>
  <c r="D119" i="27"/>
  <c r="L119" i="27" s="1"/>
  <c r="B119" i="27"/>
  <c r="X118" i="27"/>
  <c r="Z118" i="27" s="1"/>
  <c r="P118" i="27"/>
  <c r="P116" i="27" s="1"/>
  <c r="N118" i="27"/>
  <c r="D118" i="27"/>
  <c r="L118" i="27" s="1"/>
  <c r="B118" i="27"/>
  <c r="Z117" i="27"/>
  <c r="X117" i="27"/>
  <c r="V117" i="27"/>
  <c r="P117" i="27"/>
  <c r="D117" i="27"/>
  <c r="B117" i="27"/>
  <c r="X116" i="27"/>
  <c r="T116" i="27"/>
  <c r="H116" i="27"/>
  <c r="Z114" i="27"/>
  <c r="X114" i="27"/>
  <c r="V114" i="27"/>
  <c r="N114" i="27"/>
  <c r="L114" i="27"/>
  <c r="B114" i="27"/>
  <c r="X113" i="27"/>
  <c r="T113" i="27"/>
  <c r="Z113" i="27" s="1"/>
  <c r="P113" i="27"/>
  <c r="N113" i="27"/>
  <c r="H113" i="27"/>
  <c r="D113" i="27"/>
  <c r="L113" i="27" s="1"/>
  <c r="B113" i="27"/>
  <c r="Z112" i="27"/>
  <c r="X112" i="27"/>
  <c r="V112" i="27"/>
  <c r="N112" i="27"/>
  <c r="L112" i="27"/>
  <c r="B112" i="27"/>
  <c r="T111" i="27"/>
  <c r="P111" i="27"/>
  <c r="X111" i="27" s="1"/>
  <c r="N111" i="27"/>
  <c r="J111" i="27"/>
  <c r="H111" i="27"/>
  <c r="D111" i="27"/>
  <c r="L111" i="27" s="1"/>
  <c r="B111" i="27"/>
  <c r="Z110" i="27"/>
  <c r="X110" i="27"/>
  <c r="V110" i="27"/>
  <c r="L110" i="27"/>
  <c r="N110" i="27" s="1"/>
  <c r="B110" i="27"/>
  <c r="X109" i="27"/>
  <c r="Z109" i="27" s="1"/>
  <c r="L109" i="27"/>
  <c r="N109" i="27" s="1"/>
  <c r="B109" i="27"/>
  <c r="X108" i="27"/>
  <c r="Z108" i="27" s="1"/>
  <c r="T108" i="27"/>
  <c r="P108" i="27"/>
  <c r="J108" i="27"/>
  <c r="H108" i="27"/>
  <c r="D108" i="27"/>
  <c r="L108" i="27" s="1"/>
  <c r="B108" i="27"/>
  <c r="Z107" i="27"/>
  <c r="X107" i="27"/>
  <c r="L107" i="27"/>
  <c r="N107" i="27" s="1"/>
  <c r="B107" i="27"/>
  <c r="X106" i="27"/>
  <c r="Z106" i="27" s="1"/>
  <c r="V106" i="27"/>
  <c r="L106" i="27"/>
  <c r="N106" i="27" s="1"/>
  <c r="B106" i="27"/>
  <c r="X105" i="27"/>
  <c r="Z105" i="27" s="1"/>
  <c r="N105" i="27"/>
  <c r="L105" i="27"/>
  <c r="J105" i="27"/>
  <c r="B105" i="27"/>
  <c r="T104" i="27"/>
  <c r="P104" i="27"/>
  <c r="X104" i="27" s="1"/>
  <c r="Z104" i="27" s="1"/>
  <c r="L104" i="27"/>
  <c r="H104" i="27"/>
  <c r="D104" i="27"/>
  <c r="B104" i="27"/>
  <c r="X103" i="27"/>
  <c r="Z103" i="27" s="1"/>
  <c r="N103" i="27"/>
  <c r="L103" i="27"/>
  <c r="J103" i="27"/>
  <c r="B103" i="27"/>
  <c r="X102" i="27"/>
  <c r="Z102" i="27" s="1"/>
  <c r="V102" i="27"/>
  <c r="N102" i="27"/>
  <c r="L102" i="27"/>
  <c r="J102" i="27"/>
  <c r="B102" i="27"/>
  <c r="Z101" i="27"/>
  <c r="V101" i="27"/>
  <c r="T101" i="27"/>
  <c r="P101" i="27"/>
  <c r="X101" i="27" s="1"/>
  <c r="H101" i="27"/>
  <c r="D101" i="27"/>
  <c r="B101" i="27"/>
  <c r="X100" i="27"/>
  <c r="Z100" i="27" s="1"/>
  <c r="N100" i="27"/>
  <c r="L100" i="27"/>
  <c r="B100" i="27"/>
  <c r="X99" i="27"/>
  <c r="Z99" i="27" s="1"/>
  <c r="V99" i="27"/>
  <c r="N99" i="27"/>
  <c r="L99" i="27"/>
  <c r="B99" i="27"/>
  <c r="Z98" i="27"/>
  <c r="X98" i="27"/>
  <c r="V98" i="27"/>
  <c r="L98" i="27"/>
  <c r="N98" i="27" s="1"/>
  <c r="B98" i="27"/>
  <c r="T97" i="27"/>
  <c r="P97" i="27"/>
  <c r="X97" i="27" s="1"/>
  <c r="Z97" i="27" s="1"/>
  <c r="L97" i="27"/>
  <c r="J97" i="27"/>
  <c r="H97" i="27"/>
  <c r="N97" i="27" s="1"/>
  <c r="D97" i="27"/>
  <c r="B97" i="27"/>
  <c r="Z96" i="27"/>
  <c r="X96" i="27"/>
  <c r="N96" i="27"/>
  <c r="L96" i="27"/>
  <c r="J96" i="27"/>
  <c r="B96" i="27"/>
  <c r="Z95" i="27"/>
  <c r="T95" i="27"/>
  <c r="P95" i="27"/>
  <c r="X95" i="27" s="1"/>
  <c r="L95" i="27"/>
  <c r="H95" i="27"/>
  <c r="D95" i="27"/>
  <c r="B95" i="27"/>
  <c r="Z94" i="27"/>
  <c r="X94" i="27"/>
  <c r="V94" i="27"/>
  <c r="N94" i="27"/>
  <c r="L94" i="27"/>
  <c r="J94" i="27"/>
  <c r="B94" i="27"/>
  <c r="Z93" i="27"/>
  <c r="X93" i="27"/>
  <c r="V93" i="27"/>
  <c r="L93" i="27"/>
  <c r="N93" i="27" s="1"/>
  <c r="B93" i="27"/>
  <c r="V92" i="27"/>
  <c r="T92" i="27"/>
  <c r="P92" i="27"/>
  <c r="X92" i="27" s="1"/>
  <c r="Z92" i="27" s="1"/>
  <c r="L92" i="27"/>
  <c r="J92" i="27"/>
  <c r="H92" i="27"/>
  <c r="N92" i="27" s="1"/>
  <c r="D92" i="27"/>
  <c r="B92" i="27"/>
  <c r="Z91" i="27"/>
  <c r="X91" i="27"/>
  <c r="V91" i="27"/>
  <c r="N91" i="27"/>
  <c r="L91" i="27"/>
  <c r="B91" i="27"/>
  <c r="Z90" i="27"/>
  <c r="X90" i="27"/>
  <c r="V90" i="27"/>
  <c r="L90" i="27"/>
  <c r="N90" i="27" s="1"/>
  <c r="B90" i="27"/>
  <c r="T89" i="27"/>
  <c r="P89" i="27"/>
  <c r="X89" i="27" s="1"/>
  <c r="Z89" i="27" s="1"/>
  <c r="L89" i="27"/>
  <c r="J89" i="27"/>
  <c r="H89" i="27"/>
  <c r="D89" i="27"/>
  <c r="B89" i="27"/>
  <c r="Z88" i="27"/>
  <c r="X88" i="27"/>
  <c r="N88" i="27"/>
  <c r="L88" i="27"/>
  <c r="J88" i="27"/>
  <c r="B88" i="27"/>
  <c r="T87" i="27"/>
  <c r="V87" i="27" s="1"/>
  <c r="P87" i="27"/>
  <c r="X87" i="27" s="1"/>
  <c r="Z87" i="27" s="1"/>
  <c r="L87" i="27"/>
  <c r="H87" i="27"/>
  <c r="D87" i="27"/>
  <c r="B87" i="27"/>
  <c r="X86" i="27"/>
  <c r="Z86" i="27" s="1"/>
  <c r="V86" i="27"/>
  <c r="N86" i="27"/>
  <c r="L86" i="27"/>
  <c r="J86" i="27"/>
  <c r="B86" i="27"/>
  <c r="Z85" i="27"/>
  <c r="V85" i="27"/>
  <c r="T85" i="27"/>
  <c r="P85" i="27"/>
  <c r="X85" i="27" s="1"/>
  <c r="H85" i="27"/>
  <c r="D85" i="27"/>
  <c r="B85" i="27"/>
  <c r="Z84" i="27"/>
  <c r="X84" i="27"/>
  <c r="N84" i="27"/>
  <c r="L84" i="27"/>
  <c r="B84" i="27"/>
  <c r="X83" i="27"/>
  <c r="Z83" i="27" s="1"/>
  <c r="V83" i="27"/>
  <c r="N83" i="27"/>
  <c r="L83" i="27"/>
  <c r="B83" i="27"/>
  <c r="V82" i="27"/>
  <c r="T82" i="27"/>
  <c r="P82" i="27"/>
  <c r="X82" i="27" s="1"/>
  <c r="L82" i="27"/>
  <c r="N82" i="27" s="1"/>
  <c r="H82" i="27"/>
  <c r="D82" i="27"/>
  <c r="B82" i="27"/>
  <c r="X81" i="27"/>
  <c r="Z81" i="27" s="1"/>
  <c r="N81" i="27"/>
  <c r="L81" i="27"/>
  <c r="J81" i="27"/>
  <c r="B81" i="27"/>
  <c r="T80" i="27"/>
  <c r="P80" i="27"/>
  <c r="X80" i="27" s="1"/>
  <c r="Z80" i="27" s="1"/>
  <c r="H80" i="27"/>
  <c r="D80" i="27"/>
  <c r="B80" i="27"/>
  <c r="Z79" i="27"/>
  <c r="X79" i="27"/>
  <c r="N79" i="27"/>
  <c r="L79" i="27"/>
  <c r="J79" i="27"/>
  <c r="B79" i="27"/>
  <c r="Z78" i="27"/>
  <c r="X78" i="27"/>
  <c r="V78" i="27"/>
  <c r="N78" i="27"/>
  <c r="L78" i="27"/>
  <c r="J78" i="27"/>
  <c r="B78" i="27"/>
  <c r="Z77" i="27"/>
  <c r="X77" i="27"/>
  <c r="V77" i="27"/>
  <c r="L77" i="27"/>
  <c r="N77" i="27" s="1"/>
  <c r="B77" i="27"/>
  <c r="Z76" i="27"/>
  <c r="X76" i="27"/>
  <c r="V76" i="27"/>
  <c r="L76" i="27"/>
  <c r="N76" i="27" s="1"/>
  <c r="B76" i="27"/>
  <c r="Z75" i="27"/>
  <c r="X75" i="27"/>
  <c r="N75" i="27"/>
  <c r="L75" i="27"/>
  <c r="J75" i="27"/>
  <c r="B75" i="27"/>
  <c r="X74" i="27"/>
  <c r="Z74" i="27" s="1"/>
  <c r="V74" i="27"/>
  <c r="N74" i="27"/>
  <c r="L74" i="27"/>
  <c r="J74" i="27"/>
  <c r="B74" i="27"/>
  <c r="Z73" i="27"/>
  <c r="X73" i="27"/>
  <c r="V73" i="27"/>
  <c r="L73" i="27"/>
  <c r="N73" i="27" s="1"/>
  <c r="B73" i="27"/>
  <c r="Z72" i="27"/>
  <c r="X72" i="27"/>
  <c r="V72" i="27"/>
  <c r="N72" i="27"/>
  <c r="L72" i="27"/>
  <c r="B72" i="27"/>
  <c r="X71" i="27"/>
  <c r="Z71" i="27" s="1"/>
  <c r="L71" i="27"/>
  <c r="N71" i="27" s="1"/>
  <c r="J71" i="27"/>
  <c r="B71" i="27"/>
  <c r="Z70" i="27"/>
  <c r="X70" i="27"/>
  <c r="V70" i="27"/>
  <c r="N70" i="27"/>
  <c r="L70" i="27"/>
  <c r="J70" i="27"/>
  <c r="B70" i="27"/>
  <c r="V69" i="27"/>
  <c r="T69" i="27"/>
  <c r="P69" i="27"/>
  <c r="X69" i="27" s="1"/>
  <c r="Z69" i="27" s="1"/>
  <c r="H69" i="27"/>
  <c r="D69" i="27"/>
  <c r="L69" i="27" s="1"/>
  <c r="B69" i="27"/>
  <c r="X68" i="27"/>
  <c r="Z68" i="27" s="1"/>
  <c r="N68" i="27"/>
  <c r="L68" i="27"/>
  <c r="B68" i="27"/>
  <c r="X67" i="27"/>
  <c r="Z67" i="27" s="1"/>
  <c r="V67" i="27"/>
  <c r="N67" i="27"/>
  <c r="L67" i="27"/>
  <c r="B67" i="27"/>
  <c r="Z66" i="27"/>
  <c r="X66" i="27"/>
  <c r="V66" i="27"/>
  <c r="N66" i="27"/>
  <c r="L66" i="27"/>
  <c r="J66" i="27"/>
  <c r="B66" i="27"/>
  <c r="Z65" i="27"/>
  <c r="X65" i="27"/>
  <c r="N65" i="27"/>
  <c r="L65" i="27"/>
  <c r="B65" i="27"/>
  <c r="Z64" i="27"/>
  <c r="X64" i="27"/>
  <c r="N64" i="27"/>
  <c r="L64" i="27"/>
  <c r="B64" i="27"/>
  <c r="X63" i="27"/>
  <c r="Z63" i="27" s="1"/>
  <c r="V63" i="27"/>
  <c r="N63" i="27"/>
  <c r="L63" i="27"/>
  <c r="B63" i="27"/>
  <c r="Z62" i="27"/>
  <c r="X62" i="27"/>
  <c r="V62" i="27"/>
  <c r="L62" i="27"/>
  <c r="N62" i="27" s="1"/>
  <c r="J62" i="27"/>
  <c r="B62" i="27"/>
  <c r="X61" i="27"/>
  <c r="Z61" i="27" s="1"/>
  <c r="L61" i="27"/>
  <c r="N61" i="27" s="1"/>
  <c r="B61" i="27"/>
  <c r="X60" i="27"/>
  <c r="Z60" i="27" s="1"/>
  <c r="N60" i="27"/>
  <c r="L60" i="27"/>
  <c r="B60" i="27"/>
  <c r="X59" i="27"/>
  <c r="Z59" i="27" s="1"/>
  <c r="V59" i="27"/>
  <c r="N59" i="27"/>
  <c r="L59" i="27"/>
  <c r="B59" i="27"/>
  <c r="V58" i="27"/>
  <c r="T58" i="27"/>
  <c r="P58" i="27"/>
  <c r="X58" i="27" s="1"/>
  <c r="L58" i="27"/>
  <c r="N58" i="27" s="1"/>
  <c r="H58" i="27"/>
  <c r="D58" i="27"/>
  <c r="B58" i="27"/>
  <c r="T57" i="27"/>
  <c r="P57" i="27"/>
  <c r="H57" i="27"/>
  <c r="D57" i="27"/>
  <c r="Z53" i="27"/>
  <c r="X53" i="27"/>
  <c r="V53" i="27"/>
  <c r="N53" i="27"/>
  <c r="L53" i="27"/>
  <c r="J53" i="27"/>
  <c r="B53" i="27"/>
  <c r="Z52" i="27"/>
  <c r="X52" i="27"/>
  <c r="V52" i="27"/>
  <c r="N52" i="27"/>
  <c r="L52" i="27"/>
  <c r="J52" i="27"/>
  <c r="B52" i="27"/>
  <c r="Z51" i="27"/>
  <c r="X51" i="27"/>
  <c r="V51" i="27"/>
  <c r="N51" i="27"/>
  <c r="L51" i="27"/>
  <c r="B51" i="27"/>
  <c r="Z50" i="27"/>
  <c r="X50" i="27"/>
  <c r="V50" i="27"/>
  <c r="N50" i="27"/>
  <c r="L50" i="27"/>
  <c r="J50" i="27"/>
  <c r="B50" i="27"/>
  <c r="Z49" i="27"/>
  <c r="X49" i="27"/>
  <c r="V49" i="27"/>
  <c r="N49" i="27"/>
  <c r="L49" i="27"/>
  <c r="J49" i="27"/>
  <c r="B49" i="27"/>
  <c r="Z48" i="27"/>
  <c r="X48" i="27"/>
  <c r="V48" i="27"/>
  <c r="N48" i="27"/>
  <c r="L48" i="27"/>
  <c r="J48" i="27"/>
  <c r="B48" i="27"/>
  <c r="Z47" i="27"/>
  <c r="X47" i="27"/>
  <c r="V47" i="27"/>
  <c r="N47" i="27"/>
  <c r="L47" i="27"/>
  <c r="B47" i="27"/>
  <c r="Z46" i="27"/>
  <c r="X46" i="27"/>
  <c r="V46" i="27"/>
  <c r="N46" i="27"/>
  <c r="L46" i="27"/>
  <c r="J46" i="27"/>
  <c r="B46" i="27"/>
  <c r="Z45" i="27"/>
  <c r="X45" i="27"/>
  <c r="V45" i="27"/>
  <c r="N45" i="27"/>
  <c r="L45" i="27"/>
  <c r="J45" i="27"/>
  <c r="B45" i="27"/>
  <c r="Z44" i="27"/>
  <c r="X44" i="27"/>
  <c r="V44" i="27"/>
  <c r="N44" i="27"/>
  <c r="L44" i="27"/>
  <c r="J44" i="27"/>
  <c r="B44" i="27"/>
  <c r="Z43" i="27"/>
  <c r="X43" i="27"/>
  <c r="V43" i="27"/>
  <c r="N43" i="27"/>
  <c r="L43" i="27"/>
  <c r="B43" i="27"/>
  <c r="Z42" i="27"/>
  <c r="X42" i="27"/>
  <c r="V42" i="27"/>
  <c r="N42" i="27"/>
  <c r="L42" i="27"/>
  <c r="J42" i="27"/>
  <c r="B42" i="27"/>
  <c r="Z41" i="27"/>
  <c r="X41" i="27"/>
  <c r="V41" i="27"/>
  <c r="N41" i="27"/>
  <c r="L41" i="27"/>
  <c r="J41" i="27"/>
  <c r="B41" i="27"/>
  <c r="Z40" i="27"/>
  <c r="X40" i="27"/>
  <c r="V40" i="27"/>
  <c r="N40" i="27"/>
  <c r="L40" i="27"/>
  <c r="J40" i="27"/>
  <c r="B40" i="27"/>
  <c r="Z39" i="27"/>
  <c r="X39" i="27"/>
  <c r="V39" i="27"/>
  <c r="N39" i="27"/>
  <c r="L39" i="27"/>
  <c r="B39" i="27"/>
  <c r="Z38" i="27"/>
  <c r="X38" i="27"/>
  <c r="V38" i="27"/>
  <c r="L38" i="27"/>
  <c r="N38" i="27" s="1"/>
  <c r="J38" i="27"/>
  <c r="B38" i="27"/>
  <c r="T37" i="27"/>
  <c r="T55" i="27" s="1"/>
  <c r="P37" i="27"/>
  <c r="H37" i="27"/>
  <c r="D37" i="27"/>
  <c r="Z35" i="27"/>
  <c r="X35" i="27"/>
  <c r="P35" i="27"/>
  <c r="N35" i="27"/>
  <c r="L35" i="27"/>
  <c r="D35" i="27"/>
  <c r="B35" i="27"/>
  <c r="Z34" i="27"/>
  <c r="P34" i="27"/>
  <c r="X34" i="27" s="1"/>
  <c r="N34" i="27"/>
  <c r="L34" i="27"/>
  <c r="D34" i="27"/>
  <c r="B34" i="27"/>
  <c r="Z33" i="27"/>
  <c r="P33" i="27"/>
  <c r="X33" i="27" s="1"/>
  <c r="N33" i="27"/>
  <c r="L33" i="27"/>
  <c r="D33" i="27"/>
  <c r="B33" i="27"/>
  <c r="Z32" i="27"/>
  <c r="P32" i="27"/>
  <c r="X32" i="27" s="1"/>
  <c r="N32" i="27"/>
  <c r="L32" i="27"/>
  <c r="D32" i="27"/>
  <c r="B32" i="27"/>
  <c r="Z31" i="27"/>
  <c r="X31" i="27"/>
  <c r="P31" i="27"/>
  <c r="N31" i="27"/>
  <c r="D31" i="27"/>
  <c r="L31" i="27" s="1"/>
  <c r="B31" i="27"/>
  <c r="Z30" i="27"/>
  <c r="P30" i="27"/>
  <c r="X30" i="27" s="1"/>
  <c r="N30" i="27"/>
  <c r="L30" i="27"/>
  <c r="D30" i="27"/>
  <c r="B30" i="27"/>
  <c r="Z29" i="27"/>
  <c r="P29" i="27"/>
  <c r="X29" i="27" s="1"/>
  <c r="N29" i="27"/>
  <c r="D29" i="27"/>
  <c r="L29" i="27" s="1"/>
  <c r="B29" i="27"/>
  <c r="Z28" i="27"/>
  <c r="P28" i="27"/>
  <c r="X28" i="27" s="1"/>
  <c r="N28" i="27"/>
  <c r="L28" i="27"/>
  <c r="D28" i="27"/>
  <c r="B28" i="27"/>
  <c r="Z27" i="27"/>
  <c r="X27" i="27"/>
  <c r="P27" i="27"/>
  <c r="N27" i="27"/>
  <c r="D27" i="27"/>
  <c r="L27" i="27" s="1"/>
  <c r="B27" i="27"/>
  <c r="Z26" i="27"/>
  <c r="X26" i="27"/>
  <c r="P26" i="27"/>
  <c r="N26" i="27"/>
  <c r="D26" i="27"/>
  <c r="L26" i="27" s="1"/>
  <c r="B26" i="27"/>
  <c r="Z25" i="27"/>
  <c r="X25" i="27"/>
  <c r="P25" i="27"/>
  <c r="N25" i="27"/>
  <c r="D25" i="27"/>
  <c r="L25" i="27" s="1"/>
  <c r="B25" i="27"/>
  <c r="Z24" i="27"/>
  <c r="X24" i="27"/>
  <c r="P24" i="27"/>
  <c r="N24" i="27"/>
  <c r="L24" i="27"/>
  <c r="D24" i="27"/>
  <c r="B24" i="27"/>
  <c r="Z23" i="27"/>
  <c r="X23" i="27"/>
  <c r="P23" i="27"/>
  <c r="N23" i="27"/>
  <c r="D23" i="27"/>
  <c r="L23" i="27" s="1"/>
  <c r="B23" i="27"/>
  <c r="Z22" i="27"/>
  <c r="P22" i="27"/>
  <c r="X22" i="27" s="1"/>
  <c r="N22" i="27"/>
  <c r="L22" i="27"/>
  <c r="D22" i="27"/>
  <c r="B22" i="27"/>
  <c r="Z21" i="27"/>
  <c r="X21" i="27"/>
  <c r="P21" i="27"/>
  <c r="N21" i="27"/>
  <c r="L21" i="27"/>
  <c r="D21" i="27"/>
  <c r="B21" i="27"/>
  <c r="Z20" i="27"/>
  <c r="P20" i="27"/>
  <c r="X20" i="27" s="1"/>
  <c r="N20" i="27"/>
  <c r="L20" i="27"/>
  <c r="D20" i="27"/>
  <c r="B20" i="27"/>
  <c r="Z19" i="27"/>
  <c r="P19" i="27"/>
  <c r="X19" i="27" s="1"/>
  <c r="N19" i="27"/>
  <c r="D19" i="27"/>
  <c r="L19" i="27" s="1"/>
  <c r="B19" i="27"/>
  <c r="Z18" i="27"/>
  <c r="P18" i="27"/>
  <c r="X18" i="27" s="1"/>
  <c r="N18" i="27"/>
  <c r="L18" i="27"/>
  <c r="D18" i="27"/>
  <c r="B18" i="27"/>
  <c r="Z17" i="27"/>
  <c r="P17" i="27"/>
  <c r="X17" i="27" s="1"/>
  <c r="N17" i="27"/>
  <c r="D17" i="27"/>
  <c r="L17" i="27" s="1"/>
  <c r="B17" i="27"/>
  <c r="Z16" i="27"/>
  <c r="P16" i="27"/>
  <c r="X16" i="27" s="1"/>
  <c r="N16" i="27"/>
  <c r="D16" i="27"/>
  <c r="L16" i="27" s="1"/>
  <c r="B16" i="27"/>
  <c r="Z15" i="27"/>
  <c r="X15" i="27"/>
  <c r="P15" i="27"/>
  <c r="N15" i="27"/>
  <c r="D15" i="27"/>
  <c r="L15" i="27" s="1"/>
  <c r="B15" i="27"/>
  <c r="Z14" i="27"/>
  <c r="X14" i="27"/>
  <c r="P14" i="27"/>
  <c r="N14" i="27"/>
  <c r="D14" i="27"/>
  <c r="L14" i="27" s="1"/>
  <c r="B14" i="27"/>
  <c r="X13" i="27"/>
  <c r="Z13" i="27" s="1"/>
  <c r="P13" i="27"/>
  <c r="D13" i="27"/>
  <c r="B13" i="27"/>
  <c r="T12" i="27"/>
  <c r="V113" i="27" s="1"/>
  <c r="H12" i="27"/>
  <c r="D4" i="27"/>
  <c r="F103" i="24"/>
  <c r="Z98" i="24"/>
  <c r="X98" i="24"/>
  <c r="N98" i="24"/>
  <c r="L98" i="24"/>
  <c r="X94" i="24"/>
  <c r="T94" i="24"/>
  <c r="Z94" i="24" s="1"/>
  <c r="P94" i="24"/>
  <c r="J94" i="24"/>
  <c r="H94" i="24"/>
  <c r="N94" i="24" s="1"/>
  <c r="D94" i="24"/>
  <c r="X92" i="24"/>
  <c r="Z92" i="24" s="1"/>
  <c r="N92" i="24"/>
  <c r="L92" i="24"/>
  <c r="B92" i="24"/>
  <c r="T91" i="24"/>
  <c r="P91" i="24"/>
  <c r="X91" i="24" s="1"/>
  <c r="Z91" i="24" s="1"/>
  <c r="N91" i="24"/>
  <c r="L91" i="24"/>
  <c r="J91" i="24"/>
  <c r="H91" i="24"/>
  <c r="D91" i="24"/>
  <c r="B91" i="24"/>
  <c r="Z90" i="24"/>
  <c r="X90" i="24"/>
  <c r="N90" i="24"/>
  <c r="L90" i="24"/>
  <c r="B90" i="24"/>
  <c r="X89" i="24"/>
  <c r="Z89" i="24" s="1"/>
  <c r="N89" i="24"/>
  <c r="L89" i="24"/>
  <c r="J89" i="24"/>
  <c r="B89" i="24"/>
  <c r="Z88" i="24"/>
  <c r="T88" i="24"/>
  <c r="P88" i="24"/>
  <c r="X88" i="24" s="1"/>
  <c r="H88" i="24"/>
  <c r="D88" i="24"/>
  <c r="L88" i="24" s="1"/>
  <c r="B88" i="24"/>
  <c r="X87" i="24"/>
  <c r="Z87" i="24" s="1"/>
  <c r="N87" i="24"/>
  <c r="L87" i="24"/>
  <c r="B87" i="24"/>
  <c r="Z86" i="24"/>
  <c r="X86" i="24"/>
  <c r="N86" i="24"/>
  <c r="L86" i="24"/>
  <c r="J86" i="24"/>
  <c r="B86" i="24"/>
  <c r="Z85" i="24"/>
  <c r="X85" i="24"/>
  <c r="N85" i="24"/>
  <c r="L85" i="24"/>
  <c r="J85" i="24"/>
  <c r="B85" i="24"/>
  <c r="Z84" i="24"/>
  <c r="X84" i="24"/>
  <c r="L84" i="24"/>
  <c r="N84" i="24" s="1"/>
  <c r="B84" i="24"/>
  <c r="T83" i="24"/>
  <c r="X83" i="24" s="1"/>
  <c r="P83" i="24"/>
  <c r="N83" i="24"/>
  <c r="H83" i="24"/>
  <c r="D83" i="24"/>
  <c r="L83" i="24" s="1"/>
  <c r="B83" i="24"/>
  <c r="Z82" i="24"/>
  <c r="X82" i="24"/>
  <c r="L82" i="24"/>
  <c r="N82" i="24" s="1"/>
  <c r="B82" i="24"/>
  <c r="Z81" i="24"/>
  <c r="X81" i="24"/>
  <c r="N81" i="24"/>
  <c r="L81" i="24"/>
  <c r="B81" i="24"/>
  <c r="X80" i="24"/>
  <c r="T80" i="24"/>
  <c r="R80" i="24"/>
  <c r="P80" i="24"/>
  <c r="J80" i="24"/>
  <c r="H80" i="24"/>
  <c r="N80" i="24" s="1"/>
  <c r="D80" i="24"/>
  <c r="L80" i="24" s="1"/>
  <c r="B80" i="24"/>
  <c r="X79" i="24"/>
  <c r="Z79" i="24" s="1"/>
  <c r="L79" i="24"/>
  <c r="N79" i="24" s="1"/>
  <c r="B79" i="24"/>
  <c r="Z78" i="24"/>
  <c r="X78" i="24"/>
  <c r="N78" i="24"/>
  <c r="L78" i="24"/>
  <c r="B78" i="24"/>
  <c r="X77" i="24"/>
  <c r="T77" i="24"/>
  <c r="Z77" i="24" s="1"/>
  <c r="P77" i="24"/>
  <c r="L77" i="24"/>
  <c r="N77" i="24" s="1"/>
  <c r="H77" i="24"/>
  <c r="D77" i="24"/>
  <c r="B77" i="24"/>
  <c r="X76" i="24"/>
  <c r="Z76" i="24" s="1"/>
  <c r="N76" i="24"/>
  <c r="L76" i="24"/>
  <c r="B76" i="24"/>
  <c r="T75" i="24"/>
  <c r="X75" i="24" s="1"/>
  <c r="P75" i="24"/>
  <c r="N75" i="24"/>
  <c r="J75" i="24"/>
  <c r="H75" i="24"/>
  <c r="D75" i="24"/>
  <c r="L75" i="24" s="1"/>
  <c r="B75" i="24"/>
  <c r="Z74" i="24"/>
  <c r="X74" i="24"/>
  <c r="N74" i="24"/>
  <c r="L74" i="24"/>
  <c r="F74" i="24"/>
  <c r="B74" i="24"/>
  <c r="T73" i="24"/>
  <c r="P73" i="24"/>
  <c r="X73" i="24" s="1"/>
  <c r="N73" i="24"/>
  <c r="H73" i="24"/>
  <c r="D73" i="24"/>
  <c r="L73" i="24" s="1"/>
  <c r="B73" i="24"/>
  <c r="Z72" i="24"/>
  <c r="X72" i="24"/>
  <c r="L72" i="24"/>
  <c r="N72" i="24" s="1"/>
  <c r="B72" i="24"/>
  <c r="X71" i="24"/>
  <c r="Z71" i="24" s="1"/>
  <c r="T71" i="24"/>
  <c r="P71" i="24"/>
  <c r="L71" i="24"/>
  <c r="J71" i="24"/>
  <c r="H71" i="24"/>
  <c r="N71" i="24" s="1"/>
  <c r="D71" i="24"/>
  <c r="B71" i="24"/>
  <c r="Z70" i="24"/>
  <c r="X70" i="24"/>
  <c r="N70" i="24"/>
  <c r="L70" i="24"/>
  <c r="B70" i="24"/>
  <c r="Z69" i="24"/>
  <c r="X69" i="24"/>
  <c r="N69" i="24"/>
  <c r="L69" i="24"/>
  <c r="F69" i="24"/>
  <c r="B69" i="24"/>
  <c r="T68" i="24"/>
  <c r="P68" i="24"/>
  <c r="X68" i="24" s="1"/>
  <c r="H68" i="24"/>
  <c r="L68" i="24" s="1"/>
  <c r="N68" i="24" s="1"/>
  <c r="D68" i="24"/>
  <c r="B68" i="24"/>
  <c r="Z67" i="24"/>
  <c r="X67" i="24"/>
  <c r="L67" i="24"/>
  <c r="N67" i="24" s="1"/>
  <c r="J67" i="24"/>
  <c r="B67" i="24"/>
  <c r="T66" i="24"/>
  <c r="P66" i="24"/>
  <c r="X66" i="24" s="1"/>
  <c r="Z66" i="24" s="1"/>
  <c r="H66" i="24"/>
  <c r="D66" i="24"/>
  <c r="L66" i="24" s="1"/>
  <c r="B66" i="24"/>
  <c r="Z65" i="24"/>
  <c r="X65" i="24"/>
  <c r="N65" i="24"/>
  <c r="L65" i="24"/>
  <c r="J65" i="24"/>
  <c r="B65" i="24"/>
  <c r="Z64" i="24"/>
  <c r="X64" i="24"/>
  <c r="T64" i="24"/>
  <c r="P64" i="24"/>
  <c r="N64" i="24"/>
  <c r="H64" i="24"/>
  <c r="D64" i="24"/>
  <c r="L64" i="24" s="1"/>
  <c r="B64" i="24"/>
  <c r="Z63" i="24"/>
  <c r="X63" i="24"/>
  <c r="N63" i="24"/>
  <c r="L63" i="24"/>
  <c r="B63" i="24"/>
  <c r="V62" i="24"/>
  <c r="T62" i="24"/>
  <c r="P62" i="24"/>
  <c r="L62" i="24"/>
  <c r="N62" i="24" s="1"/>
  <c r="J62" i="24"/>
  <c r="H62" i="24"/>
  <c r="D62" i="24"/>
  <c r="B62" i="24"/>
  <c r="Z61" i="24"/>
  <c r="X61" i="24"/>
  <c r="N61" i="24"/>
  <c r="L61" i="24"/>
  <c r="B61" i="24"/>
  <c r="Z60" i="24"/>
  <c r="X60" i="24"/>
  <c r="N60" i="24"/>
  <c r="L60" i="24"/>
  <c r="J60" i="24"/>
  <c r="B60" i="24"/>
  <c r="Z59" i="24"/>
  <c r="X59" i="24"/>
  <c r="V59" i="24"/>
  <c r="N59" i="24"/>
  <c r="L59" i="24"/>
  <c r="B59" i="24"/>
  <c r="Z58" i="24"/>
  <c r="X58" i="24"/>
  <c r="N58" i="24"/>
  <c r="L58" i="24"/>
  <c r="B58" i="24"/>
  <c r="Z57" i="24"/>
  <c r="X57" i="24"/>
  <c r="N57" i="24"/>
  <c r="L57" i="24"/>
  <c r="J57" i="24"/>
  <c r="B57" i="24"/>
  <c r="X56" i="24"/>
  <c r="Z56" i="24" s="1"/>
  <c r="L56" i="24"/>
  <c r="N56" i="24" s="1"/>
  <c r="J56" i="24"/>
  <c r="B56" i="24"/>
  <c r="X55" i="24"/>
  <c r="Z55" i="24" s="1"/>
  <c r="L55" i="24"/>
  <c r="N55" i="24" s="1"/>
  <c r="B55" i="24"/>
  <c r="Z54" i="24"/>
  <c r="X54" i="24"/>
  <c r="N54" i="24"/>
  <c r="L54" i="24"/>
  <c r="B54" i="24"/>
  <c r="Z53" i="24"/>
  <c r="X53" i="24"/>
  <c r="V53" i="24"/>
  <c r="N53" i="24"/>
  <c r="L53" i="24"/>
  <c r="J53" i="24"/>
  <c r="B53" i="24"/>
  <c r="X52" i="24"/>
  <c r="Z52" i="24" s="1"/>
  <c r="N52" i="24"/>
  <c r="L52" i="24"/>
  <c r="J52" i="24"/>
  <c r="B52" i="24"/>
  <c r="T51" i="24"/>
  <c r="P51" i="24"/>
  <c r="X51" i="24" s="1"/>
  <c r="Z51" i="24" s="1"/>
  <c r="J51" i="24"/>
  <c r="H51" i="24"/>
  <c r="D51" i="24"/>
  <c r="L51" i="24" s="1"/>
  <c r="N51" i="24" s="1"/>
  <c r="B51" i="24"/>
  <c r="X50" i="24"/>
  <c r="Z50" i="24" s="1"/>
  <c r="N50" i="24"/>
  <c r="L50" i="24"/>
  <c r="J50" i="24"/>
  <c r="B50" i="24"/>
  <c r="X49" i="24"/>
  <c r="Z49" i="24" s="1"/>
  <c r="N49" i="24"/>
  <c r="L49" i="24"/>
  <c r="B49" i="24"/>
  <c r="Z48" i="24"/>
  <c r="X48" i="24"/>
  <c r="N48" i="24"/>
  <c r="L48" i="24"/>
  <c r="J48" i="24"/>
  <c r="F48" i="24"/>
  <c r="B48" i="24"/>
  <c r="Z47" i="24"/>
  <c r="X47" i="24"/>
  <c r="N47" i="24"/>
  <c r="L47" i="24"/>
  <c r="J47" i="24"/>
  <c r="B47" i="24"/>
  <c r="X46" i="24"/>
  <c r="Z46" i="24" s="1"/>
  <c r="L46" i="24"/>
  <c r="N46" i="24" s="1"/>
  <c r="B46" i="24"/>
  <c r="Z45" i="24"/>
  <c r="X45" i="24"/>
  <c r="N45" i="24"/>
  <c r="L45" i="24"/>
  <c r="B45" i="24"/>
  <c r="Z44" i="24"/>
  <c r="X44" i="24"/>
  <c r="L44" i="24"/>
  <c r="N44" i="24" s="1"/>
  <c r="J44" i="24"/>
  <c r="F44" i="24"/>
  <c r="B44" i="24"/>
  <c r="X43" i="24"/>
  <c r="Z43" i="24" s="1"/>
  <c r="L43" i="24"/>
  <c r="N43" i="24" s="1"/>
  <c r="J43" i="24"/>
  <c r="B43" i="24"/>
  <c r="X42" i="24"/>
  <c r="Z42" i="24" s="1"/>
  <c r="L42" i="24"/>
  <c r="N42" i="24" s="1"/>
  <c r="B42" i="24"/>
  <c r="T41" i="24"/>
  <c r="R41" i="24"/>
  <c r="P41" i="24"/>
  <c r="X41" i="24" s="1"/>
  <c r="Z41" i="24" s="1"/>
  <c r="J41" i="24"/>
  <c r="H41" i="24"/>
  <c r="N41" i="24" s="1"/>
  <c r="D41" i="24"/>
  <c r="L41" i="24" s="1"/>
  <c r="B41" i="24"/>
  <c r="T40" i="24"/>
  <c r="P40" i="24"/>
  <c r="H40" i="24"/>
  <c r="F40" i="24"/>
  <c r="D40" i="24"/>
  <c r="Z36" i="24"/>
  <c r="X36" i="24"/>
  <c r="N36" i="24"/>
  <c r="L36" i="24"/>
  <c r="B36" i="24"/>
  <c r="Z35" i="24"/>
  <c r="X35" i="24"/>
  <c r="N35" i="24"/>
  <c r="L35" i="24"/>
  <c r="J35" i="24"/>
  <c r="B35" i="24"/>
  <c r="Z34" i="24"/>
  <c r="X34" i="24"/>
  <c r="N34" i="24"/>
  <c r="L34" i="24"/>
  <c r="B34" i="24"/>
  <c r="Z33" i="24"/>
  <c r="X33" i="24"/>
  <c r="N33" i="24"/>
  <c r="L33" i="24"/>
  <c r="B33" i="24"/>
  <c r="Z32" i="24"/>
  <c r="X32" i="24"/>
  <c r="R32" i="24"/>
  <c r="N32" i="24"/>
  <c r="L32" i="24"/>
  <c r="B32" i="24"/>
  <c r="Z31" i="24"/>
  <c r="X31" i="24"/>
  <c r="N31" i="24"/>
  <c r="L31" i="24"/>
  <c r="J31" i="24"/>
  <c r="B31" i="24"/>
  <c r="Z30" i="24"/>
  <c r="X30" i="24"/>
  <c r="N30" i="24"/>
  <c r="L30" i="24"/>
  <c r="B30" i="24"/>
  <c r="Z29" i="24"/>
  <c r="X29" i="24"/>
  <c r="N29" i="24"/>
  <c r="L29" i="24"/>
  <c r="F29" i="24"/>
  <c r="B29" i="24"/>
  <c r="T28" i="24"/>
  <c r="P28" i="24"/>
  <c r="L28" i="24"/>
  <c r="N28" i="24" s="1"/>
  <c r="H28" i="24"/>
  <c r="F28" i="24"/>
  <c r="D28" i="24"/>
  <c r="Z26" i="24"/>
  <c r="X26" i="24"/>
  <c r="P26" i="24"/>
  <c r="N26" i="24"/>
  <c r="L26" i="24"/>
  <c r="D26" i="24"/>
  <c r="B26" i="24"/>
  <c r="Z25" i="24"/>
  <c r="X25" i="24"/>
  <c r="P25" i="24"/>
  <c r="N25" i="24"/>
  <c r="L25" i="24"/>
  <c r="D25" i="24"/>
  <c r="B25" i="24"/>
  <c r="Z24" i="24"/>
  <c r="X24" i="24"/>
  <c r="P24" i="24"/>
  <c r="N24" i="24"/>
  <c r="D24" i="24"/>
  <c r="L24" i="24" s="1"/>
  <c r="B24" i="24"/>
  <c r="Z23" i="24"/>
  <c r="X23" i="24"/>
  <c r="P23" i="24"/>
  <c r="N23" i="24"/>
  <c r="L23" i="24"/>
  <c r="D23" i="24"/>
  <c r="B23" i="24"/>
  <c r="Z22" i="24"/>
  <c r="X22" i="24"/>
  <c r="P22" i="24"/>
  <c r="N22" i="24"/>
  <c r="L22" i="24"/>
  <c r="D22" i="24"/>
  <c r="B22" i="24"/>
  <c r="Z21" i="24"/>
  <c r="P21" i="24"/>
  <c r="X21" i="24" s="1"/>
  <c r="N21" i="24"/>
  <c r="L21" i="24"/>
  <c r="D21" i="24"/>
  <c r="B21" i="24"/>
  <c r="X20" i="24"/>
  <c r="Z20" i="24" s="1"/>
  <c r="P20" i="24"/>
  <c r="L20" i="24"/>
  <c r="N20" i="24" s="1"/>
  <c r="D20" i="24"/>
  <c r="B20" i="24"/>
  <c r="Z19" i="24"/>
  <c r="P19" i="24"/>
  <c r="X19" i="24" s="1"/>
  <c r="N19" i="24"/>
  <c r="L19" i="24"/>
  <c r="D19" i="24"/>
  <c r="B19" i="24"/>
  <c r="Z18" i="24"/>
  <c r="P18" i="24"/>
  <c r="X18" i="24" s="1"/>
  <c r="N18" i="24"/>
  <c r="D18" i="24"/>
  <c r="L18" i="24" s="1"/>
  <c r="B18" i="24"/>
  <c r="Z17" i="24"/>
  <c r="X17" i="24"/>
  <c r="P17" i="24"/>
  <c r="N17" i="24"/>
  <c r="L17" i="24"/>
  <c r="D17" i="24"/>
  <c r="B17" i="24"/>
  <c r="Z16" i="24"/>
  <c r="X16" i="24"/>
  <c r="P16" i="24"/>
  <c r="N16" i="24"/>
  <c r="D16" i="24"/>
  <c r="L16" i="24" s="1"/>
  <c r="B16" i="24"/>
  <c r="Z15" i="24"/>
  <c r="P15" i="24"/>
  <c r="X15" i="24" s="1"/>
  <c r="N15" i="24"/>
  <c r="D15" i="24"/>
  <c r="L15" i="24" s="1"/>
  <c r="B15" i="24"/>
  <c r="Z14" i="24"/>
  <c r="X14" i="24"/>
  <c r="P14" i="24"/>
  <c r="P12" i="24" s="1"/>
  <c r="R63" i="24" s="1"/>
  <c r="N14" i="24"/>
  <c r="L14" i="24"/>
  <c r="D14" i="24"/>
  <c r="B14" i="24"/>
  <c r="Z13" i="24"/>
  <c r="X13" i="24"/>
  <c r="P13" i="24"/>
  <c r="N13" i="24"/>
  <c r="L13" i="24"/>
  <c r="D13" i="24"/>
  <c r="D12" i="24" s="1"/>
  <c r="F58" i="24" s="1"/>
  <c r="B13" i="24"/>
  <c r="X12" i="24"/>
  <c r="T12" i="24"/>
  <c r="V64" i="24" s="1"/>
  <c r="H12" i="24"/>
  <c r="J69" i="24" s="1"/>
  <c r="D4" i="24"/>
  <c r="Z111" i="21"/>
  <c r="X111" i="21"/>
  <c r="V111" i="21"/>
  <c r="N111" i="21"/>
  <c r="L111" i="21"/>
  <c r="X107" i="21"/>
  <c r="T107" i="21"/>
  <c r="Z107" i="21" s="1"/>
  <c r="P107" i="21"/>
  <c r="N107" i="21"/>
  <c r="L107" i="21"/>
  <c r="H107" i="21"/>
  <c r="D107" i="21"/>
  <c r="X105" i="21"/>
  <c r="Z105" i="21" s="1"/>
  <c r="N105" i="21"/>
  <c r="L105" i="21"/>
  <c r="J105" i="21"/>
  <c r="B105" i="21"/>
  <c r="X104" i="21"/>
  <c r="Z104" i="21" s="1"/>
  <c r="T104" i="21"/>
  <c r="P104" i="21"/>
  <c r="H104" i="21"/>
  <c r="D104" i="21"/>
  <c r="B104" i="21"/>
  <c r="Z103" i="21"/>
  <c r="X103" i="21"/>
  <c r="N103" i="21"/>
  <c r="L103" i="21"/>
  <c r="J103" i="21"/>
  <c r="B103" i="21"/>
  <c r="T102" i="21"/>
  <c r="X102" i="21" s="1"/>
  <c r="Z102" i="21" s="1"/>
  <c r="P102" i="21"/>
  <c r="N102" i="21"/>
  <c r="H102" i="21"/>
  <c r="D102" i="21"/>
  <c r="L102" i="21" s="1"/>
  <c r="B102" i="21"/>
  <c r="Z101" i="21"/>
  <c r="X101" i="21"/>
  <c r="V101" i="21"/>
  <c r="N101" i="21"/>
  <c r="L101" i="21"/>
  <c r="B101" i="21"/>
  <c r="X100" i="21"/>
  <c r="Z100" i="21" s="1"/>
  <c r="V100" i="21"/>
  <c r="T100" i="21"/>
  <c r="P100" i="21"/>
  <c r="J100" i="21"/>
  <c r="H100" i="21"/>
  <c r="N100" i="21" s="1"/>
  <c r="D100" i="21"/>
  <c r="L100" i="21" s="1"/>
  <c r="B100" i="21"/>
  <c r="Z99" i="21"/>
  <c r="X99" i="21"/>
  <c r="N99" i="21"/>
  <c r="L99" i="21"/>
  <c r="B99" i="21"/>
  <c r="X98" i="21"/>
  <c r="Z98" i="21" s="1"/>
  <c r="N98" i="21"/>
  <c r="L98" i="21"/>
  <c r="B98" i="21"/>
  <c r="X97" i="21"/>
  <c r="T97" i="21"/>
  <c r="P97" i="21"/>
  <c r="N97" i="21"/>
  <c r="L97" i="21"/>
  <c r="H97" i="21"/>
  <c r="D97" i="21"/>
  <c r="B97" i="21"/>
  <c r="Z96" i="21"/>
  <c r="X96" i="21"/>
  <c r="N96" i="21"/>
  <c r="L96" i="21"/>
  <c r="J96" i="21"/>
  <c r="B96" i="21"/>
  <c r="Z95" i="21"/>
  <c r="X95" i="21"/>
  <c r="N95" i="21"/>
  <c r="L95" i="21"/>
  <c r="J95" i="21"/>
  <c r="B95" i="21"/>
  <c r="Z94" i="21"/>
  <c r="X94" i="21"/>
  <c r="N94" i="21"/>
  <c r="L94" i="21"/>
  <c r="J94" i="21"/>
  <c r="B94" i="21"/>
  <c r="Z93" i="21"/>
  <c r="X93" i="21"/>
  <c r="V93" i="21"/>
  <c r="N93" i="21"/>
  <c r="L93" i="21"/>
  <c r="J93" i="21"/>
  <c r="B93" i="21"/>
  <c r="Z92" i="21"/>
  <c r="X92" i="21"/>
  <c r="L92" i="21"/>
  <c r="N92" i="21" s="1"/>
  <c r="J92" i="21"/>
  <c r="B92" i="21"/>
  <c r="Z91" i="21"/>
  <c r="X91" i="21"/>
  <c r="N91" i="21"/>
  <c r="L91" i="21"/>
  <c r="J91" i="21"/>
  <c r="B91" i="21"/>
  <c r="Z90" i="21"/>
  <c r="X90" i="21"/>
  <c r="N90" i="21"/>
  <c r="L90" i="21"/>
  <c r="J90" i="21"/>
  <c r="B90" i="21"/>
  <c r="V89" i="21"/>
  <c r="T89" i="21"/>
  <c r="P89" i="21"/>
  <c r="H89" i="21"/>
  <c r="D89" i="21"/>
  <c r="L89" i="21" s="1"/>
  <c r="B89" i="21"/>
  <c r="X88" i="21"/>
  <c r="Z88" i="21" s="1"/>
  <c r="V88" i="21"/>
  <c r="L88" i="21"/>
  <c r="N88" i="21" s="1"/>
  <c r="B88" i="21"/>
  <c r="V87" i="21"/>
  <c r="T87" i="21"/>
  <c r="P87" i="21"/>
  <c r="X87" i="21" s="1"/>
  <c r="Z87" i="21" s="1"/>
  <c r="J87" i="21"/>
  <c r="H87" i="21"/>
  <c r="D87" i="21"/>
  <c r="L87" i="21" s="1"/>
  <c r="N87" i="21" s="1"/>
  <c r="B87" i="21"/>
  <c r="X86" i="21"/>
  <c r="Z86" i="21" s="1"/>
  <c r="N86" i="21"/>
  <c r="L86" i="21"/>
  <c r="B86" i="21"/>
  <c r="X85" i="21"/>
  <c r="Z85" i="21" s="1"/>
  <c r="N85" i="21"/>
  <c r="L85" i="21"/>
  <c r="J85" i="21"/>
  <c r="B85" i="21"/>
  <c r="X84" i="21"/>
  <c r="Z84" i="21" s="1"/>
  <c r="N84" i="21"/>
  <c r="L84" i="21"/>
  <c r="B84" i="21"/>
  <c r="X83" i="21"/>
  <c r="Z83" i="21" s="1"/>
  <c r="N83" i="21"/>
  <c r="L83" i="21"/>
  <c r="B83" i="21"/>
  <c r="T82" i="21"/>
  <c r="P82" i="21"/>
  <c r="L82" i="21"/>
  <c r="N82" i="21" s="1"/>
  <c r="H82" i="21"/>
  <c r="D82" i="21"/>
  <c r="B82" i="21"/>
  <c r="Z81" i="21"/>
  <c r="X81" i="21"/>
  <c r="V81" i="21"/>
  <c r="N81" i="21"/>
  <c r="L81" i="21"/>
  <c r="J81" i="21"/>
  <c r="B81" i="21"/>
  <c r="Z80" i="21"/>
  <c r="X80" i="21"/>
  <c r="N80" i="21"/>
  <c r="L80" i="21"/>
  <c r="J80" i="21"/>
  <c r="B80" i="21"/>
  <c r="T79" i="21"/>
  <c r="P79" i="21"/>
  <c r="X79" i="21" s="1"/>
  <c r="H79" i="21"/>
  <c r="D79" i="21"/>
  <c r="B79" i="21"/>
  <c r="X78" i="21"/>
  <c r="Z78" i="21" s="1"/>
  <c r="V78" i="21"/>
  <c r="L78" i="21"/>
  <c r="N78" i="21" s="1"/>
  <c r="B78" i="21"/>
  <c r="Z77" i="21"/>
  <c r="X77" i="21"/>
  <c r="V77" i="21"/>
  <c r="N77" i="21"/>
  <c r="L77" i="21"/>
  <c r="B77" i="21"/>
  <c r="X76" i="21"/>
  <c r="Z76" i="21" s="1"/>
  <c r="V76" i="21"/>
  <c r="N76" i="21"/>
  <c r="L76" i="21"/>
  <c r="B76" i="21"/>
  <c r="Z75" i="21"/>
  <c r="X75" i="21"/>
  <c r="V75" i="21"/>
  <c r="N75" i="21"/>
  <c r="L75" i="21"/>
  <c r="B75" i="21"/>
  <c r="V74" i="21"/>
  <c r="T74" i="21"/>
  <c r="P74" i="21"/>
  <c r="X74" i="21" s="1"/>
  <c r="L74" i="21"/>
  <c r="N74" i="21" s="1"/>
  <c r="J74" i="21"/>
  <c r="H74" i="21"/>
  <c r="D74" i="21"/>
  <c r="B74" i="21"/>
  <c r="Z73" i="21"/>
  <c r="X73" i="21"/>
  <c r="V73" i="21"/>
  <c r="N73" i="21"/>
  <c r="L73" i="21"/>
  <c r="J73" i="21"/>
  <c r="B73" i="21"/>
  <c r="Z72" i="21"/>
  <c r="X72" i="21"/>
  <c r="T72" i="21"/>
  <c r="P72" i="21"/>
  <c r="L72" i="21"/>
  <c r="H72" i="21"/>
  <c r="N72" i="21" s="1"/>
  <c r="D72" i="21"/>
  <c r="B72" i="21"/>
  <c r="Z71" i="21"/>
  <c r="X71" i="21"/>
  <c r="N71" i="21"/>
  <c r="L71" i="21"/>
  <c r="J71" i="21"/>
  <c r="B71" i="21"/>
  <c r="Z70" i="21"/>
  <c r="T70" i="21"/>
  <c r="X70" i="21" s="1"/>
  <c r="P70" i="21"/>
  <c r="N70" i="21"/>
  <c r="H70" i="21"/>
  <c r="D70" i="21"/>
  <c r="L70" i="21" s="1"/>
  <c r="B70" i="21"/>
  <c r="Z69" i="21"/>
  <c r="X69" i="21"/>
  <c r="V69" i="21"/>
  <c r="L69" i="21"/>
  <c r="N69" i="21" s="1"/>
  <c r="B69" i="21"/>
  <c r="X68" i="21"/>
  <c r="V68" i="21"/>
  <c r="T68" i="21"/>
  <c r="Z68" i="21" s="1"/>
  <c r="P68" i="21"/>
  <c r="J68" i="21"/>
  <c r="H68" i="21"/>
  <c r="N68" i="21" s="1"/>
  <c r="D68" i="21"/>
  <c r="L68" i="21" s="1"/>
  <c r="B68" i="21"/>
  <c r="Z67" i="21"/>
  <c r="X67" i="21"/>
  <c r="N67" i="21"/>
  <c r="L67" i="21"/>
  <c r="B67" i="21"/>
  <c r="T66" i="21"/>
  <c r="P66" i="21"/>
  <c r="N66" i="21"/>
  <c r="L66" i="21"/>
  <c r="H66" i="21"/>
  <c r="D66" i="21"/>
  <c r="B66" i="21"/>
  <c r="Z65" i="21"/>
  <c r="X65" i="21"/>
  <c r="V65" i="21"/>
  <c r="N65" i="21"/>
  <c r="L65" i="21"/>
  <c r="J65" i="21"/>
  <c r="B65" i="21"/>
  <c r="Z64" i="21"/>
  <c r="T64" i="21"/>
  <c r="P64" i="21"/>
  <c r="X64" i="21" s="1"/>
  <c r="H64" i="21"/>
  <c r="L64" i="21" s="1"/>
  <c r="D64" i="21"/>
  <c r="B64" i="21"/>
  <c r="Z63" i="21"/>
  <c r="X63" i="21"/>
  <c r="V63" i="21"/>
  <c r="N63" i="21"/>
  <c r="L63" i="21"/>
  <c r="B63" i="21"/>
  <c r="V62" i="21"/>
  <c r="T62" i="21"/>
  <c r="Z62" i="21" s="1"/>
  <c r="P62" i="21"/>
  <c r="X62" i="21" s="1"/>
  <c r="J62" i="21"/>
  <c r="H62" i="21"/>
  <c r="N62" i="21" s="1"/>
  <c r="D62" i="21"/>
  <c r="L62" i="21" s="1"/>
  <c r="B62" i="21"/>
  <c r="X61" i="21"/>
  <c r="Z61" i="21" s="1"/>
  <c r="V61" i="21"/>
  <c r="N61" i="21"/>
  <c r="L61" i="21"/>
  <c r="J61" i="21"/>
  <c r="B61" i="21"/>
  <c r="X60" i="21"/>
  <c r="Z60" i="21" s="1"/>
  <c r="T60" i="21"/>
  <c r="P60" i="21"/>
  <c r="H60" i="21"/>
  <c r="N60" i="21" s="1"/>
  <c r="D60" i="21"/>
  <c r="B60" i="21"/>
  <c r="Z59" i="21"/>
  <c r="X59" i="21"/>
  <c r="N59" i="21"/>
  <c r="L59" i="21"/>
  <c r="J59" i="21"/>
  <c r="B59" i="21"/>
  <c r="Z58" i="21"/>
  <c r="X58" i="21"/>
  <c r="N58" i="21"/>
  <c r="L58" i="21"/>
  <c r="J58" i="21"/>
  <c r="B58" i="21"/>
  <c r="Z57" i="21"/>
  <c r="V57" i="21"/>
  <c r="T57" i="21"/>
  <c r="X57" i="21" s="1"/>
  <c r="P57" i="21"/>
  <c r="N57" i="21"/>
  <c r="H57" i="21"/>
  <c r="D57" i="21"/>
  <c r="L57" i="21" s="1"/>
  <c r="B57" i="21"/>
  <c r="X56" i="21"/>
  <c r="Z56" i="21" s="1"/>
  <c r="V56" i="21"/>
  <c r="L56" i="21"/>
  <c r="N56" i="21" s="1"/>
  <c r="B56" i="21"/>
  <c r="V55" i="21"/>
  <c r="T55" i="21"/>
  <c r="P55" i="21"/>
  <c r="X55" i="21" s="1"/>
  <c r="Z55" i="21" s="1"/>
  <c r="J55" i="21"/>
  <c r="H55" i="21"/>
  <c r="D55" i="21"/>
  <c r="L55" i="21" s="1"/>
  <c r="N55" i="21" s="1"/>
  <c r="B55" i="21"/>
  <c r="X54" i="21"/>
  <c r="Z54" i="21" s="1"/>
  <c r="N54" i="21"/>
  <c r="L54" i="21"/>
  <c r="B54" i="21"/>
  <c r="X53" i="21"/>
  <c r="V53" i="21"/>
  <c r="T53" i="21"/>
  <c r="Z53" i="21" s="1"/>
  <c r="P53" i="21"/>
  <c r="N53" i="21"/>
  <c r="L53" i="21"/>
  <c r="H53" i="21"/>
  <c r="D53" i="21"/>
  <c r="B53" i="21"/>
  <c r="Z52" i="21"/>
  <c r="X52" i="21"/>
  <c r="L52" i="21"/>
  <c r="N52" i="21" s="1"/>
  <c r="J52" i="21"/>
  <c r="B52" i="21"/>
  <c r="T51" i="21"/>
  <c r="P51" i="21"/>
  <c r="X51" i="21" s="1"/>
  <c r="Z51" i="21" s="1"/>
  <c r="N51" i="21"/>
  <c r="J51" i="21"/>
  <c r="H51" i="21"/>
  <c r="L51" i="21" s="1"/>
  <c r="D51" i="21"/>
  <c r="B51" i="21"/>
  <c r="Z50" i="21"/>
  <c r="X50" i="21"/>
  <c r="V50" i="21"/>
  <c r="N50" i="21"/>
  <c r="L50" i="21"/>
  <c r="B50" i="21"/>
  <c r="Z49" i="21"/>
  <c r="X49" i="21"/>
  <c r="V49" i="21"/>
  <c r="N49" i="21"/>
  <c r="L49" i="21"/>
  <c r="J49" i="21"/>
  <c r="B49" i="21"/>
  <c r="X48" i="21"/>
  <c r="Z48" i="21" s="1"/>
  <c r="V48" i="21"/>
  <c r="L48" i="21"/>
  <c r="N48" i="21" s="1"/>
  <c r="B48" i="21"/>
  <c r="Z47" i="21"/>
  <c r="X47" i="21"/>
  <c r="V47" i="21"/>
  <c r="N47" i="21"/>
  <c r="L47" i="21"/>
  <c r="B47" i="21"/>
  <c r="Z46" i="21"/>
  <c r="X46" i="21"/>
  <c r="V46" i="21"/>
  <c r="N46" i="21"/>
  <c r="L46" i="21"/>
  <c r="B46" i="21"/>
  <c r="Z45" i="21"/>
  <c r="X45" i="21"/>
  <c r="V45" i="21"/>
  <c r="L45" i="21"/>
  <c r="N45" i="21" s="1"/>
  <c r="J45" i="21"/>
  <c r="B45" i="21"/>
  <c r="X44" i="21"/>
  <c r="Z44" i="21" s="1"/>
  <c r="V44" i="21"/>
  <c r="L44" i="21"/>
  <c r="N44" i="21" s="1"/>
  <c r="B44" i="21"/>
  <c r="Z43" i="21"/>
  <c r="X43" i="21"/>
  <c r="V43" i="21"/>
  <c r="N43" i="21"/>
  <c r="L43" i="21"/>
  <c r="B43" i="21"/>
  <c r="X42" i="21"/>
  <c r="Z42" i="21" s="1"/>
  <c r="V42" i="21"/>
  <c r="L42" i="21"/>
  <c r="N42" i="21" s="1"/>
  <c r="B42" i="21"/>
  <c r="Z41" i="21"/>
  <c r="X41" i="21"/>
  <c r="V41" i="21"/>
  <c r="L41" i="21"/>
  <c r="N41" i="21" s="1"/>
  <c r="J41" i="21"/>
  <c r="B41" i="21"/>
  <c r="V40" i="21"/>
  <c r="T40" i="21"/>
  <c r="Z40" i="21" s="1"/>
  <c r="P40" i="21"/>
  <c r="X40" i="21" s="1"/>
  <c r="J40" i="21"/>
  <c r="H40" i="21"/>
  <c r="N40" i="21" s="1"/>
  <c r="D40" i="21"/>
  <c r="L40" i="21" s="1"/>
  <c r="B40" i="21"/>
  <c r="Z39" i="21"/>
  <c r="X39" i="21"/>
  <c r="N39" i="21"/>
  <c r="L39" i="21"/>
  <c r="B39" i="21"/>
  <c r="X38" i="21"/>
  <c r="Z38" i="21" s="1"/>
  <c r="N38" i="21"/>
  <c r="L38" i="21"/>
  <c r="B38" i="21"/>
  <c r="X37" i="21"/>
  <c r="Z37" i="21" s="1"/>
  <c r="V37" i="21"/>
  <c r="N37" i="21"/>
  <c r="L37" i="21"/>
  <c r="J37" i="21"/>
  <c r="B37" i="21"/>
  <c r="Z36" i="21"/>
  <c r="X36" i="21"/>
  <c r="N36" i="21"/>
  <c r="L36" i="21"/>
  <c r="B36" i="21"/>
  <c r="X35" i="21"/>
  <c r="Z35" i="21" s="1"/>
  <c r="N35" i="21"/>
  <c r="L35" i="21"/>
  <c r="B35" i="21"/>
  <c r="X34" i="21"/>
  <c r="Z34" i="21" s="1"/>
  <c r="N34" i="21"/>
  <c r="L34" i="21"/>
  <c r="B34" i="21"/>
  <c r="X33" i="21"/>
  <c r="Z33" i="21" s="1"/>
  <c r="V33" i="21"/>
  <c r="N33" i="21"/>
  <c r="L33" i="21"/>
  <c r="J33" i="21"/>
  <c r="B33" i="21"/>
  <c r="X32" i="21"/>
  <c r="Z32" i="21" s="1"/>
  <c r="N32" i="21"/>
  <c r="L32" i="21"/>
  <c r="B32" i="21"/>
  <c r="X31" i="21"/>
  <c r="Z31" i="21" s="1"/>
  <c r="N31" i="21"/>
  <c r="L31" i="21"/>
  <c r="B31" i="21"/>
  <c r="X30" i="21"/>
  <c r="T30" i="21"/>
  <c r="P30" i="21"/>
  <c r="H30" i="21"/>
  <c r="D30" i="21"/>
  <c r="L30" i="21" s="1"/>
  <c r="N30" i="21" s="1"/>
  <c r="B30" i="21"/>
  <c r="T29" i="21"/>
  <c r="P29" i="21"/>
  <c r="H29" i="21"/>
  <c r="D29" i="21"/>
  <c r="H27" i="21"/>
  <c r="Z25" i="21"/>
  <c r="X25" i="21"/>
  <c r="V25" i="21"/>
  <c r="N25" i="21"/>
  <c r="L25" i="21"/>
  <c r="J25" i="21"/>
  <c r="B25" i="21"/>
  <c r="Z24" i="21"/>
  <c r="X24" i="21"/>
  <c r="V24" i="21"/>
  <c r="N24" i="21"/>
  <c r="L24" i="21"/>
  <c r="J24" i="21"/>
  <c r="B24" i="21"/>
  <c r="Z23" i="21"/>
  <c r="X23" i="21"/>
  <c r="N23" i="21"/>
  <c r="L23" i="21"/>
  <c r="J23" i="21"/>
  <c r="B23" i="21"/>
  <c r="T22" i="21"/>
  <c r="P22" i="21"/>
  <c r="L22" i="21"/>
  <c r="N22" i="21" s="1"/>
  <c r="H22" i="21"/>
  <c r="D22" i="21"/>
  <c r="Z20" i="21"/>
  <c r="P20" i="21"/>
  <c r="X20" i="21" s="1"/>
  <c r="N20" i="21"/>
  <c r="D20" i="21"/>
  <c r="L20" i="21" s="1"/>
  <c r="B20" i="21"/>
  <c r="Z19" i="21"/>
  <c r="P19" i="21"/>
  <c r="X19" i="21" s="1"/>
  <c r="N19" i="21"/>
  <c r="D19" i="21"/>
  <c r="L19" i="21" s="1"/>
  <c r="B19" i="21"/>
  <c r="Z18" i="21"/>
  <c r="X18" i="21"/>
  <c r="P18" i="21"/>
  <c r="N18" i="21"/>
  <c r="D18" i="21"/>
  <c r="L18" i="21" s="1"/>
  <c r="B18" i="21"/>
  <c r="Z17" i="21"/>
  <c r="P17" i="21"/>
  <c r="X17" i="21" s="1"/>
  <c r="N17" i="21"/>
  <c r="L17" i="21"/>
  <c r="D17" i="21"/>
  <c r="B17" i="21"/>
  <c r="P16" i="21"/>
  <c r="X16" i="21" s="1"/>
  <c r="Z16" i="21" s="1"/>
  <c r="D16" i="21"/>
  <c r="L16" i="21" s="1"/>
  <c r="N16" i="21" s="1"/>
  <c r="B16" i="21"/>
  <c r="Z15" i="21"/>
  <c r="X15" i="21"/>
  <c r="P15" i="21"/>
  <c r="N15" i="21"/>
  <c r="L15" i="21"/>
  <c r="D15" i="21"/>
  <c r="B15" i="21"/>
  <c r="Z14" i="21"/>
  <c r="X14" i="21"/>
  <c r="P14" i="21"/>
  <c r="N14" i="21"/>
  <c r="D14" i="21"/>
  <c r="L14" i="21" s="1"/>
  <c r="B14" i="21"/>
  <c r="P13" i="21"/>
  <c r="X13" i="21" s="1"/>
  <c r="Z13" i="21" s="1"/>
  <c r="D13" i="21"/>
  <c r="B13" i="21"/>
  <c r="T12" i="21"/>
  <c r="V102" i="21" s="1"/>
  <c r="H12" i="21"/>
  <c r="J98" i="21" s="1"/>
  <c r="D4" i="21"/>
  <c r="Z256" i="18"/>
  <c r="X256" i="18"/>
  <c r="V256" i="18"/>
  <c r="L256" i="18"/>
  <c r="N256" i="18" s="1"/>
  <c r="Z252" i="18"/>
  <c r="P252" i="18"/>
  <c r="X252" i="18" s="1"/>
  <c r="N252" i="18"/>
  <c r="D252" i="18"/>
  <c r="L252" i="18" s="1"/>
  <c r="B252" i="18"/>
  <c r="Z251" i="18"/>
  <c r="P251" i="18"/>
  <c r="X251" i="18" s="1"/>
  <c r="N251" i="18"/>
  <c r="J251" i="18"/>
  <c r="D251" i="18"/>
  <c r="L251" i="18" s="1"/>
  <c r="B251" i="18"/>
  <c r="Z250" i="18"/>
  <c r="X250" i="18"/>
  <c r="P250" i="18"/>
  <c r="L250" i="18"/>
  <c r="N250" i="18" s="1"/>
  <c r="D250" i="18"/>
  <c r="B250" i="18"/>
  <c r="Z249" i="18"/>
  <c r="X249" i="18"/>
  <c r="P249" i="18"/>
  <c r="D249" i="18"/>
  <c r="L249" i="18" s="1"/>
  <c r="N249" i="18" s="1"/>
  <c r="B249" i="18"/>
  <c r="Z248" i="18"/>
  <c r="X248" i="18"/>
  <c r="P248" i="18"/>
  <c r="N248" i="18"/>
  <c r="J248" i="18"/>
  <c r="D248" i="18"/>
  <c r="L248" i="18" s="1"/>
  <c r="B248" i="18"/>
  <c r="Z247" i="18"/>
  <c r="X247" i="18"/>
  <c r="P247" i="18"/>
  <c r="N247" i="18"/>
  <c r="D247" i="18"/>
  <c r="B247" i="18"/>
  <c r="V246" i="18"/>
  <c r="T246" i="18"/>
  <c r="P246" i="18"/>
  <c r="X246" i="18" s="1"/>
  <c r="Z246" i="18" s="1"/>
  <c r="H246" i="18"/>
  <c r="Z244" i="18"/>
  <c r="X244" i="18"/>
  <c r="V244" i="18"/>
  <c r="N244" i="18"/>
  <c r="L244" i="18"/>
  <c r="B244" i="18"/>
  <c r="X243" i="18"/>
  <c r="T243" i="18"/>
  <c r="Z243" i="18" s="1"/>
  <c r="P243" i="18"/>
  <c r="L243" i="18"/>
  <c r="N243" i="18" s="1"/>
  <c r="H243" i="18"/>
  <c r="D243" i="18"/>
  <c r="B243" i="18"/>
  <c r="Z242" i="18"/>
  <c r="X242" i="18"/>
  <c r="L242" i="18"/>
  <c r="N242" i="18" s="1"/>
  <c r="B242" i="18"/>
  <c r="X241" i="18"/>
  <c r="Z241" i="18" s="1"/>
  <c r="V241" i="18"/>
  <c r="L241" i="18"/>
  <c r="N241" i="18" s="1"/>
  <c r="B241" i="18"/>
  <c r="Z240" i="18"/>
  <c r="X240" i="18"/>
  <c r="N240" i="18"/>
  <c r="L240" i="18"/>
  <c r="B240" i="18"/>
  <c r="T239" i="18"/>
  <c r="P239" i="18"/>
  <c r="X239" i="18" s="1"/>
  <c r="H239" i="18"/>
  <c r="D239" i="18"/>
  <c r="L239" i="18" s="1"/>
  <c r="B239" i="18"/>
  <c r="Z238" i="18"/>
  <c r="X238" i="18"/>
  <c r="N238" i="18"/>
  <c r="L238" i="18"/>
  <c r="B238" i="18"/>
  <c r="X237" i="18"/>
  <c r="Z237" i="18" s="1"/>
  <c r="T237" i="18"/>
  <c r="P237" i="18"/>
  <c r="L237" i="18"/>
  <c r="H237" i="18"/>
  <c r="N237" i="18" s="1"/>
  <c r="D237" i="18"/>
  <c r="B237" i="18"/>
  <c r="X236" i="18"/>
  <c r="Z236" i="18" s="1"/>
  <c r="V236" i="18"/>
  <c r="N236" i="18"/>
  <c r="L236" i="18"/>
  <c r="B236" i="18"/>
  <c r="X235" i="18"/>
  <c r="Z235" i="18" s="1"/>
  <c r="L235" i="18"/>
  <c r="N235" i="18" s="1"/>
  <c r="J235" i="18"/>
  <c r="B235" i="18"/>
  <c r="T234" i="18"/>
  <c r="P234" i="18"/>
  <c r="H234" i="18"/>
  <c r="D234" i="18"/>
  <c r="B234" i="18"/>
  <c r="X233" i="18"/>
  <c r="Z233" i="18" s="1"/>
  <c r="L233" i="18"/>
  <c r="N233" i="18" s="1"/>
  <c r="B233" i="18"/>
  <c r="Z232" i="18"/>
  <c r="X232" i="18"/>
  <c r="N232" i="18"/>
  <c r="L232" i="18"/>
  <c r="B232" i="18"/>
  <c r="X231" i="18"/>
  <c r="Z231" i="18" s="1"/>
  <c r="N231" i="18"/>
  <c r="L231" i="18"/>
  <c r="B231" i="18"/>
  <c r="Z230" i="18"/>
  <c r="X230" i="18"/>
  <c r="N230" i="18"/>
  <c r="L230" i="18"/>
  <c r="J230" i="18"/>
  <c r="B230" i="18"/>
  <c r="Z229" i="18"/>
  <c r="X229" i="18"/>
  <c r="L229" i="18"/>
  <c r="N229" i="18" s="1"/>
  <c r="B229" i="18"/>
  <c r="Z228" i="18"/>
  <c r="X228" i="18"/>
  <c r="N228" i="18"/>
  <c r="L228" i="18"/>
  <c r="B228" i="18"/>
  <c r="X227" i="18"/>
  <c r="Z227" i="18" s="1"/>
  <c r="N227" i="18"/>
  <c r="L227" i="18"/>
  <c r="B227" i="18"/>
  <c r="Z226" i="18"/>
  <c r="X226" i="18"/>
  <c r="N226" i="18"/>
  <c r="L226" i="18"/>
  <c r="J226" i="18"/>
  <c r="B226" i="18"/>
  <c r="Z225" i="18"/>
  <c r="X225" i="18"/>
  <c r="L225" i="18"/>
  <c r="N225" i="18" s="1"/>
  <c r="B225" i="18"/>
  <c r="Z224" i="18"/>
  <c r="X224" i="18"/>
  <c r="T224" i="18"/>
  <c r="P224" i="18"/>
  <c r="H224" i="18"/>
  <c r="L224" i="18" s="1"/>
  <c r="N224" i="18" s="1"/>
  <c r="D224" i="18"/>
  <c r="B224" i="18"/>
  <c r="Z223" i="18"/>
  <c r="X223" i="18"/>
  <c r="V223" i="18"/>
  <c r="N223" i="18"/>
  <c r="L223" i="18"/>
  <c r="B223" i="18"/>
  <c r="Z222" i="18"/>
  <c r="X222" i="18"/>
  <c r="V222" i="18"/>
  <c r="L222" i="18"/>
  <c r="N222" i="18" s="1"/>
  <c r="B222" i="18"/>
  <c r="T221" i="18"/>
  <c r="P221" i="18"/>
  <c r="X221" i="18" s="1"/>
  <c r="H221" i="18"/>
  <c r="D221" i="18"/>
  <c r="L221" i="18" s="1"/>
  <c r="N221" i="18" s="1"/>
  <c r="B221" i="18"/>
  <c r="Z220" i="18"/>
  <c r="X220" i="18"/>
  <c r="N220" i="18"/>
  <c r="L220" i="18"/>
  <c r="B220" i="18"/>
  <c r="X219" i="18"/>
  <c r="Z219" i="18" s="1"/>
  <c r="L219" i="18"/>
  <c r="N219" i="18" s="1"/>
  <c r="B219" i="18"/>
  <c r="Z218" i="18"/>
  <c r="X218" i="18"/>
  <c r="N218" i="18"/>
  <c r="L218" i="18"/>
  <c r="B218" i="18"/>
  <c r="X217" i="18"/>
  <c r="Z217" i="18" s="1"/>
  <c r="V217" i="18"/>
  <c r="N217" i="18"/>
  <c r="L217" i="18"/>
  <c r="B217" i="18"/>
  <c r="T216" i="18"/>
  <c r="P216" i="18"/>
  <c r="X216" i="18" s="1"/>
  <c r="Z216" i="18" s="1"/>
  <c r="L216" i="18"/>
  <c r="N216" i="18" s="1"/>
  <c r="H216" i="18"/>
  <c r="D216" i="18"/>
  <c r="B216" i="18"/>
  <c r="X215" i="18"/>
  <c r="Z215" i="18" s="1"/>
  <c r="N215" i="18"/>
  <c r="L215" i="18"/>
  <c r="B215" i="18"/>
  <c r="Z214" i="18"/>
  <c r="X214" i="18"/>
  <c r="N214" i="18"/>
  <c r="L214" i="18"/>
  <c r="J214" i="18"/>
  <c r="B214" i="18"/>
  <c r="Z213" i="18"/>
  <c r="X213" i="18"/>
  <c r="L213" i="18"/>
  <c r="N213" i="18" s="1"/>
  <c r="B213" i="18"/>
  <c r="X212" i="18"/>
  <c r="Z212" i="18" s="1"/>
  <c r="N212" i="18"/>
  <c r="L212" i="18"/>
  <c r="B212" i="18"/>
  <c r="T211" i="18"/>
  <c r="P211" i="18"/>
  <c r="H211" i="18"/>
  <c r="D211" i="18"/>
  <c r="L211" i="18" s="1"/>
  <c r="N211" i="18" s="1"/>
  <c r="B211" i="18"/>
  <c r="Z210" i="18"/>
  <c r="X210" i="18"/>
  <c r="V210" i="18"/>
  <c r="L210" i="18"/>
  <c r="N210" i="18" s="1"/>
  <c r="B210" i="18"/>
  <c r="X209" i="18"/>
  <c r="Z209" i="18" s="1"/>
  <c r="L209" i="18"/>
  <c r="N209" i="18" s="1"/>
  <c r="J209" i="18"/>
  <c r="B209" i="18"/>
  <c r="Z208" i="18"/>
  <c r="X208" i="18"/>
  <c r="N208" i="18"/>
  <c r="L208" i="18"/>
  <c r="B208" i="18"/>
  <c r="Z207" i="18"/>
  <c r="X207" i="18"/>
  <c r="V207" i="18"/>
  <c r="L207" i="18"/>
  <c r="N207" i="18" s="1"/>
  <c r="B207" i="18"/>
  <c r="T206" i="18"/>
  <c r="P206" i="18"/>
  <c r="H206" i="18"/>
  <c r="D206" i="18"/>
  <c r="L206" i="18" s="1"/>
  <c r="N206" i="18" s="1"/>
  <c r="B206" i="18"/>
  <c r="X205" i="18"/>
  <c r="Z205" i="18" s="1"/>
  <c r="V205" i="18"/>
  <c r="N205" i="18"/>
  <c r="L205" i="18"/>
  <c r="B205" i="18"/>
  <c r="T204" i="18"/>
  <c r="P204" i="18"/>
  <c r="X204" i="18" s="1"/>
  <c r="Z204" i="18" s="1"/>
  <c r="L204" i="18"/>
  <c r="N204" i="18" s="1"/>
  <c r="H204" i="18"/>
  <c r="D204" i="18"/>
  <c r="B204" i="18"/>
  <c r="X203" i="18"/>
  <c r="Z203" i="18" s="1"/>
  <c r="N203" i="18"/>
  <c r="L203" i="18"/>
  <c r="B203" i="18"/>
  <c r="Z202" i="18"/>
  <c r="X202" i="18"/>
  <c r="T202" i="18"/>
  <c r="P202" i="18"/>
  <c r="N202" i="18"/>
  <c r="L202" i="18"/>
  <c r="H202" i="18"/>
  <c r="D202" i="18"/>
  <c r="B202" i="18"/>
  <c r="Z201" i="18"/>
  <c r="X201" i="18"/>
  <c r="N201" i="18"/>
  <c r="L201" i="18"/>
  <c r="J201" i="18"/>
  <c r="B201" i="18"/>
  <c r="Z200" i="18"/>
  <c r="X200" i="18"/>
  <c r="N200" i="18"/>
  <c r="L200" i="18"/>
  <c r="B200" i="18"/>
  <c r="Z199" i="18"/>
  <c r="V199" i="18"/>
  <c r="T199" i="18"/>
  <c r="P199" i="18"/>
  <c r="X199" i="18" s="1"/>
  <c r="H199" i="18"/>
  <c r="N199" i="18" s="1"/>
  <c r="D199" i="18"/>
  <c r="L199" i="18" s="1"/>
  <c r="B199" i="18"/>
  <c r="X198" i="18"/>
  <c r="Z198" i="18" s="1"/>
  <c r="N198" i="18"/>
  <c r="L198" i="18"/>
  <c r="B198" i="18"/>
  <c r="X197" i="18"/>
  <c r="V197" i="18"/>
  <c r="T197" i="18"/>
  <c r="P197" i="18"/>
  <c r="L197" i="18"/>
  <c r="H197" i="18"/>
  <c r="N197" i="18" s="1"/>
  <c r="D197" i="18"/>
  <c r="B197" i="18"/>
  <c r="X196" i="18"/>
  <c r="Z196" i="18" s="1"/>
  <c r="N196" i="18"/>
  <c r="L196" i="18"/>
  <c r="B196" i="18"/>
  <c r="X195" i="18"/>
  <c r="Z195" i="18" s="1"/>
  <c r="N195" i="18"/>
  <c r="L195" i="18"/>
  <c r="B195" i="18"/>
  <c r="Z194" i="18"/>
  <c r="X194" i="18"/>
  <c r="N194" i="18"/>
  <c r="L194" i="18"/>
  <c r="J194" i="18"/>
  <c r="B194" i="18"/>
  <c r="T193" i="18"/>
  <c r="P193" i="18"/>
  <c r="X193" i="18" s="1"/>
  <c r="Z193" i="18" s="1"/>
  <c r="H193" i="18"/>
  <c r="D193" i="18"/>
  <c r="B193" i="18"/>
  <c r="Z192" i="18"/>
  <c r="X192" i="18"/>
  <c r="N192" i="18"/>
  <c r="L192" i="18"/>
  <c r="B192" i="18"/>
  <c r="Z191" i="18"/>
  <c r="X191" i="18"/>
  <c r="V191" i="18"/>
  <c r="L191" i="18"/>
  <c r="N191" i="18" s="1"/>
  <c r="B191" i="18"/>
  <c r="V190" i="18"/>
  <c r="T190" i="18"/>
  <c r="P190" i="18"/>
  <c r="X190" i="18" s="1"/>
  <c r="H190" i="18"/>
  <c r="D190" i="18"/>
  <c r="L190" i="18" s="1"/>
  <c r="N190" i="18" s="1"/>
  <c r="B190" i="18"/>
  <c r="X189" i="18"/>
  <c r="Z189" i="18" s="1"/>
  <c r="V189" i="18"/>
  <c r="N189" i="18"/>
  <c r="L189" i="18"/>
  <c r="B189" i="18"/>
  <c r="T188" i="18"/>
  <c r="P188" i="18"/>
  <c r="X188" i="18" s="1"/>
  <c r="Z188" i="18" s="1"/>
  <c r="L188" i="18"/>
  <c r="N188" i="18" s="1"/>
  <c r="H188" i="18"/>
  <c r="D188" i="18"/>
  <c r="B188" i="18"/>
  <c r="X187" i="18"/>
  <c r="Z187" i="18" s="1"/>
  <c r="N187" i="18"/>
  <c r="L187" i="18"/>
  <c r="B187" i="18"/>
  <c r="Z186" i="18"/>
  <c r="X186" i="18"/>
  <c r="T186" i="18"/>
  <c r="P186" i="18"/>
  <c r="L186" i="18"/>
  <c r="N186" i="18" s="1"/>
  <c r="H186" i="18"/>
  <c r="D186" i="18"/>
  <c r="B186" i="18"/>
  <c r="X185" i="18"/>
  <c r="Z185" i="18" s="1"/>
  <c r="L185" i="18"/>
  <c r="N185" i="18" s="1"/>
  <c r="J185" i="18"/>
  <c r="B185" i="18"/>
  <c r="Z184" i="18"/>
  <c r="X184" i="18"/>
  <c r="N184" i="18"/>
  <c r="L184" i="18"/>
  <c r="B184" i="18"/>
  <c r="V183" i="18"/>
  <c r="T183" i="18"/>
  <c r="P183" i="18"/>
  <c r="X183" i="18" s="1"/>
  <c r="Z183" i="18" s="1"/>
  <c r="H183" i="18"/>
  <c r="D183" i="18"/>
  <c r="L183" i="18" s="1"/>
  <c r="B183" i="18"/>
  <c r="Z182" i="18"/>
  <c r="X182" i="18"/>
  <c r="N182" i="18"/>
  <c r="L182" i="18"/>
  <c r="B182" i="18"/>
  <c r="X181" i="18"/>
  <c r="Z181" i="18" s="1"/>
  <c r="V181" i="18"/>
  <c r="N181" i="18"/>
  <c r="L181" i="18"/>
  <c r="B181" i="18"/>
  <c r="T180" i="18"/>
  <c r="P180" i="18"/>
  <c r="X180" i="18" s="1"/>
  <c r="Z180" i="18" s="1"/>
  <c r="L180" i="18"/>
  <c r="N180" i="18" s="1"/>
  <c r="H180" i="18"/>
  <c r="D180" i="18"/>
  <c r="B180" i="18"/>
  <c r="X179" i="18"/>
  <c r="Z179" i="18" s="1"/>
  <c r="N179" i="18"/>
  <c r="L179" i="18"/>
  <c r="B179" i="18"/>
  <c r="Z178" i="18"/>
  <c r="X178" i="18"/>
  <c r="N178" i="18"/>
  <c r="L178" i="18"/>
  <c r="J178" i="18"/>
  <c r="B178" i="18"/>
  <c r="T177" i="18"/>
  <c r="P177" i="18"/>
  <c r="X177" i="18" s="1"/>
  <c r="Z177" i="18" s="1"/>
  <c r="H177" i="18"/>
  <c r="D177" i="18"/>
  <c r="B177" i="18"/>
  <c r="Z176" i="18"/>
  <c r="X176" i="18"/>
  <c r="N176" i="18"/>
  <c r="L176" i="18"/>
  <c r="B176" i="18"/>
  <c r="V175" i="18"/>
  <c r="T175" i="18"/>
  <c r="P175" i="18"/>
  <c r="X175" i="18" s="1"/>
  <c r="Z175" i="18" s="1"/>
  <c r="H175" i="18"/>
  <c r="N175" i="18" s="1"/>
  <c r="D175" i="18"/>
  <c r="L175" i="18" s="1"/>
  <c r="B175" i="18"/>
  <c r="X174" i="18"/>
  <c r="Z174" i="18" s="1"/>
  <c r="N174" i="18"/>
  <c r="L174" i="18"/>
  <c r="B174" i="18"/>
  <c r="X173" i="18"/>
  <c r="Z173" i="18" s="1"/>
  <c r="V173" i="18"/>
  <c r="N173" i="18"/>
  <c r="L173" i="18"/>
  <c r="B173" i="18"/>
  <c r="T172" i="18"/>
  <c r="P172" i="18"/>
  <c r="X172" i="18" s="1"/>
  <c r="Z172" i="18" s="1"/>
  <c r="L172" i="18"/>
  <c r="N172" i="18" s="1"/>
  <c r="H172" i="18"/>
  <c r="D172" i="18"/>
  <c r="B172" i="18"/>
  <c r="X171" i="18"/>
  <c r="Z171" i="18" s="1"/>
  <c r="N171" i="18"/>
  <c r="L171" i="18"/>
  <c r="B171" i="18"/>
  <c r="Z170" i="18"/>
  <c r="X170" i="18"/>
  <c r="T170" i="18"/>
  <c r="P170" i="18"/>
  <c r="N170" i="18"/>
  <c r="L170" i="18"/>
  <c r="H170" i="18"/>
  <c r="D170" i="18"/>
  <c r="B170" i="18"/>
  <c r="Z169" i="18"/>
  <c r="X169" i="18"/>
  <c r="N169" i="18"/>
  <c r="L169" i="18"/>
  <c r="J169" i="18"/>
  <c r="B169" i="18"/>
  <c r="Z168" i="18"/>
  <c r="X168" i="18"/>
  <c r="N168" i="18"/>
  <c r="L168" i="18"/>
  <c r="B168" i="18"/>
  <c r="Z167" i="18"/>
  <c r="X167" i="18"/>
  <c r="V167" i="18"/>
  <c r="L167" i="18"/>
  <c r="N167" i="18" s="1"/>
  <c r="B167" i="18"/>
  <c r="Z166" i="18"/>
  <c r="X166" i="18"/>
  <c r="V166" i="18"/>
  <c r="L166" i="18"/>
  <c r="N166" i="18" s="1"/>
  <c r="B166" i="18"/>
  <c r="Z165" i="18"/>
  <c r="X165" i="18"/>
  <c r="N165" i="18"/>
  <c r="L165" i="18"/>
  <c r="J165" i="18"/>
  <c r="B165" i="18"/>
  <c r="Z164" i="18"/>
  <c r="X164" i="18"/>
  <c r="N164" i="18"/>
  <c r="L164" i="18"/>
  <c r="B164" i="18"/>
  <c r="Z163" i="18"/>
  <c r="X163" i="18"/>
  <c r="V163" i="18"/>
  <c r="L163" i="18"/>
  <c r="N163" i="18" s="1"/>
  <c r="B163" i="18"/>
  <c r="Z162" i="18"/>
  <c r="X162" i="18"/>
  <c r="V162" i="18"/>
  <c r="N162" i="18"/>
  <c r="L162" i="18"/>
  <c r="B162" i="18"/>
  <c r="X161" i="18"/>
  <c r="Z161" i="18" s="1"/>
  <c r="L161" i="18"/>
  <c r="N161" i="18" s="1"/>
  <c r="J161" i="18"/>
  <c r="B161" i="18"/>
  <c r="Z160" i="18"/>
  <c r="X160" i="18"/>
  <c r="N160" i="18"/>
  <c r="L160" i="18"/>
  <c r="B160" i="18"/>
  <c r="V159" i="18"/>
  <c r="T159" i="18"/>
  <c r="P159" i="18"/>
  <c r="X159" i="18" s="1"/>
  <c r="Z159" i="18" s="1"/>
  <c r="H159" i="18"/>
  <c r="D159" i="18"/>
  <c r="L159" i="18" s="1"/>
  <c r="B159" i="18"/>
  <c r="X158" i="18"/>
  <c r="Z158" i="18" s="1"/>
  <c r="N158" i="18"/>
  <c r="L158" i="18"/>
  <c r="B158" i="18"/>
  <c r="X157" i="18"/>
  <c r="Z157" i="18" s="1"/>
  <c r="V157" i="18"/>
  <c r="N157" i="18"/>
  <c r="L157" i="18"/>
  <c r="B157" i="18"/>
  <c r="Z156" i="18"/>
  <c r="X156" i="18"/>
  <c r="N156" i="18"/>
  <c r="L156" i="18"/>
  <c r="B156" i="18"/>
  <c r="Z155" i="18"/>
  <c r="X155" i="18"/>
  <c r="N155" i="18"/>
  <c r="L155" i="18"/>
  <c r="B155" i="18"/>
  <c r="Z154" i="18"/>
  <c r="X154" i="18"/>
  <c r="N154" i="18"/>
  <c r="L154" i="18"/>
  <c r="B154" i="18"/>
  <c r="X153" i="18"/>
  <c r="Z153" i="18" s="1"/>
  <c r="V153" i="18"/>
  <c r="N153" i="18"/>
  <c r="L153" i="18"/>
  <c r="B153" i="18"/>
  <c r="Z152" i="18"/>
  <c r="X152" i="18"/>
  <c r="N152" i="18"/>
  <c r="L152" i="18"/>
  <c r="B152" i="18"/>
  <c r="X151" i="18"/>
  <c r="Z151" i="18" s="1"/>
  <c r="L151" i="18"/>
  <c r="N151" i="18" s="1"/>
  <c r="B151" i="18"/>
  <c r="X150" i="18"/>
  <c r="Z150" i="18" s="1"/>
  <c r="N150" i="18"/>
  <c r="L150" i="18"/>
  <c r="B150" i="18"/>
  <c r="X149" i="18"/>
  <c r="Z149" i="18" s="1"/>
  <c r="V149" i="18"/>
  <c r="N149" i="18"/>
  <c r="L149" i="18"/>
  <c r="B149" i="18"/>
  <c r="T148" i="18"/>
  <c r="P148" i="18"/>
  <c r="X148" i="18" s="1"/>
  <c r="Z148" i="18" s="1"/>
  <c r="L148" i="18"/>
  <c r="N148" i="18" s="1"/>
  <c r="H148" i="18"/>
  <c r="D148" i="18"/>
  <c r="B148" i="18"/>
  <c r="T147" i="18"/>
  <c r="P147" i="18"/>
  <c r="H147" i="18"/>
  <c r="D147" i="18"/>
  <c r="Z143" i="18"/>
  <c r="X143" i="18"/>
  <c r="N143" i="18"/>
  <c r="L143" i="18"/>
  <c r="J143" i="18"/>
  <c r="B143" i="18"/>
  <c r="Z142" i="18"/>
  <c r="X142" i="18"/>
  <c r="N142" i="18"/>
  <c r="L142" i="18"/>
  <c r="J142" i="18"/>
  <c r="B142" i="18"/>
  <c r="Z141" i="18"/>
  <c r="X141" i="18"/>
  <c r="N141" i="18"/>
  <c r="L141" i="18"/>
  <c r="B141" i="18"/>
  <c r="Z140" i="18"/>
  <c r="X140" i="18"/>
  <c r="N140" i="18"/>
  <c r="L140" i="18"/>
  <c r="B140" i="18"/>
  <c r="Z139" i="18"/>
  <c r="X139" i="18"/>
  <c r="N139" i="18"/>
  <c r="L139" i="18"/>
  <c r="J139" i="18"/>
  <c r="B139" i="18"/>
  <c r="Z138" i="18"/>
  <c r="X138" i="18"/>
  <c r="N138" i="18"/>
  <c r="L138" i="18"/>
  <c r="J138" i="18"/>
  <c r="B138" i="18"/>
  <c r="Z137" i="18"/>
  <c r="X137" i="18"/>
  <c r="N137" i="18"/>
  <c r="L137" i="18"/>
  <c r="B137" i="18"/>
  <c r="Z136" i="18"/>
  <c r="X136" i="18"/>
  <c r="N136" i="18"/>
  <c r="L136" i="18"/>
  <c r="B136" i="18"/>
  <c r="Z135" i="18"/>
  <c r="X135" i="18"/>
  <c r="N135" i="18"/>
  <c r="L135" i="18"/>
  <c r="J135" i="18"/>
  <c r="B135" i="18"/>
  <c r="Z134" i="18"/>
  <c r="X134" i="18"/>
  <c r="N134" i="18"/>
  <c r="L134" i="18"/>
  <c r="J134" i="18"/>
  <c r="B134" i="18"/>
  <c r="Z133" i="18"/>
  <c r="X133" i="18"/>
  <c r="N133" i="18"/>
  <c r="L133" i="18"/>
  <c r="B133" i="18"/>
  <c r="Z132" i="18"/>
  <c r="X132" i="18"/>
  <c r="N132" i="18"/>
  <c r="L132" i="18"/>
  <c r="B132" i="18"/>
  <c r="Z131" i="18"/>
  <c r="X131" i="18"/>
  <c r="N131" i="18"/>
  <c r="L131" i="18"/>
  <c r="J131" i="18"/>
  <c r="B131" i="18"/>
  <c r="Z130" i="18"/>
  <c r="X130" i="18"/>
  <c r="N130" i="18"/>
  <c r="L130" i="18"/>
  <c r="J130" i="18"/>
  <c r="B130" i="18"/>
  <c r="Z129" i="18"/>
  <c r="X129" i="18"/>
  <c r="N129" i="18"/>
  <c r="L129" i="18"/>
  <c r="B129" i="18"/>
  <c r="Z128" i="18"/>
  <c r="X128" i="18"/>
  <c r="N128" i="18"/>
  <c r="L128" i="18"/>
  <c r="B128" i="18"/>
  <c r="Z127" i="18"/>
  <c r="X127" i="18"/>
  <c r="N127" i="18"/>
  <c r="L127" i="18"/>
  <c r="J127" i="18"/>
  <c r="B127" i="18"/>
  <c r="Z126" i="18"/>
  <c r="X126" i="18"/>
  <c r="N126" i="18"/>
  <c r="L126" i="18"/>
  <c r="J126" i="18"/>
  <c r="B126" i="18"/>
  <c r="Z125" i="18"/>
  <c r="X125" i="18"/>
  <c r="N125" i="18"/>
  <c r="L125" i="18"/>
  <c r="B125" i="18"/>
  <c r="Z124" i="18"/>
  <c r="X124" i="18"/>
  <c r="N124" i="18"/>
  <c r="L124" i="18"/>
  <c r="B124" i="18"/>
  <c r="Z123" i="18"/>
  <c r="X123" i="18"/>
  <c r="N123" i="18"/>
  <c r="L123" i="18"/>
  <c r="J123" i="18"/>
  <c r="B123" i="18"/>
  <c r="Z122" i="18"/>
  <c r="X122" i="18"/>
  <c r="N122" i="18"/>
  <c r="L122" i="18"/>
  <c r="J122" i="18"/>
  <c r="B122" i="18"/>
  <c r="Z121" i="18"/>
  <c r="X121" i="18"/>
  <c r="N121" i="18"/>
  <c r="L121" i="18"/>
  <c r="B121" i="18"/>
  <c r="Z120" i="18"/>
  <c r="X120" i="18"/>
  <c r="N120" i="18"/>
  <c r="L120" i="18"/>
  <c r="B120" i="18"/>
  <c r="Z119" i="18"/>
  <c r="X119" i="18"/>
  <c r="N119" i="18"/>
  <c r="L119" i="18"/>
  <c r="J119" i="18"/>
  <c r="B119" i="18"/>
  <c r="Z118" i="18"/>
  <c r="X118" i="18"/>
  <c r="N118" i="18"/>
  <c r="L118" i="18"/>
  <c r="J118" i="18"/>
  <c r="B118" i="18"/>
  <c r="Z117" i="18"/>
  <c r="X117" i="18"/>
  <c r="N117" i="18"/>
  <c r="L117" i="18"/>
  <c r="B117" i="18"/>
  <c r="Z116" i="18"/>
  <c r="X116" i="18"/>
  <c r="N116" i="18"/>
  <c r="L116" i="18"/>
  <c r="B116" i="18"/>
  <c r="Z115" i="18"/>
  <c r="X115" i="18"/>
  <c r="N115" i="18"/>
  <c r="L115" i="18"/>
  <c r="J115" i="18"/>
  <c r="B115" i="18"/>
  <c r="Z114" i="18"/>
  <c r="X114" i="18"/>
  <c r="N114" i="18"/>
  <c r="L114" i="18"/>
  <c r="J114" i="18"/>
  <c r="B114" i="18"/>
  <c r="Z113" i="18"/>
  <c r="X113" i="18"/>
  <c r="N113" i="18"/>
  <c r="L113" i="18"/>
  <c r="B113" i="18"/>
  <c r="Z112" i="18"/>
  <c r="X112" i="18"/>
  <c r="N112" i="18"/>
  <c r="L112" i="18"/>
  <c r="B112" i="18"/>
  <c r="Z111" i="18"/>
  <c r="X111" i="18"/>
  <c r="N111" i="18"/>
  <c r="L111" i="18"/>
  <c r="J111" i="18"/>
  <c r="B111" i="18"/>
  <c r="Z110" i="18"/>
  <c r="X110" i="18"/>
  <c r="N110" i="18"/>
  <c r="L110" i="18"/>
  <c r="J110" i="18"/>
  <c r="B110" i="18"/>
  <c r="Z109" i="18"/>
  <c r="X109" i="18"/>
  <c r="N109" i="18"/>
  <c r="L109" i="18"/>
  <c r="B109" i="18"/>
  <c r="Z108" i="18"/>
  <c r="X108" i="18"/>
  <c r="N108" i="18"/>
  <c r="L108" i="18"/>
  <c r="B108" i="18"/>
  <c r="Z107" i="18"/>
  <c r="X107" i="18"/>
  <c r="N107" i="18"/>
  <c r="L107" i="18"/>
  <c r="J107" i="18"/>
  <c r="B107" i="18"/>
  <c r="Z106" i="18"/>
  <c r="X106" i="18"/>
  <c r="N106" i="18"/>
  <c r="L106" i="18"/>
  <c r="J106" i="18"/>
  <c r="B106" i="18"/>
  <c r="Z105" i="18"/>
  <c r="X105" i="18"/>
  <c r="N105" i="18"/>
  <c r="L105" i="18"/>
  <c r="B105" i="18"/>
  <c r="Z104" i="18"/>
  <c r="X104" i="18"/>
  <c r="N104" i="18"/>
  <c r="L104" i="18"/>
  <c r="B104" i="18"/>
  <c r="Z103" i="18"/>
  <c r="X103" i="18"/>
  <c r="N103" i="18"/>
  <c r="L103" i="18"/>
  <c r="J103" i="18"/>
  <c r="B103" i="18"/>
  <c r="Z102" i="18"/>
  <c r="X102" i="18"/>
  <c r="N102" i="18"/>
  <c r="L102" i="18"/>
  <c r="J102" i="18"/>
  <c r="B102" i="18"/>
  <c r="Z101" i="18"/>
  <c r="X101" i="18"/>
  <c r="N101" i="18"/>
  <c r="L101" i="18"/>
  <c r="B101" i="18"/>
  <c r="Z100" i="18"/>
  <c r="X100" i="18"/>
  <c r="N100" i="18"/>
  <c r="L100" i="18"/>
  <c r="B100" i="18"/>
  <c r="Z99" i="18"/>
  <c r="X99" i="18"/>
  <c r="N99" i="18"/>
  <c r="L99" i="18"/>
  <c r="J99" i="18"/>
  <c r="B99" i="18"/>
  <c r="Z98" i="18"/>
  <c r="X98" i="18"/>
  <c r="N98" i="18"/>
  <c r="L98" i="18"/>
  <c r="J98" i="18"/>
  <c r="B98" i="18"/>
  <c r="Z97" i="18"/>
  <c r="X97" i="18"/>
  <c r="N97" i="18"/>
  <c r="L97" i="18"/>
  <c r="B97" i="18"/>
  <c r="X96" i="18"/>
  <c r="Z96" i="18" s="1"/>
  <c r="N96" i="18"/>
  <c r="L96" i="18"/>
  <c r="B96" i="18"/>
  <c r="T95" i="18"/>
  <c r="T145" i="18" s="1"/>
  <c r="P95" i="18"/>
  <c r="N95" i="18"/>
  <c r="H95" i="18"/>
  <c r="D95" i="18"/>
  <c r="L95" i="18" s="1"/>
  <c r="Z93" i="18"/>
  <c r="X93" i="18"/>
  <c r="P93" i="18"/>
  <c r="N93" i="18"/>
  <c r="L93" i="18"/>
  <c r="D93" i="18"/>
  <c r="B93" i="18"/>
  <c r="Z92" i="18"/>
  <c r="P92" i="18"/>
  <c r="X92" i="18" s="1"/>
  <c r="N92" i="18"/>
  <c r="L92" i="18"/>
  <c r="D92" i="18"/>
  <c r="B92" i="18"/>
  <c r="Z91" i="18"/>
  <c r="P91" i="18"/>
  <c r="X91" i="18" s="1"/>
  <c r="N91" i="18"/>
  <c r="L91" i="18"/>
  <c r="D91" i="18"/>
  <c r="B91" i="18"/>
  <c r="Z90" i="18"/>
  <c r="P90" i="18"/>
  <c r="X90" i="18" s="1"/>
  <c r="N90" i="18"/>
  <c r="L90" i="18"/>
  <c r="D90" i="18"/>
  <c r="B90" i="18"/>
  <c r="Z89" i="18"/>
  <c r="P89" i="18"/>
  <c r="X89" i="18" s="1"/>
  <c r="N89" i="18"/>
  <c r="D89" i="18"/>
  <c r="L89" i="18" s="1"/>
  <c r="B89" i="18"/>
  <c r="Z88" i="18"/>
  <c r="P88" i="18"/>
  <c r="X88" i="18" s="1"/>
  <c r="N88" i="18"/>
  <c r="L88" i="18"/>
  <c r="D88" i="18"/>
  <c r="B88" i="18"/>
  <c r="Z87" i="18"/>
  <c r="P87" i="18"/>
  <c r="X87" i="18" s="1"/>
  <c r="N87" i="18"/>
  <c r="D87" i="18"/>
  <c r="L87" i="18" s="1"/>
  <c r="B87" i="18"/>
  <c r="Z86" i="18"/>
  <c r="P86" i="18"/>
  <c r="X86" i="18" s="1"/>
  <c r="N86" i="18"/>
  <c r="D86" i="18"/>
  <c r="L86" i="18" s="1"/>
  <c r="B86" i="18"/>
  <c r="Z85" i="18"/>
  <c r="X85" i="18"/>
  <c r="P85" i="18"/>
  <c r="N85" i="18"/>
  <c r="D85" i="18"/>
  <c r="L85" i="18" s="1"/>
  <c r="B85" i="18"/>
  <c r="Z84" i="18"/>
  <c r="X84" i="18"/>
  <c r="P84" i="18"/>
  <c r="N84" i="18"/>
  <c r="D84" i="18"/>
  <c r="L84" i="18" s="1"/>
  <c r="B84" i="18"/>
  <c r="Z83" i="18"/>
  <c r="X83" i="18"/>
  <c r="P83" i="18"/>
  <c r="N83" i="18"/>
  <c r="D83" i="18"/>
  <c r="L83" i="18" s="1"/>
  <c r="B83" i="18"/>
  <c r="Z82" i="18"/>
  <c r="X82" i="18"/>
  <c r="P82" i="18"/>
  <c r="N82" i="18"/>
  <c r="L82" i="18"/>
  <c r="D82" i="18"/>
  <c r="B82" i="18"/>
  <c r="Z81" i="18"/>
  <c r="X81" i="18"/>
  <c r="P81" i="18"/>
  <c r="N81" i="18"/>
  <c r="L81" i="18"/>
  <c r="D81" i="18"/>
  <c r="B81" i="18"/>
  <c r="Z80" i="18"/>
  <c r="P80" i="18"/>
  <c r="X80" i="18" s="1"/>
  <c r="N80" i="18"/>
  <c r="L80" i="18"/>
  <c r="D80" i="18"/>
  <c r="B80" i="18"/>
  <c r="Z79" i="18"/>
  <c r="P79" i="18"/>
  <c r="X79" i="18" s="1"/>
  <c r="N79" i="18"/>
  <c r="L79" i="18"/>
  <c r="D79" i="18"/>
  <c r="B79" i="18"/>
  <c r="Z78" i="18"/>
  <c r="P78" i="18"/>
  <c r="X78" i="18" s="1"/>
  <c r="N78" i="18"/>
  <c r="L78" i="18"/>
  <c r="D78" i="18"/>
  <c r="B78" i="18"/>
  <c r="Z77" i="18"/>
  <c r="P77" i="18"/>
  <c r="X77" i="18" s="1"/>
  <c r="N77" i="18"/>
  <c r="D77" i="18"/>
  <c r="L77" i="18" s="1"/>
  <c r="B77" i="18"/>
  <c r="Z76" i="18"/>
  <c r="P76" i="18"/>
  <c r="X76" i="18" s="1"/>
  <c r="N76" i="18"/>
  <c r="L76" i="18"/>
  <c r="D76" i="18"/>
  <c r="B76" i="18"/>
  <c r="Z75" i="18"/>
  <c r="P75" i="18"/>
  <c r="X75" i="18" s="1"/>
  <c r="N75" i="18"/>
  <c r="D75" i="18"/>
  <c r="L75" i="18" s="1"/>
  <c r="B75" i="18"/>
  <c r="Z74" i="18"/>
  <c r="P74" i="18"/>
  <c r="X74" i="18" s="1"/>
  <c r="N74" i="18"/>
  <c r="D74" i="18"/>
  <c r="L74" i="18" s="1"/>
  <c r="B74" i="18"/>
  <c r="Z73" i="18"/>
  <c r="X73" i="18"/>
  <c r="P73" i="18"/>
  <c r="N73" i="18"/>
  <c r="D73" i="18"/>
  <c r="L73" i="18" s="1"/>
  <c r="B73" i="18"/>
  <c r="Z72" i="18"/>
  <c r="X72" i="18"/>
  <c r="P72" i="18"/>
  <c r="N72" i="18"/>
  <c r="D72" i="18"/>
  <c r="L72" i="18" s="1"/>
  <c r="B72" i="18"/>
  <c r="Z71" i="18"/>
  <c r="X71" i="18"/>
  <c r="P71" i="18"/>
  <c r="N71" i="18"/>
  <c r="D71" i="18"/>
  <c r="L71" i="18" s="1"/>
  <c r="B71" i="18"/>
  <c r="Z70" i="18"/>
  <c r="X70" i="18"/>
  <c r="P70" i="18"/>
  <c r="N70" i="18"/>
  <c r="L70" i="18"/>
  <c r="D70" i="18"/>
  <c r="B70" i="18"/>
  <c r="Z69" i="18"/>
  <c r="X69" i="18"/>
  <c r="P69" i="18"/>
  <c r="N69" i="18"/>
  <c r="L69" i="18"/>
  <c r="D69" i="18"/>
  <c r="B69" i="18"/>
  <c r="Z68" i="18"/>
  <c r="P68" i="18"/>
  <c r="X68" i="18" s="1"/>
  <c r="N68" i="18"/>
  <c r="L68" i="18"/>
  <c r="D68" i="18"/>
  <c r="B68" i="18"/>
  <c r="Z67" i="18"/>
  <c r="P67" i="18"/>
  <c r="X67" i="18" s="1"/>
  <c r="N67" i="18"/>
  <c r="L67" i="18"/>
  <c r="D67" i="18"/>
  <c r="B67" i="18"/>
  <c r="Z66" i="18"/>
  <c r="P66" i="18"/>
  <c r="X66" i="18" s="1"/>
  <c r="N66" i="18"/>
  <c r="L66" i="18"/>
  <c r="D66" i="18"/>
  <c r="B66" i="18"/>
  <c r="Z65" i="18"/>
  <c r="P65" i="18"/>
  <c r="X65" i="18" s="1"/>
  <c r="N65" i="18"/>
  <c r="D65" i="18"/>
  <c r="L65" i="18" s="1"/>
  <c r="B65" i="18"/>
  <c r="Z64" i="18"/>
  <c r="P64" i="18"/>
  <c r="X64" i="18" s="1"/>
  <c r="N64" i="18"/>
  <c r="L64" i="18"/>
  <c r="D64" i="18"/>
  <c r="B64" i="18"/>
  <c r="Z63" i="18"/>
  <c r="P63" i="18"/>
  <c r="X63" i="18" s="1"/>
  <c r="N63" i="18"/>
  <c r="D63" i="18"/>
  <c r="L63" i="18" s="1"/>
  <c r="B63" i="18"/>
  <c r="Z62" i="18"/>
  <c r="P62" i="18"/>
  <c r="X62" i="18" s="1"/>
  <c r="N62" i="18"/>
  <c r="D62" i="18"/>
  <c r="L62" i="18" s="1"/>
  <c r="B62" i="18"/>
  <c r="Z61" i="18"/>
  <c r="X61" i="18"/>
  <c r="P61" i="18"/>
  <c r="N61" i="18"/>
  <c r="D61" i="18"/>
  <c r="L61" i="18" s="1"/>
  <c r="B61" i="18"/>
  <c r="Z60" i="18"/>
  <c r="X60" i="18"/>
  <c r="P60" i="18"/>
  <c r="N60" i="18"/>
  <c r="D60" i="18"/>
  <c r="L60" i="18" s="1"/>
  <c r="B60" i="18"/>
  <c r="Z59" i="18"/>
  <c r="X59" i="18"/>
  <c r="P59" i="18"/>
  <c r="N59" i="18"/>
  <c r="D59" i="18"/>
  <c r="L59" i="18" s="1"/>
  <c r="B59" i="18"/>
  <c r="Z58" i="18"/>
  <c r="X58" i="18"/>
  <c r="P58" i="18"/>
  <c r="N58" i="18"/>
  <c r="L58" i="18"/>
  <c r="D58" i="18"/>
  <c r="B58" i="18"/>
  <c r="Z57" i="18"/>
  <c r="X57" i="18"/>
  <c r="P57" i="18"/>
  <c r="N57" i="18"/>
  <c r="L57" i="18"/>
  <c r="D57" i="18"/>
  <c r="B57" i="18"/>
  <c r="Z56" i="18"/>
  <c r="P56" i="18"/>
  <c r="X56" i="18" s="1"/>
  <c r="N56" i="18"/>
  <c r="L56" i="18"/>
  <c r="D56" i="18"/>
  <c r="B56" i="18"/>
  <c r="Z55" i="18"/>
  <c r="P55" i="18"/>
  <c r="X55" i="18" s="1"/>
  <c r="N55" i="18"/>
  <c r="L55" i="18"/>
  <c r="D55" i="18"/>
  <c r="B55" i="18"/>
  <c r="Z54" i="18"/>
  <c r="P54" i="18"/>
  <c r="X54" i="18" s="1"/>
  <c r="N54" i="18"/>
  <c r="L54" i="18"/>
  <c r="D54" i="18"/>
  <c r="B54" i="18"/>
  <c r="Z53" i="18"/>
  <c r="P53" i="18"/>
  <c r="X53" i="18" s="1"/>
  <c r="N53" i="18"/>
  <c r="D53" i="18"/>
  <c r="L53" i="18" s="1"/>
  <c r="B53" i="18"/>
  <c r="Z52" i="18"/>
  <c r="P52" i="18"/>
  <c r="X52" i="18" s="1"/>
  <c r="N52" i="18"/>
  <c r="L52" i="18"/>
  <c r="D52" i="18"/>
  <c r="B52" i="18"/>
  <c r="Z51" i="18"/>
  <c r="P51" i="18"/>
  <c r="X51" i="18" s="1"/>
  <c r="N51" i="18"/>
  <c r="D51" i="18"/>
  <c r="L51" i="18" s="1"/>
  <c r="B51" i="18"/>
  <c r="Z50" i="18"/>
  <c r="P50" i="18"/>
  <c r="X50" i="18" s="1"/>
  <c r="N50" i="18"/>
  <c r="D50" i="18"/>
  <c r="L50" i="18" s="1"/>
  <c r="B50" i="18"/>
  <c r="Z49" i="18"/>
  <c r="X49" i="18"/>
  <c r="P49" i="18"/>
  <c r="N49" i="18"/>
  <c r="D49" i="18"/>
  <c r="L49" i="18" s="1"/>
  <c r="B49" i="18"/>
  <c r="Z48" i="18"/>
  <c r="X48" i="18"/>
  <c r="P48" i="18"/>
  <c r="N48" i="18"/>
  <c r="L48" i="18"/>
  <c r="D48" i="18"/>
  <c r="B48" i="18"/>
  <c r="Z47" i="18"/>
  <c r="X47" i="18"/>
  <c r="P47" i="18"/>
  <c r="N47" i="18"/>
  <c r="D47" i="18"/>
  <c r="L47" i="18" s="1"/>
  <c r="B47" i="18"/>
  <c r="Z46" i="18"/>
  <c r="X46" i="18"/>
  <c r="P46" i="18"/>
  <c r="N46" i="18"/>
  <c r="L46" i="18"/>
  <c r="D46" i="18"/>
  <c r="B46" i="18"/>
  <c r="Z45" i="18"/>
  <c r="X45" i="18"/>
  <c r="P45" i="18"/>
  <c r="N45" i="18"/>
  <c r="L45" i="18"/>
  <c r="D45" i="18"/>
  <c r="B45" i="18"/>
  <c r="Z44" i="18"/>
  <c r="P44" i="18"/>
  <c r="X44" i="18" s="1"/>
  <c r="N44" i="18"/>
  <c r="L44" i="18"/>
  <c r="D44" i="18"/>
  <c r="B44" i="18"/>
  <c r="Z43" i="18"/>
  <c r="X43" i="18"/>
  <c r="P43" i="18"/>
  <c r="N43" i="18"/>
  <c r="L43" i="18"/>
  <c r="D43" i="18"/>
  <c r="B43" i="18"/>
  <c r="Z42" i="18"/>
  <c r="P42" i="18"/>
  <c r="X42" i="18" s="1"/>
  <c r="N42" i="18"/>
  <c r="L42" i="18"/>
  <c r="D42" i="18"/>
  <c r="B42" i="18"/>
  <c r="Z41" i="18"/>
  <c r="P41" i="18"/>
  <c r="X41" i="18" s="1"/>
  <c r="N41" i="18"/>
  <c r="D41" i="18"/>
  <c r="L41" i="18" s="1"/>
  <c r="B41" i="18"/>
  <c r="Z40" i="18"/>
  <c r="P40" i="18"/>
  <c r="X40" i="18" s="1"/>
  <c r="N40" i="18"/>
  <c r="D40" i="18"/>
  <c r="L40" i="18" s="1"/>
  <c r="B40" i="18"/>
  <c r="Z39" i="18"/>
  <c r="P39" i="18"/>
  <c r="X39" i="18" s="1"/>
  <c r="N39" i="18"/>
  <c r="D39" i="18"/>
  <c r="L39" i="18" s="1"/>
  <c r="B39" i="18"/>
  <c r="P38" i="18"/>
  <c r="X38" i="18" s="1"/>
  <c r="Z38" i="18" s="1"/>
  <c r="D38" i="18"/>
  <c r="L38" i="18" s="1"/>
  <c r="N38" i="18" s="1"/>
  <c r="B38" i="18"/>
  <c r="Z37" i="18"/>
  <c r="X37" i="18"/>
  <c r="P37" i="18"/>
  <c r="N37" i="18"/>
  <c r="D37" i="18"/>
  <c r="L37" i="18" s="1"/>
  <c r="B37" i="18"/>
  <c r="Z36" i="18"/>
  <c r="X36" i="18"/>
  <c r="P36" i="18"/>
  <c r="N36" i="18"/>
  <c r="L36" i="18"/>
  <c r="D36" i="18"/>
  <c r="B36" i="18"/>
  <c r="Z35" i="18"/>
  <c r="X35" i="18"/>
  <c r="P35" i="18"/>
  <c r="N35" i="18"/>
  <c r="D35" i="18"/>
  <c r="L35" i="18" s="1"/>
  <c r="B35" i="18"/>
  <c r="Z34" i="18"/>
  <c r="X34" i="18"/>
  <c r="P34" i="18"/>
  <c r="N34" i="18"/>
  <c r="L34" i="18"/>
  <c r="D34" i="18"/>
  <c r="B34" i="18"/>
  <c r="Z33" i="18"/>
  <c r="X33" i="18"/>
  <c r="P33" i="18"/>
  <c r="N33" i="18"/>
  <c r="L33" i="18"/>
  <c r="D33" i="18"/>
  <c r="B33" i="18"/>
  <c r="Z32" i="18"/>
  <c r="P32" i="18"/>
  <c r="X32" i="18" s="1"/>
  <c r="N32" i="18"/>
  <c r="L32" i="18"/>
  <c r="D32" i="18"/>
  <c r="B32" i="18"/>
  <c r="Z31" i="18"/>
  <c r="X31" i="18"/>
  <c r="P31" i="18"/>
  <c r="N31" i="18"/>
  <c r="L31" i="18"/>
  <c r="D31" i="18"/>
  <c r="B31" i="18"/>
  <c r="Z30" i="18"/>
  <c r="P30" i="18"/>
  <c r="X30" i="18" s="1"/>
  <c r="N30" i="18"/>
  <c r="L30" i="18"/>
  <c r="D30" i="18"/>
  <c r="B30" i="18"/>
  <c r="Z29" i="18"/>
  <c r="P29" i="18"/>
  <c r="X29" i="18" s="1"/>
  <c r="N29" i="18"/>
  <c r="D29" i="18"/>
  <c r="L29" i="18" s="1"/>
  <c r="B29" i="18"/>
  <c r="Z28" i="18"/>
  <c r="P28" i="18"/>
  <c r="X28" i="18" s="1"/>
  <c r="N28" i="18"/>
  <c r="D28" i="18"/>
  <c r="L28" i="18" s="1"/>
  <c r="B28" i="18"/>
  <c r="Z27" i="18"/>
  <c r="P27" i="18"/>
  <c r="X27" i="18" s="1"/>
  <c r="N27" i="18"/>
  <c r="D27" i="18"/>
  <c r="L27" i="18" s="1"/>
  <c r="B27" i="18"/>
  <c r="Z26" i="18"/>
  <c r="P26" i="18"/>
  <c r="X26" i="18" s="1"/>
  <c r="N26" i="18"/>
  <c r="D26" i="18"/>
  <c r="L26" i="18" s="1"/>
  <c r="B26" i="18"/>
  <c r="Z25" i="18"/>
  <c r="X25" i="18"/>
  <c r="P25" i="18"/>
  <c r="N25" i="18"/>
  <c r="D25" i="18"/>
  <c r="L25" i="18" s="1"/>
  <c r="B25" i="18"/>
  <c r="Z24" i="18"/>
  <c r="X24" i="18"/>
  <c r="P24" i="18"/>
  <c r="N24" i="18"/>
  <c r="L24" i="18"/>
  <c r="D24" i="18"/>
  <c r="B24" i="18"/>
  <c r="Z23" i="18"/>
  <c r="X23" i="18"/>
  <c r="P23" i="18"/>
  <c r="N23" i="18"/>
  <c r="D23" i="18"/>
  <c r="L23" i="18" s="1"/>
  <c r="B23" i="18"/>
  <c r="Z22" i="18"/>
  <c r="X22" i="18"/>
  <c r="P22" i="18"/>
  <c r="N22" i="18"/>
  <c r="L22" i="18"/>
  <c r="D22" i="18"/>
  <c r="B22" i="18"/>
  <c r="Z21" i="18"/>
  <c r="X21" i="18"/>
  <c r="P21" i="18"/>
  <c r="N21" i="18"/>
  <c r="L21" i="18"/>
  <c r="D21" i="18"/>
  <c r="B21" i="18"/>
  <c r="Z20" i="18"/>
  <c r="P20" i="18"/>
  <c r="X20" i="18" s="1"/>
  <c r="N20" i="18"/>
  <c r="L20" i="18"/>
  <c r="D20" i="18"/>
  <c r="B20" i="18"/>
  <c r="Z19" i="18"/>
  <c r="X19" i="18"/>
  <c r="P19" i="18"/>
  <c r="N19" i="18"/>
  <c r="L19" i="18"/>
  <c r="D19" i="18"/>
  <c r="B19" i="18"/>
  <c r="Z18" i="18"/>
  <c r="P18" i="18"/>
  <c r="X18" i="18" s="1"/>
  <c r="N18" i="18"/>
  <c r="L18" i="18"/>
  <c r="D18" i="18"/>
  <c r="B18" i="18"/>
  <c r="Z17" i="18"/>
  <c r="P17" i="18"/>
  <c r="X17" i="18" s="1"/>
  <c r="N17" i="18"/>
  <c r="D17" i="18"/>
  <c r="L17" i="18" s="1"/>
  <c r="B17" i="18"/>
  <c r="Z16" i="18"/>
  <c r="P16" i="18"/>
  <c r="X16" i="18" s="1"/>
  <c r="N16" i="18"/>
  <c r="D16" i="18"/>
  <c r="L16" i="18" s="1"/>
  <c r="B16" i="18"/>
  <c r="Z15" i="18"/>
  <c r="X15" i="18"/>
  <c r="P15" i="18"/>
  <c r="N15" i="18"/>
  <c r="D15" i="18"/>
  <c r="L15" i="18" s="1"/>
  <c r="B15" i="18"/>
  <c r="Z14" i="18"/>
  <c r="P14" i="18"/>
  <c r="X14" i="18" s="1"/>
  <c r="N14" i="18"/>
  <c r="D14" i="18"/>
  <c r="L14" i="18" s="1"/>
  <c r="B14" i="18"/>
  <c r="X13" i="18"/>
  <c r="Z13" i="18" s="1"/>
  <c r="P13" i="18"/>
  <c r="D13" i="18"/>
  <c r="B13" i="18"/>
  <c r="T12" i="18"/>
  <c r="V218" i="18" s="1"/>
  <c r="H12" i="18"/>
  <c r="J223" i="18" s="1"/>
  <c r="D4" i="18"/>
  <c r="X231" i="15"/>
  <c r="Z231" i="15" s="1"/>
  <c r="V231" i="15"/>
  <c r="N231" i="15"/>
  <c r="L231" i="15"/>
  <c r="Z227" i="15"/>
  <c r="X227" i="15"/>
  <c r="P227" i="15"/>
  <c r="N227" i="15"/>
  <c r="L227" i="15"/>
  <c r="D227" i="15"/>
  <c r="B227" i="15"/>
  <c r="Z226" i="15"/>
  <c r="P226" i="15"/>
  <c r="X226" i="15" s="1"/>
  <c r="N226" i="15"/>
  <c r="L226" i="15"/>
  <c r="J226" i="15"/>
  <c r="D226" i="15"/>
  <c r="B226" i="15"/>
  <c r="X225" i="15"/>
  <c r="Z225" i="15" s="1"/>
  <c r="P225" i="15"/>
  <c r="D225" i="15"/>
  <c r="L225" i="15" s="1"/>
  <c r="N225" i="15" s="1"/>
  <c r="B225" i="15"/>
  <c r="P224" i="15"/>
  <c r="X224" i="15" s="1"/>
  <c r="Z224" i="15" s="1"/>
  <c r="D224" i="15"/>
  <c r="L224" i="15" s="1"/>
  <c r="N224" i="15" s="1"/>
  <c r="B224" i="15"/>
  <c r="Z223" i="15"/>
  <c r="X223" i="15"/>
  <c r="P223" i="15"/>
  <c r="N223" i="15"/>
  <c r="D223" i="15"/>
  <c r="L223" i="15" s="1"/>
  <c r="B223" i="15"/>
  <c r="T222" i="15"/>
  <c r="H222" i="15"/>
  <c r="X220" i="15"/>
  <c r="Z220" i="15" s="1"/>
  <c r="N220" i="15"/>
  <c r="L220" i="15"/>
  <c r="B220" i="15"/>
  <c r="X219" i="15"/>
  <c r="V219" i="15"/>
  <c r="T219" i="15"/>
  <c r="Z219" i="15" s="1"/>
  <c r="P219" i="15"/>
  <c r="L219" i="15"/>
  <c r="H219" i="15"/>
  <c r="N219" i="15" s="1"/>
  <c r="D219" i="15"/>
  <c r="B219" i="15"/>
  <c r="X218" i="15"/>
  <c r="Z218" i="15" s="1"/>
  <c r="N218" i="15"/>
  <c r="L218" i="15"/>
  <c r="B218" i="15"/>
  <c r="X217" i="15"/>
  <c r="Z217" i="15" s="1"/>
  <c r="N217" i="15"/>
  <c r="L217" i="15"/>
  <c r="B217" i="15"/>
  <c r="Z216" i="15"/>
  <c r="X216" i="15"/>
  <c r="N216" i="15"/>
  <c r="L216" i="15"/>
  <c r="B216" i="15"/>
  <c r="Z215" i="15"/>
  <c r="T215" i="15"/>
  <c r="P215" i="15"/>
  <c r="X215" i="15" s="1"/>
  <c r="H215" i="15"/>
  <c r="D215" i="15"/>
  <c r="B215" i="15"/>
  <c r="X214" i="15"/>
  <c r="Z214" i="15" s="1"/>
  <c r="N214" i="15"/>
  <c r="L214" i="15"/>
  <c r="B214" i="15"/>
  <c r="V213" i="15"/>
  <c r="T213" i="15"/>
  <c r="P213" i="15"/>
  <c r="X213" i="15" s="1"/>
  <c r="Z213" i="15" s="1"/>
  <c r="H213" i="15"/>
  <c r="N213" i="15" s="1"/>
  <c r="D213" i="15"/>
  <c r="L213" i="15" s="1"/>
  <c r="B213" i="15"/>
  <c r="X212" i="15"/>
  <c r="Z212" i="15" s="1"/>
  <c r="N212" i="15"/>
  <c r="L212" i="15"/>
  <c r="B212" i="15"/>
  <c r="X211" i="15"/>
  <c r="Z211" i="15" s="1"/>
  <c r="N211" i="15"/>
  <c r="L211" i="15"/>
  <c r="B211" i="15"/>
  <c r="T210" i="15"/>
  <c r="P210" i="15"/>
  <c r="X210" i="15" s="1"/>
  <c r="Z210" i="15" s="1"/>
  <c r="L210" i="15"/>
  <c r="N210" i="15" s="1"/>
  <c r="H210" i="15"/>
  <c r="D210" i="15"/>
  <c r="B210" i="15"/>
  <c r="X209" i="15"/>
  <c r="Z209" i="15" s="1"/>
  <c r="N209" i="15"/>
  <c r="L209" i="15"/>
  <c r="B209" i="15"/>
  <c r="Z208" i="15"/>
  <c r="X208" i="15"/>
  <c r="N208" i="15"/>
  <c r="L208" i="15"/>
  <c r="B208" i="15"/>
  <c r="Z207" i="15"/>
  <c r="X207" i="15"/>
  <c r="L207" i="15"/>
  <c r="N207" i="15" s="1"/>
  <c r="B207" i="15"/>
  <c r="X206" i="15"/>
  <c r="Z206" i="15" s="1"/>
  <c r="N206" i="15"/>
  <c r="L206" i="15"/>
  <c r="B206" i="15"/>
  <c r="X205" i="15"/>
  <c r="Z205" i="15" s="1"/>
  <c r="N205" i="15"/>
  <c r="L205" i="15"/>
  <c r="B205" i="15"/>
  <c r="Z204" i="15"/>
  <c r="X204" i="15"/>
  <c r="N204" i="15"/>
  <c r="L204" i="15"/>
  <c r="B204" i="15"/>
  <c r="Z203" i="15"/>
  <c r="X203" i="15"/>
  <c r="L203" i="15"/>
  <c r="N203" i="15" s="1"/>
  <c r="B203" i="15"/>
  <c r="X202" i="15"/>
  <c r="Z202" i="15" s="1"/>
  <c r="L202" i="15"/>
  <c r="N202" i="15" s="1"/>
  <c r="B202" i="15"/>
  <c r="X201" i="15"/>
  <c r="Z201" i="15" s="1"/>
  <c r="N201" i="15"/>
  <c r="L201" i="15"/>
  <c r="B201" i="15"/>
  <c r="T200" i="15"/>
  <c r="P200" i="15"/>
  <c r="X200" i="15" s="1"/>
  <c r="Z200" i="15" s="1"/>
  <c r="L200" i="15"/>
  <c r="N200" i="15" s="1"/>
  <c r="H200" i="15"/>
  <c r="D200" i="15"/>
  <c r="B200" i="15"/>
  <c r="X199" i="15"/>
  <c r="Z199" i="15" s="1"/>
  <c r="N199" i="15"/>
  <c r="L199" i="15"/>
  <c r="B199" i="15"/>
  <c r="X198" i="15"/>
  <c r="Z198" i="15" s="1"/>
  <c r="N198" i="15"/>
  <c r="L198" i="15"/>
  <c r="B198" i="15"/>
  <c r="V197" i="15"/>
  <c r="T197" i="15"/>
  <c r="P197" i="15"/>
  <c r="X197" i="15" s="1"/>
  <c r="Z197" i="15" s="1"/>
  <c r="H197" i="15"/>
  <c r="D197" i="15"/>
  <c r="L197" i="15" s="1"/>
  <c r="B197" i="15"/>
  <c r="X196" i="15"/>
  <c r="Z196" i="15" s="1"/>
  <c r="N196" i="15"/>
  <c r="L196" i="15"/>
  <c r="B196" i="15"/>
  <c r="X195" i="15"/>
  <c r="Z195" i="15" s="1"/>
  <c r="N195" i="15"/>
  <c r="L195" i="15"/>
  <c r="B195" i="15"/>
  <c r="Z194" i="15"/>
  <c r="X194" i="15"/>
  <c r="N194" i="15"/>
  <c r="L194" i="15"/>
  <c r="B194" i="15"/>
  <c r="X193" i="15"/>
  <c r="Z193" i="15" s="1"/>
  <c r="L193" i="15"/>
  <c r="N193" i="15" s="1"/>
  <c r="B193" i="15"/>
  <c r="X192" i="15"/>
  <c r="Z192" i="15" s="1"/>
  <c r="T192" i="15"/>
  <c r="P192" i="15"/>
  <c r="H192" i="15"/>
  <c r="D192" i="15"/>
  <c r="L192" i="15" s="1"/>
  <c r="N192" i="15" s="1"/>
  <c r="B192" i="15"/>
  <c r="Z191" i="15"/>
  <c r="X191" i="15"/>
  <c r="L191" i="15"/>
  <c r="N191" i="15" s="1"/>
  <c r="B191" i="15"/>
  <c r="Z190" i="15"/>
  <c r="X190" i="15"/>
  <c r="L190" i="15"/>
  <c r="N190" i="15" s="1"/>
  <c r="B190" i="15"/>
  <c r="X189" i="15"/>
  <c r="Z189" i="15" s="1"/>
  <c r="N189" i="15"/>
  <c r="L189" i="15"/>
  <c r="B189" i="15"/>
  <c r="Z188" i="15"/>
  <c r="X188" i="15"/>
  <c r="N188" i="15"/>
  <c r="L188" i="15"/>
  <c r="B188" i="15"/>
  <c r="Z187" i="15"/>
  <c r="T187" i="15"/>
  <c r="P187" i="15"/>
  <c r="X187" i="15" s="1"/>
  <c r="H187" i="15"/>
  <c r="D187" i="15"/>
  <c r="B187" i="15"/>
  <c r="X186" i="15"/>
  <c r="Z186" i="15" s="1"/>
  <c r="N186" i="15"/>
  <c r="L186" i="15"/>
  <c r="B186" i="15"/>
  <c r="Z185" i="15"/>
  <c r="X185" i="15"/>
  <c r="L185" i="15"/>
  <c r="N185" i="15" s="1"/>
  <c r="B185" i="15"/>
  <c r="Z184" i="15"/>
  <c r="X184" i="15"/>
  <c r="V184" i="15"/>
  <c r="N184" i="15"/>
  <c r="L184" i="15"/>
  <c r="B184" i="15"/>
  <c r="X183" i="15"/>
  <c r="Z183" i="15" s="1"/>
  <c r="L183" i="15"/>
  <c r="N183" i="15" s="1"/>
  <c r="B183" i="15"/>
  <c r="T182" i="15"/>
  <c r="P182" i="15"/>
  <c r="X182" i="15" s="1"/>
  <c r="H182" i="15"/>
  <c r="D182" i="15"/>
  <c r="B182" i="15"/>
  <c r="X181" i="15"/>
  <c r="Z181" i="15" s="1"/>
  <c r="L181" i="15"/>
  <c r="N181" i="15" s="1"/>
  <c r="B181" i="15"/>
  <c r="X180" i="15"/>
  <c r="Z180" i="15" s="1"/>
  <c r="T180" i="15"/>
  <c r="P180" i="15"/>
  <c r="H180" i="15"/>
  <c r="D180" i="15"/>
  <c r="L180" i="15" s="1"/>
  <c r="N180" i="15" s="1"/>
  <c r="B180" i="15"/>
  <c r="Z179" i="15"/>
  <c r="X179" i="15"/>
  <c r="N179" i="15"/>
  <c r="L179" i="15"/>
  <c r="B179" i="15"/>
  <c r="T178" i="15"/>
  <c r="P178" i="15"/>
  <c r="N178" i="15"/>
  <c r="H178" i="15"/>
  <c r="D178" i="15"/>
  <c r="L178" i="15" s="1"/>
  <c r="B178" i="15"/>
  <c r="Z177" i="15"/>
  <c r="X177" i="15"/>
  <c r="N177" i="15"/>
  <c r="L177" i="15"/>
  <c r="B177" i="15"/>
  <c r="Z176" i="15"/>
  <c r="X176" i="15"/>
  <c r="L176" i="15"/>
  <c r="N176" i="15" s="1"/>
  <c r="B176" i="15"/>
  <c r="T175" i="15"/>
  <c r="P175" i="15"/>
  <c r="X175" i="15" s="1"/>
  <c r="H175" i="15"/>
  <c r="D175" i="15"/>
  <c r="L175" i="15" s="1"/>
  <c r="N175" i="15" s="1"/>
  <c r="B175" i="15"/>
  <c r="Z174" i="15"/>
  <c r="X174" i="15"/>
  <c r="N174" i="15"/>
  <c r="L174" i="15"/>
  <c r="B174" i="15"/>
  <c r="X173" i="15"/>
  <c r="T173" i="15"/>
  <c r="Z173" i="15" s="1"/>
  <c r="P173" i="15"/>
  <c r="L173" i="15"/>
  <c r="H173" i="15"/>
  <c r="N173" i="15" s="1"/>
  <c r="D173" i="15"/>
  <c r="B173" i="15"/>
  <c r="Z172" i="15"/>
  <c r="X172" i="15"/>
  <c r="N172" i="15"/>
  <c r="L172" i="15"/>
  <c r="B172" i="15"/>
  <c r="Z171" i="15"/>
  <c r="X171" i="15"/>
  <c r="N171" i="15"/>
  <c r="L171" i="15"/>
  <c r="B171" i="15"/>
  <c r="Z170" i="15"/>
  <c r="X170" i="15"/>
  <c r="L170" i="15"/>
  <c r="N170" i="15" s="1"/>
  <c r="B170" i="15"/>
  <c r="T169" i="15"/>
  <c r="P169" i="15"/>
  <c r="N169" i="15"/>
  <c r="H169" i="15"/>
  <c r="D169" i="15"/>
  <c r="L169" i="15" s="1"/>
  <c r="B169" i="15"/>
  <c r="Z168" i="15"/>
  <c r="X168" i="15"/>
  <c r="V168" i="15"/>
  <c r="L168" i="15"/>
  <c r="N168" i="15" s="1"/>
  <c r="B168" i="15"/>
  <c r="X167" i="15"/>
  <c r="Z167" i="15" s="1"/>
  <c r="L167" i="15"/>
  <c r="N167" i="15" s="1"/>
  <c r="B167" i="15"/>
  <c r="T166" i="15"/>
  <c r="P166" i="15"/>
  <c r="X166" i="15" s="1"/>
  <c r="Z166" i="15" s="1"/>
  <c r="H166" i="15"/>
  <c r="D166" i="15"/>
  <c r="L166" i="15" s="1"/>
  <c r="B166" i="15"/>
  <c r="X165" i="15"/>
  <c r="Z165" i="15" s="1"/>
  <c r="L165" i="15"/>
  <c r="N165" i="15" s="1"/>
  <c r="B165" i="15"/>
  <c r="X164" i="15"/>
  <c r="Z164" i="15" s="1"/>
  <c r="T164" i="15"/>
  <c r="P164" i="15"/>
  <c r="H164" i="15"/>
  <c r="D164" i="15"/>
  <c r="L164" i="15" s="1"/>
  <c r="N164" i="15" s="1"/>
  <c r="B164" i="15"/>
  <c r="Z163" i="15"/>
  <c r="X163" i="15"/>
  <c r="L163" i="15"/>
  <c r="N163" i="15" s="1"/>
  <c r="B163" i="15"/>
  <c r="T162" i="15"/>
  <c r="P162" i="15"/>
  <c r="H162" i="15"/>
  <c r="D162" i="15"/>
  <c r="L162" i="15" s="1"/>
  <c r="N162" i="15" s="1"/>
  <c r="B162" i="15"/>
  <c r="Z161" i="15"/>
  <c r="X161" i="15"/>
  <c r="L161" i="15"/>
  <c r="N161" i="15" s="1"/>
  <c r="B161" i="15"/>
  <c r="Z160" i="15"/>
  <c r="X160" i="15"/>
  <c r="V160" i="15"/>
  <c r="N160" i="15"/>
  <c r="L160" i="15"/>
  <c r="B160" i="15"/>
  <c r="T159" i="15"/>
  <c r="P159" i="15"/>
  <c r="X159" i="15" s="1"/>
  <c r="H159" i="15"/>
  <c r="D159" i="15"/>
  <c r="L159" i="15" s="1"/>
  <c r="N159" i="15" s="1"/>
  <c r="B159" i="15"/>
  <c r="Z158" i="15"/>
  <c r="X158" i="15"/>
  <c r="N158" i="15"/>
  <c r="L158" i="15"/>
  <c r="B158" i="15"/>
  <c r="X157" i="15"/>
  <c r="Z157" i="15" s="1"/>
  <c r="L157" i="15"/>
  <c r="N157" i="15" s="1"/>
  <c r="B157" i="15"/>
  <c r="X156" i="15"/>
  <c r="Z156" i="15" s="1"/>
  <c r="T156" i="15"/>
  <c r="P156" i="15"/>
  <c r="H156" i="15"/>
  <c r="D156" i="15"/>
  <c r="L156" i="15" s="1"/>
  <c r="N156" i="15" s="1"/>
  <c r="B156" i="15"/>
  <c r="Z155" i="15"/>
  <c r="X155" i="15"/>
  <c r="L155" i="15"/>
  <c r="N155" i="15" s="1"/>
  <c r="B155" i="15"/>
  <c r="Z154" i="15"/>
  <c r="X154" i="15"/>
  <c r="N154" i="15"/>
  <c r="L154" i="15"/>
  <c r="B154" i="15"/>
  <c r="T153" i="15"/>
  <c r="P153" i="15"/>
  <c r="N153" i="15"/>
  <c r="H153" i="15"/>
  <c r="D153" i="15"/>
  <c r="L153" i="15" s="1"/>
  <c r="B153" i="15"/>
  <c r="Z152" i="15"/>
  <c r="X152" i="15"/>
  <c r="V152" i="15"/>
  <c r="L152" i="15"/>
  <c r="N152" i="15" s="1"/>
  <c r="B152" i="15"/>
  <c r="T151" i="15"/>
  <c r="P151" i="15"/>
  <c r="X151" i="15" s="1"/>
  <c r="N151" i="15"/>
  <c r="H151" i="15"/>
  <c r="D151" i="15"/>
  <c r="L151" i="15" s="1"/>
  <c r="B151" i="15"/>
  <c r="Z150" i="15"/>
  <c r="X150" i="15"/>
  <c r="L150" i="15"/>
  <c r="N150" i="15" s="1"/>
  <c r="B150" i="15"/>
  <c r="X149" i="15"/>
  <c r="Z149" i="15" s="1"/>
  <c r="L149" i="15"/>
  <c r="N149" i="15" s="1"/>
  <c r="B149" i="15"/>
  <c r="X148" i="15"/>
  <c r="Z148" i="15" s="1"/>
  <c r="T148" i="15"/>
  <c r="P148" i="15"/>
  <c r="H148" i="15"/>
  <c r="D148" i="15"/>
  <c r="L148" i="15" s="1"/>
  <c r="N148" i="15" s="1"/>
  <c r="B148" i="15"/>
  <c r="Z147" i="15"/>
  <c r="X147" i="15"/>
  <c r="L147" i="15"/>
  <c r="N147" i="15" s="1"/>
  <c r="B147" i="15"/>
  <c r="T146" i="15"/>
  <c r="P146" i="15"/>
  <c r="N146" i="15"/>
  <c r="H146" i="15"/>
  <c r="D146" i="15"/>
  <c r="L146" i="15" s="1"/>
  <c r="B146" i="15"/>
  <c r="Z145" i="15"/>
  <c r="X145" i="15"/>
  <c r="V145" i="15"/>
  <c r="N145" i="15"/>
  <c r="L145" i="15"/>
  <c r="B145" i="15"/>
  <c r="Z144" i="15"/>
  <c r="X144" i="15"/>
  <c r="V144" i="15"/>
  <c r="N144" i="15"/>
  <c r="L144" i="15"/>
  <c r="B144" i="15"/>
  <c r="X143" i="15"/>
  <c r="Z143" i="15" s="1"/>
  <c r="L143" i="15"/>
  <c r="N143" i="15" s="1"/>
  <c r="B143" i="15"/>
  <c r="X142" i="15"/>
  <c r="Z142" i="15" s="1"/>
  <c r="V142" i="15"/>
  <c r="N142" i="15"/>
  <c r="L142" i="15"/>
  <c r="B142" i="15"/>
  <c r="Z141" i="15"/>
  <c r="X141" i="15"/>
  <c r="V141" i="15"/>
  <c r="N141" i="15"/>
  <c r="L141" i="15"/>
  <c r="B141" i="15"/>
  <c r="Z140" i="15"/>
  <c r="X140" i="15"/>
  <c r="V140" i="15"/>
  <c r="L140" i="15"/>
  <c r="N140" i="15" s="1"/>
  <c r="B140" i="15"/>
  <c r="X139" i="15"/>
  <c r="Z139" i="15" s="1"/>
  <c r="L139" i="15"/>
  <c r="N139" i="15" s="1"/>
  <c r="J139" i="15"/>
  <c r="B139" i="15"/>
  <c r="Z138" i="15"/>
  <c r="X138" i="15"/>
  <c r="V138" i="15"/>
  <c r="N138" i="15"/>
  <c r="L138" i="15"/>
  <c r="B138" i="15"/>
  <c r="Z137" i="15"/>
  <c r="X137" i="15"/>
  <c r="V137" i="15"/>
  <c r="L137" i="15"/>
  <c r="N137" i="15" s="1"/>
  <c r="B137" i="15"/>
  <c r="Z136" i="15"/>
  <c r="X136" i="15"/>
  <c r="V136" i="15"/>
  <c r="L136" i="15"/>
  <c r="N136" i="15" s="1"/>
  <c r="B136" i="15"/>
  <c r="T135" i="15"/>
  <c r="P135" i="15"/>
  <c r="X135" i="15" s="1"/>
  <c r="H135" i="15"/>
  <c r="D135" i="15"/>
  <c r="L135" i="15" s="1"/>
  <c r="N135" i="15" s="1"/>
  <c r="B135" i="15"/>
  <c r="Z134" i="15"/>
  <c r="X134" i="15"/>
  <c r="L134" i="15"/>
  <c r="N134" i="15" s="1"/>
  <c r="B134" i="15"/>
  <c r="X133" i="15"/>
  <c r="Z133" i="15" s="1"/>
  <c r="L133" i="15"/>
  <c r="N133" i="15" s="1"/>
  <c r="B133" i="15"/>
  <c r="X132" i="15"/>
  <c r="Z132" i="15" s="1"/>
  <c r="N132" i="15"/>
  <c r="L132" i="15"/>
  <c r="B132" i="15"/>
  <c r="Z131" i="15"/>
  <c r="X131" i="15"/>
  <c r="V131" i="15"/>
  <c r="N131" i="15"/>
  <c r="L131" i="15"/>
  <c r="B131" i="15"/>
  <c r="Z130" i="15"/>
  <c r="X130" i="15"/>
  <c r="N130" i="15"/>
  <c r="L130" i="15"/>
  <c r="B130" i="15"/>
  <c r="X129" i="15"/>
  <c r="Z129" i="15" s="1"/>
  <c r="L129" i="15"/>
  <c r="N129" i="15" s="1"/>
  <c r="B129" i="15"/>
  <c r="X128" i="15"/>
  <c r="Z128" i="15" s="1"/>
  <c r="N128" i="15"/>
  <c r="L128" i="15"/>
  <c r="B128" i="15"/>
  <c r="X127" i="15"/>
  <c r="Z127" i="15" s="1"/>
  <c r="V127" i="15"/>
  <c r="N127" i="15"/>
  <c r="L127" i="15"/>
  <c r="B127" i="15"/>
  <c r="Z126" i="15"/>
  <c r="X126" i="15"/>
  <c r="N126" i="15"/>
  <c r="L126" i="15"/>
  <c r="B126" i="15"/>
  <c r="X125" i="15"/>
  <c r="Z125" i="15" s="1"/>
  <c r="L125" i="15"/>
  <c r="N125" i="15" s="1"/>
  <c r="B125" i="15"/>
  <c r="X124" i="15"/>
  <c r="Z124" i="15" s="1"/>
  <c r="T124" i="15"/>
  <c r="P124" i="15"/>
  <c r="H124" i="15"/>
  <c r="D124" i="15"/>
  <c r="L124" i="15" s="1"/>
  <c r="N124" i="15" s="1"/>
  <c r="B124" i="15"/>
  <c r="T123" i="15"/>
  <c r="P123" i="15"/>
  <c r="H123" i="15"/>
  <c r="D123" i="15"/>
  <c r="T121" i="15"/>
  <c r="Z119" i="15"/>
  <c r="X119" i="15"/>
  <c r="N119" i="15"/>
  <c r="L119" i="15"/>
  <c r="B119" i="15"/>
  <c r="Z118" i="15"/>
  <c r="X118" i="15"/>
  <c r="N118" i="15"/>
  <c r="L118" i="15"/>
  <c r="B118" i="15"/>
  <c r="Z117" i="15"/>
  <c r="X117" i="15"/>
  <c r="N117" i="15"/>
  <c r="L117" i="15"/>
  <c r="B117" i="15"/>
  <c r="Z116" i="15"/>
  <c r="X116" i="15"/>
  <c r="N116" i="15"/>
  <c r="L116" i="15"/>
  <c r="B116" i="15"/>
  <c r="Z115" i="15"/>
  <c r="X115" i="15"/>
  <c r="N115" i="15"/>
  <c r="L115" i="15"/>
  <c r="B115" i="15"/>
  <c r="Z114" i="15"/>
  <c r="X114" i="15"/>
  <c r="N114" i="15"/>
  <c r="L114" i="15"/>
  <c r="B114" i="15"/>
  <c r="Z113" i="15"/>
  <c r="X113" i="15"/>
  <c r="N113" i="15"/>
  <c r="L113" i="15"/>
  <c r="J113" i="15"/>
  <c r="B113" i="15"/>
  <c r="Z112" i="15"/>
  <c r="X112" i="15"/>
  <c r="N112" i="15"/>
  <c r="L112" i="15"/>
  <c r="B112" i="15"/>
  <c r="Z111" i="15"/>
  <c r="X111" i="15"/>
  <c r="N111" i="15"/>
  <c r="L111" i="15"/>
  <c r="B111" i="15"/>
  <c r="Z110" i="15"/>
  <c r="X110" i="15"/>
  <c r="N110" i="15"/>
  <c r="L110" i="15"/>
  <c r="B110" i="15"/>
  <c r="Z109" i="15"/>
  <c r="X109" i="15"/>
  <c r="N109" i="15"/>
  <c r="L109" i="15"/>
  <c r="B109" i="15"/>
  <c r="Z108" i="15"/>
  <c r="X108" i="15"/>
  <c r="N108" i="15"/>
  <c r="L108" i="15"/>
  <c r="B108" i="15"/>
  <c r="Z107" i="15"/>
  <c r="X107" i="15"/>
  <c r="N107" i="15"/>
  <c r="L107" i="15"/>
  <c r="B107" i="15"/>
  <c r="Z106" i="15"/>
  <c r="X106" i="15"/>
  <c r="N106" i="15"/>
  <c r="L106" i="15"/>
  <c r="B106" i="15"/>
  <c r="Z105" i="15"/>
  <c r="X105" i="15"/>
  <c r="N105" i="15"/>
  <c r="L105" i="15"/>
  <c r="B105" i="15"/>
  <c r="Z104" i="15"/>
  <c r="X104" i="15"/>
  <c r="N104" i="15"/>
  <c r="L104" i="15"/>
  <c r="J104" i="15"/>
  <c r="B104" i="15"/>
  <c r="Z103" i="15"/>
  <c r="X103" i="15"/>
  <c r="N103" i="15"/>
  <c r="L103" i="15"/>
  <c r="B103" i="15"/>
  <c r="Z102" i="15"/>
  <c r="X102" i="15"/>
  <c r="N102" i="15"/>
  <c r="L102" i="15"/>
  <c r="B102" i="15"/>
  <c r="Z101" i="15"/>
  <c r="X101" i="15"/>
  <c r="N101" i="15"/>
  <c r="L101" i="15"/>
  <c r="B101" i="15"/>
  <c r="Z100" i="15"/>
  <c r="X100" i="15"/>
  <c r="V100" i="15"/>
  <c r="N100" i="15"/>
  <c r="L100" i="15"/>
  <c r="J100" i="15"/>
  <c r="B100" i="15"/>
  <c r="Z99" i="15"/>
  <c r="X99" i="15"/>
  <c r="N99" i="15"/>
  <c r="L99" i="15"/>
  <c r="B99" i="15"/>
  <c r="Z98" i="15"/>
  <c r="X98" i="15"/>
  <c r="N98" i="15"/>
  <c r="L98" i="15"/>
  <c r="B98" i="15"/>
  <c r="Z97" i="15"/>
  <c r="X97" i="15"/>
  <c r="N97" i="15"/>
  <c r="L97" i="15"/>
  <c r="B97" i="15"/>
  <c r="Z96" i="15"/>
  <c r="X96" i="15"/>
  <c r="N96" i="15"/>
  <c r="L96" i="15"/>
  <c r="B96" i="15"/>
  <c r="Z95" i="15"/>
  <c r="X95" i="15"/>
  <c r="N95" i="15"/>
  <c r="L95" i="15"/>
  <c r="B95" i="15"/>
  <c r="Z94" i="15"/>
  <c r="X94" i="15"/>
  <c r="N94" i="15"/>
  <c r="L94" i="15"/>
  <c r="J94" i="15"/>
  <c r="B94" i="15"/>
  <c r="Z93" i="15"/>
  <c r="X93" i="15"/>
  <c r="N93" i="15"/>
  <c r="L93" i="15"/>
  <c r="B93" i="15"/>
  <c r="Z92" i="15"/>
  <c r="X92" i="15"/>
  <c r="V92" i="15"/>
  <c r="N92" i="15"/>
  <c r="L92" i="15"/>
  <c r="J92" i="15"/>
  <c r="B92" i="15"/>
  <c r="Z91" i="15"/>
  <c r="X91" i="15"/>
  <c r="N91" i="15"/>
  <c r="L91" i="15"/>
  <c r="B91" i="15"/>
  <c r="Z90" i="15"/>
  <c r="X90" i="15"/>
  <c r="N90" i="15"/>
  <c r="L90" i="15"/>
  <c r="B90" i="15"/>
  <c r="Z89" i="15"/>
  <c r="X89" i="15"/>
  <c r="N89" i="15"/>
  <c r="L89" i="15"/>
  <c r="B89" i="15"/>
  <c r="Z88" i="15"/>
  <c r="X88" i="15"/>
  <c r="V88" i="15"/>
  <c r="N88" i="15"/>
  <c r="L88" i="15"/>
  <c r="J88" i="15"/>
  <c r="B88" i="15"/>
  <c r="Z87" i="15"/>
  <c r="X87" i="15"/>
  <c r="N87" i="15"/>
  <c r="L87" i="15"/>
  <c r="B87" i="15"/>
  <c r="Z86" i="15"/>
  <c r="X86" i="15"/>
  <c r="N86" i="15"/>
  <c r="L86" i="15"/>
  <c r="B86" i="15"/>
  <c r="Z85" i="15"/>
  <c r="X85" i="15"/>
  <c r="N85" i="15"/>
  <c r="L85" i="15"/>
  <c r="B85" i="15"/>
  <c r="Z84" i="15"/>
  <c r="X84" i="15"/>
  <c r="N84" i="15"/>
  <c r="L84" i="15"/>
  <c r="B84" i="15"/>
  <c r="Z83" i="15"/>
  <c r="X83" i="15"/>
  <c r="N83" i="15"/>
  <c r="L83" i="15"/>
  <c r="B83" i="15"/>
  <c r="Z82" i="15"/>
  <c r="X82" i="15"/>
  <c r="N82" i="15"/>
  <c r="L82" i="15"/>
  <c r="J82" i="15"/>
  <c r="B82" i="15"/>
  <c r="X81" i="15"/>
  <c r="Z81" i="15" s="1"/>
  <c r="N81" i="15"/>
  <c r="L81" i="15"/>
  <c r="J81" i="15"/>
  <c r="B81" i="15"/>
  <c r="Z80" i="15"/>
  <c r="V80" i="15"/>
  <c r="T80" i="15"/>
  <c r="P80" i="15"/>
  <c r="X80" i="15" s="1"/>
  <c r="H80" i="15"/>
  <c r="D80" i="15"/>
  <c r="Z78" i="15"/>
  <c r="P78" i="15"/>
  <c r="X78" i="15" s="1"/>
  <c r="N78" i="15"/>
  <c r="L78" i="15"/>
  <c r="D78" i="15"/>
  <c r="B78" i="15"/>
  <c r="Z77" i="15"/>
  <c r="P77" i="15"/>
  <c r="X77" i="15" s="1"/>
  <c r="N77" i="15"/>
  <c r="D77" i="15"/>
  <c r="L77" i="15" s="1"/>
  <c r="B77" i="15"/>
  <c r="Z76" i="15"/>
  <c r="P76" i="15"/>
  <c r="X76" i="15" s="1"/>
  <c r="N76" i="15"/>
  <c r="L76" i="15"/>
  <c r="D76" i="15"/>
  <c r="B76" i="15"/>
  <c r="Z75" i="15"/>
  <c r="P75" i="15"/>
  <c r="X75" i="15" s="1"/>
  <c r="N75" i="15"/>
  <c r="D75" i="15"/>
  <c r="L75" i="15" s="1"/>
  <c r="B75" i="15"/>
  <c r="Z74" i="15"/>
  <c r="P74" i="15"/>
  <c r="X74" i="15" s="1"/>
  <c r="N74" i="15"/>
  <c r="D74" i="15"/>
  <c r="L74" i="15" s="1"/>
  <c r="B74" i="15"/>
  <c r="Z73" i="15"/>
  <c r="X73" i="15"/>
  <c r="P73" i="15"/>
  <c r="N73" i="15"/>
  <c r="D73" i="15"/>
  <c r="L73" i="15" s="1"/>
  <c r="B73" i="15"/>
  <c r="Z72" i="15"/>
  <c r="X72" i="15"/>
  <c r="P72" i="15"/>
  <c r="N72" i="15"/>
  <c r="D72" i="15"/>
  <c r="L72" i="15" s="1"/>
  <c r="B72" i="15"/>
  <c r="Z71" i="15"/>
  <c r="X71" i="15"/>
  <c r="P71" i="15"/>
  <c r="N71" i="15"/>
  <c r="D71" i="15"/>
  <c r="L71" i="15" s="1"/>
  <c r="B71" i="15"/>
  <c r="Z70" i="15"/>
  <c r="X70" i="15"/>
  <c r="P70" i="15"/>
  <c r="N70" i="15"/>
  <c r="L70" i="15"/>
  <c r="D70" i="15"/>
  <c r="B70" i="15"/>
  <c r="Z69" i="15"/>
  <c r="X69" i="15"/>
  <c r="P69" i="15"/>
  <c r="N69" i="15"/>
  <c r="L69" i="15"/>
  <c r="D69" i="15"/>
  <c r="B69" i="15"/>
  <c r="Z68" i="15"/>
  <c r="P68" i="15"/>
  <c r="X68" i="15" s="1"/>
  <c r="N68" i="15"/>
  <c r="L68" i="15"/>
  <c r="D68" i="15"/>
  <c r="B68" i="15"/>
  <c r="Z67" i="15"/>
  <c r="P67" i="15"/>
  <c r="X67" i="15" s="1"/>
  <c r="N67" i="15"/>
  <c r="L67" i="15"/>
  <c r="D67" i="15"/>
  <c r="B67" i="15"/>
  <c r="Z66" i="15"/>
  <c r="P66" i="15"/>
  <c r="X66" i="15" s="1"/>
  <c r="N66" i="15"/>
  <c r="L66" i="15"/>
  <c r="D66" i="15"/>
  <c r="B66" i="15"/>
  <c r="Z65" i="15"/>
  <c r="P65" i="15"/>
  <c r="X65" i="15" s="1"/>
  <c r="N65" i="15"/>
  <c r="D65" i="15"/>
  <c r="L65" i="15" s="1"/>
  <c r="B65" i="15"/>
  <c r="Z64" i="15"/>
  <c r="P64" i="15"/>
  <c r="X64" i="15" s="1"/>
  <c r="N64" i="15"/>
  <c r="L64" i="15"/>
  <c r="D64" i="15"/>
  <c r="B64" i="15"/>
  <c r="Z63" i="15"/>
  <c r="P63" i="15"/>
  <c r="X63" i="15" s="1"/>
  <c r="N63" i="15"/>
  <c r="D63" i="15"/>
  <c r="L63" i="15" s="1"/>
  <c r="B63" i="15"/>
  <c r="Z62" i="15"/>
  <c r="P62" i="15"/>
  <c r="X62" i="15" s="1"/>
  <c r="N62" i="15"/>
  <c r="D62" i="15"/>
  <c r="L62" i="15" s="1"/>
  <c r="B62" i="15"/>
  <c r="Z61" i="15"/>
  <c r="X61" i="15"/>
  <c r="P61" i="15"/>
  <c r="N61" i="15"/>
  <c r="D61" i="15"/>
  <c r="L61" i="15" s="1"/>
  <c r="B61" i="15"/>
  <c r="Z60" i="15"/>
  <c r="X60" i="15"/>
  <c r="P60" i="15"/>
  <c r="N60" i="15"/>
  <c r="D60" i="15"/>
  <c r="L60" i="15" s="1"/>
  <c r="B60" i="15"/>
  <c r="Z59" i="15"/>
  <c r="X59" i="15"/>
  <c r="P59" i="15"/>
  <c r="N59" i="15"/>
  <c r="D59" i="15"/>
  <c r="L59" i="15" s="1"/>
  <c r="B59" i="15"/>
  <c r="Z58" i="15"/>
  <c r="X58" i="15"/>
  <c r="P58" i="15"/>
  <c r="N58" i="15"/>
  <c r="L58" i="15"/>
  <c r="D58" i="15"/>
  <c r="B58" i="15"/>
  <c r="Z57" i="15"/>
  <c r="X57" i="15"/>
  <c r="P57" i="15"/>
  <c r="N57" i="15"/>
  <c r="L57" i="15"/>
  <c r="D57" i="15"/>
  <c r="B57" i="15"/>
  <c r="Z56" i="15"/>
  <c r="P56" i="15"/>
  <c r="X56" i="15" s="1"/>
  <c r="N56" i="15"/>
  <c r="L56" i="15"/>
  <c r="D56" i="15"/>
  <c r="B56" i="15"/>
  <c r="Z55" i="15"/>
  <c r="P55" i="15"/>
  <c r="X55" i="15" s="1"/>
  <c r="N55" i="15"/>
  <c r="L55" i="15"/>
  <c r="D55" i="15"/>
  <c r="B55" i="15"/>
  <c r="Z54" i="15"/>
  <c r="P54" i="15"/>
  <c r="X54" i="15" s="1"/>
  <c r="N54" i="15"/>
  <c r="L54" i="15"/>
  <c r="D54" i="15"/>
  <c r="B54" i="15"/>
  <c r="Z53" i="15"/>
  <c r="P53" i="15"/>
  <c r="X53" i="15" s="1"/>
  <c r="N53" i="15"/>
  <c r="D53" i="15"/>
  <c r="L53" i="15" s="1"/>
  <c r="B53" i="15"/>
  <c r="Z52" i="15"/>
  <c r="P52" i="15"/>
  <c r="X52" i="15" s="1"/>
  <c r="N52" i="15"/>
  <c r="L52" i="15"/>
  <c r="D52" i="15"/>
  <c r="B52" i="15"/>
  <c r="Z51" i="15"/>
  <c r="P51" i="15"/>
  <c r="X51" i="15" s="1"/>
  <c r="N51" i="15"/>
  <c r="D51" i="15"/>
  <c r="L51" i="15" s="1"/>
  <c r="B51" i="15"/>
  <c r="Z50" i="15"/>
  <c r="P50" i="15"/>
  <c r="X50" i="15" s="1"/>
  <c r="N50" i="15"/>
  <c r="D50" i="15"/>
  <c r="L50" i="15" s="1"/>
  <c r="B50" i="15"/>
  <c r="Z49" i="15"/>
  <c r="X49" i="15"/>
  <c r="P49" i="15"/>
  <c r="N49" i="15"/>
  <c r="D49" i="15"/>
  <c r="L49" i="15" s="1"/>
  <c r="B49" i="15"/>
  <c r="Z48" i="15"/>
  <c r="X48" i="15"/>
  <c r="P48" i="15"/>
  <c r="N48" i="15"/>
  <c r="D48" i="15"/>
  <c r="L48" i="15" s="1"/>
  <c r="B48" i="15"/>
  <c r="Z47" i="15"/>
  <c r="X47" i="15"/>
  <c r="P47" i="15"/>
  <c r="N47" i="15"/>
  <c r="D47" i="15"/>
  <c r="L47" i="15" s="1"/>
  <c r="B47" i="15"/>
  <c r="Z46" i="15"/>
  <c r="X46" i="15"/>
  <c r="P46" i="15"/>
  <c r="N46" i="15"/>
  <c r="L46" i="15"/>
  <c r="D46" i="15"/>
  <c r="B46" i="15"/>
  <c r="Z45" i="15"/>
  <c r="X45" i="15"/>
  <c r="P45" i="15"/>
  <c r="N45" i="15"/>
  <c r="L45" i="15"/>
  <c r="D45" i="15"/>
  <c r="B45" i="15"/>
  <c r="Z44" i="15"/>
  <c r="P44" i="15"/>
  <c r="X44" i="15" s="1"/>
  <c r="N44" i="15"/>
  <c r="L44" i="15"/>
  <c r="D44" i="15"/>
  <c r="B44" i="15"/>
  <c r="Z43" i="15"/>
  <c r="P43" i="15"/>
  <c r="X43" i="15" s="1"/>
  <c r="N43" i="15"/>
  <c r="L43" i="15"/>
  <c r="D43" i="15"/>
  <c r="B43" i="15"/>
  <c r="Z42" i="15"/>
  <c r="P42" i="15"/>
  <c r="X42" i="15" s="1"/>
  <c r="N42" i="15"/>
  <c r="L42" i="15"/>
  <c r="D42" i="15"/>
  <c r="B42" i="15"/>
  <c r="Z41" i="15"/>
  <c r="P41" i="15"/>
  <c r="X41" i="15" s="1"/>
  <c r="N41" i="15"/>
  <c r="D41" i="15"/>
  <c r="L41" i="15" s="1"/>
  <c r="B41" i="15"/>
  <c r="Z40" i="15"/>
  <c r="P40" i="15"/>
  <c r="X40" i="15" s="1"/>
  <c r="N40" i="15"/>
  <c r="L40" i="15"/>
  <c r="D40" i="15"/>
  <c r="B40" i="15"/>
  <c r="Z39" i="15"/>
  <c r="P39" i="15"/>
  <c r="X39" i="15" s="1"/>
  <c r="N39" i="15"/>
  <c r="D39" i="15"/>
  <c r="L39" i="15" s="1"/>
  <c r="B39" i="15"/>
  <c r="Z38" i="15"/>
  <c r="P38" i="15"/>
  <c r="X38" i="15" s="1"/>
  <c r="N38" i="15"/>
  <c r="D38" i="15"/>
  <c r="L38" i="15" s="1"/>
  <c r="B38" i="15"/>
  <c r="Z37" i="15"/>
  <c r="X37" i="15"/>
  <c r="P37" i="15"/>
  <c r="N37" i="15"/>
  <c r="D37" i="15"/>
  <c r="L37" i="15" s="1"/>
  <c r="B37" i="15"/>
  <c r="Z36" i="15"/>
  <c r="X36" i="15"/>
  <c r="P36" i="15"/>
  <c r="N36" i="15"/>
  <c r="D36" i="15"/>
  <c r="L36" i="15" s="1"/>
  <c r="B36" i="15"/>
  <c r="X35" i="15"/>
  <c r="Z35" i="15" s="1"/>
  <c r="P35" i="15"/>
  <c r="D35" i="15"/>
  <c r="L35" i="15" s="1"/>
  <c r="N35" i="15" s="1"/>
  <c r="B35" i="15"/>
  <c r="Z34" i="15"/>
  <c r="X34" i="15"/>
  <c r="P34" i="15"/>
  <c r="N34" i="15"/>
  <c r="L34" i="15"/>
  <c r="D34" i="15"/>
  <c r="B34" i="15"/>
  <c r="Z33" i="15"/>
  <c r="X33" i="15"/>
  <c r="P33" i="15"/>
  <c r="N33" i="15"/>
  <c r="L33" i="15"/>
  <c r="D33" i="15"/>
  <c r="B33" i="15"/>
  <c r="Z32" i="15"/>
  <c r="P32" i="15"/>
  <c r="X32" i="15" s="1"/>
  <c r="N32" i="15"/>
  <c r="L32" i="15"/>
  <c r="D32" i="15"/>
  <c r="B32" i="15"/>
  <c r="Z31" i="15"/>
  <c r="X31" i="15"/>
  <c r="P31" i="15"/>
  <c r="N31" i="15"/>
  <c r="L31" i="15"/>
  <c r="D31" i="15"/>
  <c r="B31" i="15"/>
  <c r="Z30" i="15"/>
  <c r="P30" i="15"/>
  <c r="X30" i="15" s="1"/>
  <c r="N30" i="15"/>
  <c r="L30" i="15"/>
  <c r="D30" i="15"/>
  <c r="B30" i="15"/>
  <c r="Z29" i="15"/>
  <c r="P29" i="15"/>
  <c r="X29" i="15" s="1"/>
  <c r="N29" i="15"/>
  <c r="D29" i="15"/>
  <c r="L29" i="15" s="1"/>
  <c r="B29" i="15"/>
  <c r="Z28" i="15"/>
  <c r="P28" i="15"/>
  <c r="X28" i="15" s="1"/>
  <c r="N28" i="15"/>
  <c r="D28" i="15"/>
  <c r="L28" i="15" s="1"/>
  <c r="B28" i="15"/>
  <c r="Z27" i="15"/>
  <c r="P27" i="15"/>
  <c r="X27" i="15" s="1"/>
  <c r="N27" i="15"/>
  <c r="D27" i="15"/>
  <c r="L27" i="15" s="1"/>
  <c r="B27" i="15"/>
  <c r="Z26" i="15"/>
  <c r="P26" i="15"/>
  <c r="X26" i="15" s="1"/>
  <c r="N26" i="15"/>
  <c r="D26" i="15"/>
  <c r="L26" i="15" s="1"/>
  <c r="B26" i="15"/>
  <c r="Z25" i="15"/>
  <c r="X25" i="15"/>
  <c r="P25" i="15"/>
  <c r="N25" i="15"/>
  <c r="D25" i="15"/>
  <c r="L25" i="15" s="1"/>
  <c r="B25" i="15"/>
  <c r="Z24" i="15"/>
  <c r="X24" i="15"/>
  <c r="P24" i="15"/>
  <c r="N24" i="15"/>
  <c r="D24" i="15"/>
  <c r="L24" i="15" s="1"/>
  <c r="B24" i="15"/>
  <c r="Z23" i="15"/>
  <c r="X23" i="15"/>
  <c r="P23" i="15"/>
  <c r="N23" i="15"/>
  <c r="D23" i="15"/>
  <c r="L23" i="15" s="1"/>
  <c r="B23" i="15"/>
  <c r="Z22" i="15"/>
  <c r="X22" i="15"/>
  <c r="P22" i="15"/>
  <c r="N22" i="15"/>
  <c r="L22" i="15"/>
  <c r="D22" i="15"/>
  <c r="B22" i="15"/>
  <c r="Z21" i="15"/>
  <c r="X21" i="15"/>
  <c r="P21" i="15"/>
  <c r="N21" i="15"/>
  <c r="L21" i="15"/>
  <c r="D21" i="15"/>
  <c r="B21" i="15"/>
  <c r="Z20" i="15"/>
  <c r="P20" i="15"/>
  <c r="X20" i="15" s="1"/>
  <c r="N20" i="15"/>
  <c r="L20" i="15"/>
  <c r="D20" i="15"/>
  <c r="B20" i="15"/>
  <c r="Z19" i="15"/>
  <c r="X19" i="15"/>
  <c r="P19" i="15"/>
  <c r="N19" i="15"/>
  <c r="L19" i="15"/>
  <c r="D19" i="15"/>
  <c r="B19" i="15"/>
  <c r="Z18" i="15"/>
  <c r="P18" i="15"/>
  <c r="X18" i="15" s="1"/>
  <c r="N18" i="15"/>
  <c r="L18" i="15"/>
  <c r="D18" i="15"/>
  <c r="B18" i="15"/>
  <c r="Z17" i="15"/>
  <c r="P17" i="15"/>
  <c r="X17" i="15" s="1"/>
  <c r="N17" i="15"/>
  <c r="D17" i="15"/>
  <c r="L17" i="15" s="1"/>
  <c r="B17" i="15"/>
  <c r="Z16" i="15"/>
  <c r="P16" i="15"/>
  <c r="X16" i="15" s="1"/>
  <c r="N16" i="15"/>
  <c r="D16" i="15"/>
  <c r="L16" i="15" s="1"/>
  <c r="B16" i="15"/>
  <c r="Z15" i="15"/>
  <c r="P15" i="15"/>
  <c r="X15" i="15" s="1"/>
  <c r="N15" i="15"/>
  <c r="D15" i="15"/>
  <c r="L15" i="15" s="1"/>
  <c r="B15" i="15"/>
  <c r="Z14" i="15"/>
  <c r="P14" i="15"/>
  <c r="X14" i="15" s="1"/>
  <c r="N14" i="15"/>
  <c r="L14" i="15"/>
  <c r="D14" i="15"/>
  <c r="B14" i="15"/>
  <c r="X13" i="15"/>
  <c r="Z13" i="15" s="1"/>
  <c r="P13" i="15"/>
  <c r="D13" i="15"/>
  <c r="B13" i="15"/>
  <c r="T12" i="15"/>
  <c r="H12" i="15"/>
  <c r="J208" i="15" s="1"/>
  <c r="D4" i="15"/>
  <c r="X238" i="12"/>
  <c r="Z238" i="12" s="1"/>
  <c r="N238" i="12"/>
  <c r="L238" i="12"/>
  <c r="Z234" i="12"/>
  <c r="X234" i="12"/>
  <c r="P234" i="12"/>
  <c r="N234" i="12"/>
  <c r="L234" i="12"/>
  <c r="D234" i="12"/>
  <c r="B234" i="12"/>
  <c r="Z233" i="12"/>
  <c r="P233" i="12"/>
  <c r="X233" i="12" s="1"/>
  <c r="N233" i="12"/>
  <c r="L233" i="12"/>
  <c r="D233" i="12"/>
  <c r="B233" i="12"/>
  <c r="X232" i="12"/>
  <c r="Z232" i="12" s="1"/>
  <c r="P232" i="12"/>
  <c r="N232" i="12"/>
  <c r="D232" i="12"/>
  <c r="L232" i="12" s="1"/>
  <c r="B232" i="12"/>
  <c r="P231" i="12"/>
  <c r="D231" i="12"/>
  <c r="L231" i="12" s="1"/>
  <c r="N231" i="12" s="1"/>
  <c r="B231" i="12"/>
  <c r="Z230" i="12"/>
  <c r="X230" i="12"/>
  <c r="P230" i="12"/>
  <c r="N230" i="12"/>
  <c r="J230" i="12"/>
  <c r="D230" i="12"/>
  <c r="L230" i="12" s="1"/>
  <c r="B230" i="12"/>
  <c r="T229" i="12"/>
  <c r="J229" i="12"/>
  <c r="H229" i="12"/>
  <c r="D229" i="12"/>
  <c r="L229" i="12" s="1"/>
  <c r="N229" i="12" s="1"/>
  <c r="Z227" i="12"/>
  <c r="X227" i="12"/>
  <c r="N227" i="12"/>
  <c r="L227" i="12"/>
  <c r="B227" i="12"/>
  <c r="T226" i="12"/>
  <c r="P226" i="12"/>
  <c r="H226" i="12"/>
  <c r="D226" i="12"/>
  <c r="B226" i="12"/>
  <c r="Z225" i="12"/>
  <c r="X225" i="12"/>
  <c r="L225" i="12"/>
  <c r="N225" i="12" s="1"/>
  <c r="J225" i="12"/>
  <c r="B225" i="12"/>
  <c r="X224" i="12"/>
  <c r="Z224" i="12" s="1"/>
  <c r="N224" i="12"/>
  <c r="L224" i="12"/>
  <c r="B224" i="12"/>
  <c r="Z223" i="12"/>
  <c r="X223" i="12"/>
  <c r="N223" i="12"/>
  <c r="L223" i="12"/>
  <c r="B223" i="12"/>
  <c r="Z222" i="12"/>
  <c r="T222" i="12"/>
  <c r="P222" i="12"/>
  <c r="X222" i="12" s="1"/>
  <c r="H222" i="12"/>
  <c r="D222" i="12"/>
  <c r="L222" i="12" s="1"/>
  <c r="B222" i="12"/>
  <c r="X221" i="12"/>
  <c r="Z221" i="12" s="1"/>
  <c r="N221" i="12"/>
  <c r="L221" i="12"/>
  <c r="J221" i="12"/>
  <c r="B221" i="12"/>
  <c r="T220" i="12"/>
  <c r="P220" i="12"/>
  <c r="X220" i="12" s="1"/>
  <c r="Z220" i="12" s="1"/>
  <c r="H220" i="12"/>
  <c r="N220" i="12" s="1"/>
  <c r="D220" i="12"/>
  <c r="B220" i="12"/>
  <c r="X219" i="12"/>
  <c r="Z219" i="12" s="1"/>
  <c r="N219" i="12"/>
  <c r="L219" i="12"/>
  <c r="B219" i="12"/>
  <c r="X218" i="12"/>
  <c r="Z218" i="12" s="1"/>
  <c r="V218" i="12"/>
  <c r="N218" i="12"/>
  <c r="L218" i="12"/>
  <c r="B218" i="12"/>
  <c r="Z217" i="12"/>
  <c r="T217" i="12"/>
  <c r="P217" i="12"/>
  <c r="X217" i="12" s="1"/>
  <c r="L217" i="12"/>
  <c r="N217" i="12" s="1"/>
  <c r="H217" i="12"/>
  <c r="D217" i="12"/>
  <c r="B217" i="12"/>
  <c r="X216" i="12"/>
  <c r="Z216" i="12" s="1"/>
  <c r="L216" i="12"/>
  <c r="N216" i="12" s="1"/>
  <c r="B216" i="12"/>
  <c r="Z215" i="12"/>
  <c r="X215" i="12"/>
  <c r="N215" i="12"/>
  <c r="L215" i="12"/>
  <c r="B215" i="12"/>
  <c r="Z214" i="12"/>
  <c r="X214" i="12"/>
  <c r="L214" i="12"/>
  <c r="N214" i="12" s="1"/>
  <c r="B214" i="12"/>
  <c r="X213" i="12"/>
  <c r="Z213" i="12" s="1"/>
  <c r="N213" i="12"/>
  <c r="L213" i="12"/>
  <c r="B213" i="12"/>
  <c r="X212" i="12"/>
  <c r="Z212" i="12" s="1"/>
  <c r="L212" i="12"/>
  <c r="N212" i="12" s="1"/>
  <c r="B212" i="12"/>
  <c r="Z211" i="12"/>
  <c r="X211" i="12"/>
  <c r="N211" i="12"/>
  <c r="L211" i="12"/>
  <c r="B211" i="12"/>
  <c r="Z210" i="12"/>
  <c r="X210" i="12"/>
  <c r="L210" i="12"/>
  <c r="N210" i="12" s="1"/>
  <c r="B210" i="12"/>
  <c r="X209" i="12"/>
  <c r="Z209" i="12" s="1"/>
  <c r="L209" i="12"/>
  <c r="N209" i="12" s="1"/>
  <c r="B209" i="12"/>
  <c r="X208" i="12"/>
  <c r="Z208" i="12" s="1"/>
  <c r="N208" i="12"/>
  <c r="L208" i="12"/>
  <c r="B208" i="12"/>
  <c r="Z207" i="12"/>
  <c r="T207" i="12"/>
  <c r="P207" i="12"/>
  <c r="X207" i="12" s="1"/>
  <c r="H207" i="12"/>
  <c r="D207" i="12"/>
  <c r="B207" i="12"/>
  <c r="X206" i="12"/>
  <c r="Z206" i="12" s="1"/>
  <c r="L206" i="12"/>
  <c r="N206" i="12" s="1"/>
  <c r="B206" i="12"/>
  <c r="X205" i="12"/>
  <c r="Z205" i="12" s="1"/>
  <c r="V205" i="12"/>
  <c r="N205" i="12"/>
  <c r="L205" i="12"/>
  <c r="B205" i="12"/>
  <c r="X204" i="12"/>
  <c r="Z204" i="12" s="1"/>
  <c r="T204" i="12"/>
  <c r="P204" i="12"/>
  <c r="H204" i="12"/>
  <c r="D204" i="12"/>
  <c r="L204" i="12" s="1"/>
  <c r="B204" i="12"/>
  <c r="Z203" i="12"/>
  <c r="X203" i="12"/>
  <c r="N203" i="12"/>
  <c r="L203" i="12"/>
  <c r="J203" i="12"/>
  <c r="B203" i="12"/>
  <c r="X202" i="12"/>
  <c r="Z202" i="12" s="1"/>
  <c r="N202" i="12"/>
  <c r="L202" i="12"/>
  <c r="B202" i="12"/>
  <c r="Z201" i="12"/>
  <c r="X201" i="12"/>
  <c r="N201" i="12"/>
  <c r="L201" i="12"/>
  <c r="B201" i="12"/>
  <c r="Z200" i="12"/>
  <c r="X200" i="12"/>
  <c r="N200" i="12"/>
  <c r="L200" i="12"/>
  <c r="B200" i="12"/>
  <c r="Z199" i="12"/>
  <c r="X199" i="12"/>
  <c r="N199" i="12"/>
  <c r="L199" i="12"/>
  <c r="B199" i="12"/>
  <c r="T198" i="12"/>
  <c r="P198" i="12"/>
  <c r="H198" i="12"/>
  <c r="D198" i="12"/>
  <c r="B198" i="12"/>
  <c r="X197" i="12"/>
  <c r="Z197" i="12" s="1"/>
  <c r="L197" i="12"/>
  <c r="N197" i="12" s="1"/>
  <c r="J197" i="12"/>
  <c r="B197" i="12"/>
  <c r="X196" i="12"/>
  <c r="Z196" i="12" s="1"/>
  <c r="N196" i="12"/>
  <c r="L196" i="12"/>
  <c r="B196" i="12"/>
  <c r="Z195" i="12"/>
  <c r="X195" i="12"/>
  <c r="V195" i="12"/>
  <c r="N195" i="12"/>
  <c r="L195" i="12"/>
  <c r="B195" i="12"/>
  <c r="Z194" i="12"/>
  <c r="X194" i="12"/>
  <c r="L194" i="12"/>
  <c r="N194" i="12" s="1"/>
  <c r="B194" i="12"/>
  <c r="V193" i="12"/>
  <c r="T193" i="12"/>
  <c r="X193" i="12" s="1"/>
  <c r="Z193" i="12" s="1"/>
  <c r="P193" i="12"/>
  <c r="N193" i="12"/>
  <c r="J193" i="12"/>
  <c r="H193" i="12"/>
  <c r="D193" i="12"/>
  <c r="L193" i="12" s="1"/>
  <c r="B193" i="12"/>
  <c r="X192" i="12"/>
  <c r="Z192" i="12" s="1"/>
  <c r="L192" i="12"/>
  <c r="N192" i="12" s="1"/>
  <c r="B192" i="12"/>
  <c r="Z191" i="12"/>
  <c r="X191" i="12"/>
  <c r="L191" i="12"/>
  <c r="N191" i="12" s="1"/>
  <c r="B191" i="12"/>
  <c r="X190" i="12"/>
  <c r="Z190" i="12" s="1"/>
  <c r="N190" i="12"/>
  <c r="L190" i="12"/>
  <c r="B190" i="12"/>
  <c r="X189" i="12"/>
  <c r="Z189" i="12" s="1"/>
  <c r="N189" i="12"/>
  <c r="L189" i="12"/>
  <c r="B189" i="12"/>
  <c r="X188" i="12"/>
  <c r="Z188" i="12" s="1"/>
  <c r="T188" i="12"/>
  <c r="P188" i="12"/>
  <c r="L188" i="12"/>
  <c r="H188" i="12"/>
  <c r="D188" i="12"/>
  <c r="B188" i="12"/>
  <c r="X187" i="12"/>
  <c r="Z187" i="12" s="1"/>
  <c r="N187" i="12"/>
  <c r="L187" i="12"/>
  <c r="J187" i="12"/>
  <c r="B187" i="12"/>
  <c r="T186" i="12"/>
  <c r="P186" i="12"/>
  <c r="H186" i="12"/>
  <c r="D186" i="12"/>
  <c r="L186" i="12" s="1"/>
  <c r="B186" i="12"/>
  <c r="X185" i="12"/>
  <c r="Z185" i="12" s="1"/>
  <c r="N185" i="12"/>
  <c r="L185" i="12"/>
  <c r="B185" i="12"/>
  <c r="T184" i="12"/>
  <c r="P184" i="12"/>
  <c r="X184" i="12" s="1"/>
  <c r="H184" i="12"/>
  <c r="N184" i="12" s="1"/>
  <c r="D184" i="12"/>
  <c r="B184" i="12"/>
  <c r="Z183" i="12"/>
  <c r="X183" i="12"/>
  <c r="N183" i="12"/>
  <c r="L183" i="12"/>
  <c r="B183" i="12"/>
  <c r="X182" i="12"/>
  <c r="Z182" i="12" s="1"/>
  <c r="N182" i="12"/>
  <c r="L182" i="12"/>
  <c r="B182" i="12"/>
  <c r="X181" i="12"/>
  <c r="Z181" i="12" s="1"/>
  <c r="T181" i="12"/>
  <c r="P181" i="12"/>
  <c r="J181" i="12"/>
  <c r="H181" i="12"/>
  <c r="D181" i="12"/>
  <c r="L181" i="12" s="1"/>
  <c r="N181" i="12" s="1"/>
  <c r="B181" i="12"/>
  <c r="X180" i="12"/>
  <c r="Z180" i="12" s="1"/>
  <c r="L180" i="12"/>
  <c r="N180" i="12" s="1"/>
  <c r="B180" i="12"/>
  <c r="X179" i="12"/>
  <c r="Z179" i="12" s="1"/>
  <c r="T179" i="12"/>
  <c r="P179" i="12"/>
  <c r="H179" i="12"/>
  <c r="D179" i="12"/>
  <c r="B179" i="12"/>
  <c r="Z178" i="12"/>
  <c r="X178" i="12"/>
  <c r="L178" i="12"/>
  <c r="N178" i="12" s="1"/>
  <c r="B178" i="12"/>
  <c r="T177" i="12"/>
  <c r="X177" i="12" s="1"/>
  <c r="Z177" i="12" s="1"/>
  <c r="P177" i="12"/>
  <c r="J177" i="12"/>
  <c r="H177" i="12"/>
  <c r="D177" i="12"/>
  <c r="L177" i="12" s="1"/>
  <c r="N177" i="12" s="1"/>
  <c r="B177" i="12"/>
  <c r="X176" i="12"/>
  <c r="Z176" i="12" s="1"/>
  <c r="N176" i="12"/>
  <c r="L176" i="12"/>
  <c r="B176" i="12"/>
  <c r="Z175" i="12"/>
  <c r="X175" i="12"/>
  <c r="V175" i="12"/>
  <c r="N175" i="12"/>
  <c r="L175" i="12"/>
  <c r="B175" i="12"/>
  <c r="X174" i="12"/>
  <c r="Z174" i="12" s="1"/>
  <c r="L174" i="12"/>
  <c r="N174" i="12" s="1"/>
  <c r="J174" i="12"/>
  <c r="B174" i="12"/>
  <c r="X173" i="12"/>
  <c r="Z173" i="12" s="1"/>
  <c r="T173" i="12"/>
  <c r="P173" i="12"/>
  <c r="H173" i="12"/>
  <c r="D173" i="12"/>
  <c r="B173" i="12"/>
  <c r="Z172" i="12"/>
  <c r="X172" i="12"/>
  <c r="L172" i="12"/>
  <c r="N172" i="12" s="1"/>
  <c r="B172" i="12"/>
  <c r="X171" i="12"/>
  <c r="Z171" i="12" s="1"/>
  <c r="N171" i="12"/>
  <c r="L171" i="12"/>
  <c r="B171" i="12"/>
  <c r="X170" i="12"/>
  <c r="Z170" i="12" s="1"/>
  <c r="T170" i="12"/>
  <c r="P170" i="12"/>
  <c r="H170" i="12"/>
  <c r="D170" i="12"/>
  <c r="L170" i="12" s="1"/>
  <c r="N170" i="12" s="1"/>
  <c r="B170" i="12"/>
  <c r="X169" i="12"/>
  <c r="Z169" i="12" s="1"/>
  <c r="V169" i="12"/>
  <c r="L169" i="12"/>
  <c r="N169" i="12" s="1"/>
  <c r="B169" i="12"/>
  <c r="T168" i="12"/>
  <c r="P168" i="12"/>
  <c r="N168" i="12"/>
  <c r="J168" i="12"/>
  <c r="H168" i="12"/>
  <c r="D168" i="12"/>
  <c r="L168" i="12" s="1"/>
  <c r="B168" i="12"/>
  <c r="X167" i="12"/>
  <c r="Z167" i="12" s="1"/>
  <c r="V167" i="12"/>
  <c r="N167" i="12"/>
  <c r="L167" i="12"/>
  <c r="B167" i="12"/>
  <c r="X166" i="12"/>
  <c r="T166" i="12"/>
  <c r="P166" i="12"/>
  <c r="H166" i="12"/>
  <c r="D166" i="12"/>
  <c r="B166" i="12"/>
  <c r="Z165" i="12"/>
  <c r="X165" i="12"/>
  <c r="L165" i="12"/>
  <c r="N165" i="12" s="1"/>
  <c r="J165" i="12"/>
  <c r="B165" i="12"/>
  <c r="Z164" i="12"/>
  <c r="X164" i="12"/>
  <c r="N164" i="12"/>
  <c r="L164" i="12"/>
  <c r="B164" i="12"/>
  <c r="Z163" i="12"/>
  <c r="V163" i="12"/>
  <c r="T163" i="12"/>
  <c r="P163" i="12"/>
  <c r="X163" i="12" s="1"/>
  <c r="H163" i="12"/>
  <c r="D163" i="12"/>
  <c r="L163" i="12" s="1"/>
  <c r="N163" i="12" s="1"/>
  <c r="B163" i="12"/>
  <c r="Z162" i="12"/>
  <c r="X162" i="12"/>
  <c r="N162" i="12"/>
  <c r="L162" i="12"/>
  <c r="B162" i="12"/>
  <c r="X161" i="12"/>
  <c r="Z161" i="12" s="1"/>
  <c r="V161" i="12"/>
  <c r="N161" i="12"/>
  <c r="L161" i="12"/>
  <c r="B161" i="12"/>
  <c r="T160" i="12"/>
  <c r="Z160" i="12" s="1"/>
  <c r="P160" i="12"/>
  <c r="X160" i="12" s="1"/>
  <c r="L160" i="12"/>
  <c r="H160" i="12"/>
  <c r="D160" i="12"/>
  <c r="B160" i="12"/>
  <c r="Z159" i="12"/>
  <c r="X159" i="12"/>
  <c r="N159" i="12"/>
  <c r="L159" i="12"/>
  <c r="J159" i="12"/>
  <c r="B159" i="12"/>
  <c r="Z158" i="12"/>
  <c r="X158" i="12"/>
  <c r="N158" i="12"/>
  <c r="L158" i="12"/>
  <c r="B158" i="12"/>
  <c r="Z157" i="12"/>
  <c r="X157" i="12"/>
  <c r="T157" i="12"/>
  <c r="P157" i="12"/>
  <c r="H157" i="12"/>
  <c r="D157" i="12"/>
  <c r="B157" i="12"/>
  <c r="Z156" i="12"/>
  <c r="X156" i="12"/>
  <c r="L156" i="12"/>
  <c r="N156" i="12" s="1"/>
  <c r="B156" i="12"/>
  <c r="Z155" i="12"/>
  <c r="V155" i="12"/>
  <c r="T155" i="12"/>
  <c r="P155" i="12"/>
  <c r="X155" i="12" s="1"/>
  <c r="N155" i="12"/>
  <c r="H155" i="12"/>
  <c r="D155" i="12"/>
  <c r="L155" i="12" s="1"/>
  <c r="B155" i="12"/>
  <c r="X154" i="12"/>
  <c r="Z154" i="12" s="1"/>
  <c r="L154" i="12"/>
  <c r="N154" i="12" s="1"/>
  <c r="B154" i="12"/>
  <c r="X153" i="12"/>
  <c r="Z153" i="12" s="1"/>
  <c r="V153" i="12"/>
  <c r="N153" i="12"/>
  <c r="L153" i="12"/>
  <c r="B153" i="12"/>
  <c r="T152" i="12"/>
  <c r="Z152" i="12" s="1"/>
  <c r="P152" i="12"/>
  <c r="X152" i="12" s="1"/>
  <c r="L152" i="12"/>
  <c r="H152" i="12"/>
  <c r="D152" i="12"/>
  <c r="B152" i="12"/>
  <c r="Z151" i="12"/>
  <c r="X151" i="12"/>
  <c r="N151" i="12"/>
  <c r="L151" i="12"/>
  <c r="J151" i="12"/>
  <c r="B151" i="12"/>
  <c r="X150" i="12"/>
  <c r="Z150" i="12" s="1"/>
  <c r="T150" i="12"/>
  <c r="P150" i="12"/>
  <c r="H150" i="12"/>
  <c r="D150" i="12"/>
  <c r="B150" i="12"/>
  <c r="Z149" i="12"/>
  <c r="X149" i="12"/>
  <c r="N149" i="12"/>
  <c r="L149" i="12"/>
  <c r="J149" i="12"/>
  <c r="B149" i="12"/>
  <c r="Z148" i="12"/>
  <c r="X148" i="12"/>
  <c r="N148" i="12"/>
  <c r="L148" i="12"/>
  <c r="B148" i="12"/>
  <c r="Z147" i="12"/>
  <c r="X147" i="12"/>
  <c r="V147" i="12"/>
  <c r="L147" i="12"/>
  <c r="N147" i="12" s="1"/>
  <c r="J147" i="12"/>
  <c r="B147" i="12"/>
  <c r="X146" i="12"/>
  <c r="Z146" i="12" s="1"/>
  <c r="L146" i="12"/>
  <c r="N146" i="12" s="1"/>
  <c r="B146" i="12"/>
  <c r="Z145" i="12"/>
  <c r="X145" i="12"/>
  <c r="N145" i="12"/>
  <c r="L145" i="12"/>
  <c r="J145" i="12"/>
  <c r="B145" i="12"/>
  <c r="Z144" i="12"/>
  <c r="X144" i="12"/>
  <c r="L144" i="12"/>
  <c r="N144" i="12" s="1"/>
  <c r="B144" i="12"/>
  <c r="Z143" i="12"/>
  <c r="X143" i="12"/>
  <c r="V143" i="12"/>
  <c r="L143" i="12"/>
  <c r="N143" i="12" s="1"/>
  <c r="J143" i="12"/>
  <c r="B143" i="12"/>
  <c r="Z142" i="12"/>
  <c r="X142" i="12"/>
  <c r="N142" i="12"/>
  <c r="L142" i="12"/>
  <c r="B142" i="12"/>
  <c r="Z141" i="12"/>
  <c r="X141" i="12"/>
  <c r="L141" i="12"/>
  <c r="N141" i="12" s="1"/>
  <c r="J141" i="12"/>
  <c r="B141" i="12"/>
  <c r="Z140" i="12"/>
  <c r="X140" i="12"/>
  <c r="L140" i="12"/>
  <c r="N140" i="12" s="1"/>
  <c r="B140" i="12"/>
  <c r="Z139" i="12"/>
  <c r="V139" i="12"/>
  <c r="T139" i="12"/>
  <c r="P139" i="12"/>
  <c r="X139" i="12" s="1"/>
  <c r="N139" i="12"/>
  <c r="H139" i="12"/>
  <c r="D139" i="12"/>
  <c r="L139" i="12" s="1"/>
  <c r="B139" i="12"/>
  <c r="X138" i="12"/>
  <c r="Z138" i="12" s="1"/>
  <c r="L138" i="12"/>
  <c r="N138" i="12" s="1"/>
  <c r="B138" i="12"/>
  <c r="X137" i="12"/>
  <c r="Z137" i="12" s="1"/>
  <c r="V137" i="12"/>
  <c r="N137" i="12"/>
  <c r="L137" i="12"/>
  <c r="B137" i="12"/>
  <c r="X136" i="12"/>
  <c r="Z136" i="12" s="1"/>
  <c r="L136" i="12"/>
  <c r="N136" i="12" s="1"/>
  <c r="B136" i="12"/>
  <c r="Z135" i="12"/>
  <c r="X135" i="12"/>
  <c r="V135" i="12"/>
  <c r="N135" i="12"/>
  <c r="L135" i="12"/>
  <c r="B135" i="12"/>
  <c r="Z134" i="12"/>
  <c r="X134" i="12"/>
  <c r="N134" i="12"/>
  <c r="L134" i="12"/>
  <c r="B134" i="12"/>
  <c r="X133" i="12"/>
  <c r="Z133" i="12" s="1"/>
  <c r="V133" i="12"/>
  <c r="N133" i="12"/>
  <c r="L133" i="12"/>
  <c r="B133" i="12"/>
  <c r="X132" i="12"/>
  <c r="Z132" i="12" s="1"/>
  <c r="L132" i="12"/>
  <c r="N132" i="12" s="1"/>
  <c r="B132" i="12"/>
  <c r="X131" i="12"/>
  <c r="Z131" i="12" s="1"/>
  <c r="V131" i="12"/>
  <c r="N131" i="12"/>
  <c r="L131" i="12"/>
  <c r="B131" i="12"/>
  <c r="X130" i="12"/>
  <c r="Z130" i="12" s="1"/>
  <c r="L130" i="12"/>
  <c r="N130" i="12" s="1"/>
  <c r="B130" i="12"/>
  <c r="X129" i="12"/>
  <c r="Z129" i="12" s="1"/>
  <c r="V129" i="12"/>
  <c r="N129" i="12"/>
  <c r="L129" i="12"/>
  <c r="B129" i="12"/>
  <c r="T128" i="12"/>
  <c r="P128" i="12"/>
  <c r="X128" i="12" s="1"/>
  <c r="H128" i="12"/>
  <c r="D128" i="12"/>
  <c r="L128" i="12" s="1"/>
  <c r="B128" i="12"/>
  <c r="T127" i="12"/>
  <c r="P127" i="12"/>
  <c r="H127" i="12"/>
  <c r="L127" i="12" s="1"/>
  <c r="D127" i="12"/>
  <c r="Z123" i="12"/>
  <c r="X123" i="12"/>
  <c r="N123" i="12"/>
  <c r="L123" i="12"/>
  <c r="J123" i="12"/>
  <c r="B123" i="12"/>
  <c r="Z122" i="12"/>
  <c r="X122" i="12"/>
  <c r="N122" i="12"/>
  <c r="L122" i="12"/>
  <c r="J122" i="12"/>
  <c r="B122" i="12"/>
  <c r="Z121" i="12"/>
  <c r="X121" i="12"/>
  <c r="N121" i="12"/>
  <c r="L121" i="12"/>
  <c r="B121" i="12"/>
  <c r="Z120" i="12"/>
  <c r="X120" i="12"/>
  <c r="N120" i="12"/>
  <c r="L120" i="12"/>
  <c r="J120" i="12"/>
  <c r="B120" i="12"/>
  <c r="Z119" i="12"/>
  <c r="X119" i="12"/>
  <c r="N119" i="12"/>
  <c r="L119" i="12"/>
  <c r="J119" i="12"/>
  <c r="B119" i="12"/>
  <c r="Z118" i="12"/>
  <c r="X118" i="12"/>
  <c r="N118" i="12"/>
  <c r="L118" i="12"/>
  <c r="J118" i="12"/>
  <c r="B118" i="12"/>
  <c r="Z117" i="12"/>
  <c r="X117" i="12"/>
  <c r="N117" i="12"/>
  <c r="L117" i="12"/>
  <c r="B117" i="12"/>
  <c r="Z116" i="12"/>
  <c r="X116" i="12"/>
  <c r="N116" i="12"/>
  <c r="L116" i="12"/>
  <c r="J116" i="12"/>
  <c r="B116" i="12"/>
  <c r="Z115" i="12"/>
  <c r="X115" i="12"/>
  <c r="N115" i="12"/>
  <c r="L115" i="12"/>
  <c r="J115" i="12"/>
  <c r="B115" i="12"/>
  <c r="Z114" i="12"/>
  <c r="X114" i="12"/>
  <c r="N114" i="12"/>
  <c r="L114" i="12"/>
  <c r="J114" i="12"/>
  <c r="B114" i="12"/>
  <c r="Z113" i="12"/>
  <c r="X113" i="12"/>
  <c r="N113" i="12"/>
  <c r="L113" i="12"/>
  <c r="B113" i="12"/>
  <c r="Z112" i="12"/>
  <c r="X112" i="12"/>
  <c r="N112" i="12"/>
  <c r="L112" i="12"/>
  <c r="J112" i="12"/>
  <c r="B112" i="12"/>
  <c r="Z111" i="12"/>
  <c r="X111" i="12"/>
  <c r="N111" i="12"/>
  <c r="L111" i="12"/>
  <c r="J111" i="12"/>
  <c r="B111" i="12"/>
  <c r="Z110" i="12"/>
  <c r="X110" i="12"/>
  <c r="N110" i="12"/>
  <c r="L110" i="12"/>
  <c r="J110" i="12"/>
  <c r="B110" i="12"/>
  <c r="Z109" i="12"/>
  <c r="X109" i="12"/>
  <c r="N109" i="12"/>
  <c r="L109" i="12"/>
  <c r="B109" i="12"/>
  <c r="Z108" i="12"/>
  <c r="X108" i="12"/>
  <c r="N108" i="12"/>
  <c r="L108" i="12"/>
  <c r="J108" i="12"/>
  <c r="B108" i="12"/>
  <c r="Z107" i="12"/>
  <c r="X107" i="12"/>
  <c r="N107" i="12"/>
  <c r="L107" i="12"/>
  <c r="J107" i="12"/>
  <c r="B107" i="12"/>
  <c r="Z106" i="12"/>
  <c r="X106" i="12"/>
  <c r="N106" i="12"/>
  <c r="L106" i="12"/>
  <c r="J106" i="12"/>
  <c r="B106" i="12"/>
  <c r="Z105" i="12"/>
  <c r="X105" i="12"/>
  <c r="N105" i="12"/>
  <c r="L105" i="12"/>
  <c r="B105" i="12"/>
  <c r="Z104" i="12"/>
  <c r="X104" i="12"/>
  <c r="N104" i="12"/>
  <c r="L104" i="12"/>
  <c r="J104" i="12"/>
  <c r="B104" i="12"/>
  <c r="Z103" i="12"/>
  <c r="X103" i="12"/>
  <c r="N103" i="12"/>
  <c r="L103" i="12"/>
  <c r="J103" i="12"/>
  <c r="B103" i="12"/>
  <c r="Z102" i="12"/>
  <c r="X102" i="12"/>
  <c r="N102" i="12"/>
  <c r="L102" i="12"/>
  <c r="J102" i="12"/>
  <c r="B102" i="12"/>
  <c r="Z101" i="12"/>
  <c r="X101" i="12"/>
  <c r="N101" i="12"/>
  <c r="L101" i="12"/>
  <c r="B101" i="12"/>
  <c r="Z100" i="12"/>
  <c r="X100" i="12"/>
  <c r="N100" i="12"/>
  <c r="L100" i="12"/>
  <c r="J100" i="12"/>
  <c r="B100" i="12"/>
  <c r="Z99" i="12"/>
  <c r="X99" i="12"/>
  <c r="N99" i="12"/>
  <c r="L99" i="12"/>
  <c r="J99" i="12"/>
  <c r="B99" i="12"/>
  <c r="Z98" i="12"/>
  <c r="X98" i="12"/>
  <c r="N98" i="12"/>
  <c r="L98" i="12"/>
  <c r="J98" i="12"/>
  <c r="B98" i="12"/>
  <c r="Z97" i="12"/>
  <c r="X97" i="12"/>
  <c r="N97" i="12"/>
  <c r="L97" i="12"/>
  <c r="B97" i="12"/>
  <c r="Z96" i="12"/>
  <c r="X96" i="12"/>
  <c r="N96" i="12"/>
  <c r="L96" i="12"/>
  <c r="J96" i="12"/>
  <c r="B96" i="12"/>
  <c r="Z95" i="12"/>
  <c r="X95" i="12"/>
  <c r="N95" i="12"/>
  <c r="L95" i="12"/>
  <c r="J95" i="12"/>
  <c r="B95" i="12"/>
  <c r="Z94" i="12"/>
  <c r="X94" i="12"/>
  <c r="N94" i="12"/>
  <c r="L94" i="12"/>
  <c r="J94" i="12"/>
  <c r="B94" i="12"/>
  <c r="Z93" i="12"/>
  <c r="X93" i="12"/>
  <c r="N93" i="12"/>
  <c r="L93" i="12"/>
  <c r="B93" i="12"/>
  <c r="Z92" i="12"/>
  <c r="X92" i="12"/>
  <c r="N92" i="12"/>
  <c r="L92" i="12"/>
  <c r="J92" i="12"/>
  <c r="B92" i="12"/>
  <c r="Z91" i="12"/>
  <c r="X91" i="12"/>
  <c r="N91" i="12"/>
  <c r="L91" i="12"/>
  <c r="J91" i="12"/>
  <c r="B91" i="12"/>
  <c r="Z90" i="12"/>
  <c r="X90" i="12"/>
  <c r="N90" i="12"/>
  <c r="L90" i="12"/>
  <c r="J90" i="12"/>
  <c r="B90" i="12"/>
  <c r="Z89" i="12"/>
  <c r="X89" i="12"/>
  <c r="N89" i="12"/>
  <c r="L89" i="12"/>
  <c r="B89" i="12"/>
  <c r="Z88" i="12"/>
  <c r="X88" i="12"/>
  <c r="N88" i="12"/>
  <c r="L88" i="12"/>
  <c r="J88" i="12"/>
  <c r="B88" i="12"/>
  <c r="Z87" i="12"/>
  <c r="X87" i="12"/>
  <c r="N87" i="12"/>
  <c r="L87" i="12"/>
  <c r="J87" i="12"/>
  <c r="B87" i="12"/>
  <c r="Z86" i="12"/>
  <c r="X86" i="12"/>
  <c r="N86" i="12"/>
  <c r="L86" i="12"/>
  <c r="J86" i="12"/>
  <c r="B86" i="12"/>
  <c r="Z85" i="12"/>
  <c r="X85" i="12"/>
  <c r="N85" i="12"/>
  <c r="L85" i="12"/>
  <c r="B85" i="12"/>
  <c r="Z84" i="12"/>
  <c r="X84" i="12"/>
  <c r="N84" i="12"/>
  <c r="L84" i="12"/>
  <c r="J84" i="12"/>
  <c r="B84" i="12"/>
  <c r="Z83" i="12"/>
  <c r="X83" i="12"/>
  <c r="N83" i="12"/>
  <c r="L83" i="12"/>
  <c r="J83" i="12"/>
  <c r="B83" i="12"/>
  <c r="X82" i="12"/>
  <c r="Z82" i="12" s="1"/>
  <c r="T82" i="12"/>
  <c r="P82" i="12"/>
  <c r="L82" i="12"/>
  <c r="H82" i="12"/>
  <c r="D82" i="12"/>
  <c r="Z80" i="12"/>
  <c r="X80" i="12"/>
  <c r="P80" i="12"/>
  <c r="N80" i="12"/>
  <c r="D80" i="12"/>
  <c r="L80" i="12" s="1"/>
  <c r="B80" i="12"/>
  <c r="Z79" i="12"/>
  <c r="P79" i="12"/>
  <c r="X79" i="12" s="1"/>
  <c r="N79" i="12"/>
  <c r="D79" i="12"/>
  <c r="L79" i="12" s="1"/>
  <c r="B79" i="12"/>
  <c r="Z78" i="12"/>
  <c r="X78" i="12"/>
  <c r="P78" i="12"/>
  <c r="N78" i="12"/>
  <c r="D78" i="12"/>
  <c r="L78" i="12" s="1"/>
  <c r="B78" i="12"/>
  <c r="Z77" i="12"/>
  <c r="X77" i="12"/>
  <c r="P77" i="12"/>
  <c r="N77" i="12"/>
  <c r="L77" i="12"/>
  <c r="D77" i="12"/>
  <c r="B77" i="12"/>
  <c r="Z76" i="12"/>
  <c r="P76" i="12"/>
  <c r="X76" i="12" s="1"/>
  <c r="N76" i="12"/>
  <c r="D76" i="12"/>
  <c r="L76" i="12" s="1"/>
  <c r="B76" i="12"/>
  <c r="Z75" i="12"/>
  <c r="P75" i="12"/>
  <c r="X75" i="12" s="1"/>
  <c r="N75" i="12"/>
  <c r="L75" i="12"/>
  <c r="D75" i="12"/>
  <c r="B75" i="12"/>
  <c r="Z74" i="12"/>
  <c r="X74" i="12"/>
  <c r="P74" i="12"/>
  <c r="N74" i="12"/>
  <c r="L74" i="12"/>
  <c r="D74" i="12"/>
  <c r="B74" i="12"/>
  <c r="Z73" i="12"/>
  <c r="P73" i="12"/>
  <c r="X73" i="12" s="1"/>
  <c r="N73" i="12"/>
  <c r="D73" i="12"/>
  <c r="L73" i="12" s="1"/>
  <c r="B73" i="12"/>
  <c r="Z72" i="12"/>
  <c r="X72" i="12"/>
  <c r="P72" i="12"/>
  <c r="N72" i="12"/>
  <c r="D72" i="12"/>
  <c r="L72" i="12" s="1"/>
  <c r="B72" i="12"/>
  <c r="Z71" i="12"/>
  <c r="P71" i="12"/>
  <c r="X71" i="12" s="1"/>
  <c r="N71" i="12"/>
  <c r="L71" i="12"/>
  <c r="D71" i="12"/>
  <c r="B71" i="12"/>
  <c r="Z70" i="12"/>
  <c r="P70" i="12"/>
  <c r="X70" i="12" s="1"/>
  <c r="N70" i="12"/>
  <c r="D70" i="12"/>
  <c r="L70" i="12" s="1"/>
  <c r="B70" i="12"/>
  <c r="Z69" i="12"/>
  <c r="P69" i="12"/>
  <c r="X69" i="12" s="1"/>
  <c r="N69" i="12"/>
  <c r="L69" i="12"/>
  <c r="D69" i="12"/>
  <c r="B69" i="12"/>
  <c r="Z68" i="12"/>
  <c r="X68" i="12"/>
  <c r="P68" i="12"/>
  <c r="N68" i="12"/>
  <c r="D68" i="12"/>
  <c r="L68" i="12" s="1"/>
  <c r="B68" i="12"/>
  <c r="Z67" i="12"/>
  <c r="P67" i="12"/>
  <c r="X67" i="12" s="1"/>
  <c r="N67" i="12"/>
  <c r="D67" i="12"/>
  <c r="L67" i="12" s="1"/>
  <c r="B67" i="12"/>
  <c r="Z66" i="12"/>
  <c r="X66" i="12"/>
  <c r="P66" i="12"/>
  <c r="N66" i="12"/>
  <c r="D66" i="12"/>
  <c r="L66" i="12" s="1"/>
  <c r="B66" i="12"/>
  <c r="Z65" i="12"/>
  <c r="X65" i="12"/>
  <c r="P65" i="12"/>
  <c r="N65" i="12"/>
  <c r="L65" i="12"/>
  <c r="D65" i="12"/>
  <c r="B65" i="12"/>
  <c r="Z64" i="12"/>
  <c r="P64" i="12"/>
  <c r="X64" i="12" s="1"/>
  <c r="N64" i="12"/>
  <c r="D64" i="12"/>
  <c r="L64" i="12" s="1"/>
  <c r="B64" i="12"/>
  <c r="Z63" i="12"/>
  <c r="P63" i="12"/>
  <c r="X63" i="12" s="1"/>
  <c r="N63" i="12"/>
  <c r="L63" i="12"/>
  <c r="D63" i="12"/>
  <c r="B63" i="12"/>
  <c r="Z62" i="12"/>
  <c r="X62" i="12"/>
  <c r="P62" i="12"/>
  <c r="N62" i="12"/>
  <c r="L62" i="12"/>
  <c r="D62" i="12"/>
  <c r="B62" i="12"/>
  <c r="Z61" i="12"/>
  <c r="P61" i="12"/>
  <c r="X61" i="12" s="1"/>
  <c r="N61" i="12"/>
  <c r="D61" i="12"/>
  <c r="L61" i="12" s="1"/>
  <c r="B61" i="12"/>
  <c r="Z60" i="12"/>
  <c r="X60" i="12"/>
  <c r="P60" i="12"/>
  <c r="N60" i="12"/>
  <c r="D60" i="12"/>
  <c r="L60" i="12" s="1"/>
  <c r="B60" i="12"/>
  <c r="Z59" i="12"/>
  <c r="P59" i="12"/>
  <c r="X59" i="12" s="1"/>
  <c r="N59" i="12"/>
  <c r="L59" i="12"/>
  <c r="D59" i="12"/>
  <c r="B59" i="12"/>
  <c r="Z58" i="12"/>
  <c r="P58" i="12"/>
  <c r="X58" i="12" s="1"/>
  <c r="N58" i="12"/>
  <c r="D58" i="12"/>
  <c r="L58" i="12" s="1"/>
  <c r="B58" i="12"/>
  <c r="Z57" i="12"/>
  <c r="P57" i="12"/>
  <c r="X57" i="12" s="1"/>
  <c r="N57" i="12"/>
  <c r="L57" i="12"/>
  <c r="D57" i="12"/>
  <c r="B57" i="12"/>
  <c r="Z56" i="12"/>
  <c r="X56" i="12"/>
  <c r="P56" i="12"/>
  <c r="N56" i="12"/>
  <c r="D56" i="12"/>
  <c r="L56" i="12" s="1"/>
  <c r="B56" i="12"/>
  <c r="Z55" i="12"/>
  <c r="P55" i="12"/>
  <c r="X55" i="12" s="1"/>
  <c r="N55" i="12"/>
  <c r="D55" i="12"/>
  <c r="L55" i="12" s="1"/>
  <c r="B55" i="12"/>
  <c r="Z54" i="12"/>
  <c r="X54" i="12"/>
  <c r="P54" i="12"/>
  <c r="N54" i="12"/>
  <c r="D54" i="12"/>
  <c r="L54" i="12" s="1"/>
  <c r="B54" i="12"/>
  <c r="Z53" i="12"/>
  <c r="X53" i="12"/>
  <c r="P53" i="12"/>
  <c r="N53" i="12"/>
  <c r="L53" i="12"/>
  <c r="D53" i="12"/>
  <c r="B53" i="12"/>
  <c r="Z52" i="12"/>
  <c r="P52" i="12"/>
  <c r="X52" i="12" s="1"/>
  <c r="N52" i="12"/>
  <c r="D52" i="12"/>
  <c r="L52" i="12" s="1"/>
  <c r="B52" i="12"/>
  <c r="Z51" i="12"/>
  <c r="P51" i="12"/>
  <c r="X51" i="12" s="1"/>
  <c r="N51" i="12"/>
  <c r="L51" i="12"/>
  <c r="D51" i="12"/>
  <c r="B51" i="12"/>
  <c r="Z50" i="12"/>
  <c r="X50" i="12"/>
  <c r="P50" i="12"/>
  <c r="N50" i="12"/>
  <c r="L50" i="12"/>
  <c r="D50" i="12"/>
  <c r="B50" i="12"/>
  <c r="Z49" i="12"/>
  <c r="P49" i="12"/>
  <c r="X49" i="12" s="1"/>
  <c r="N49" i="12"/>
  <c r="D49" i="12"/>
  <c r="L49" i="12" s="1"/>
  <c r="B49" i="12"/>
  <c r="Z48" i="12"/>
  <c r="X48" i="12"/>
  <c r="P48" i="12"/>
  <c r="N48" i="12"/>
  <c r="D48" i="12"/>
  <c r="L48" i="12" s="1"/>
  <c r="B48" i="12"/>
  <c r="Z47" i="12"/>
  <c r="P47" i="12"/>
  <c r="X47" i="12" s="1"/>
  <c r="N47" i="12"/>
  <c r="L47" i="12"/>
  <c r="D47" i="12"/>
  <c r="B47" i="12"/>
  <c r="Z46" i="12"/>
  <c r="P46" i="12"/>
  <c r="X46" i="12" s="1"/>
  <c r="N46" i="12"/>
  <c r="D46" i="12"/>
  <c r="L46" i="12" s="1"/>
  <c r="B46" i="12"/>
  <c r="Z45" i="12"/>
  <c r="P45" i="12"/>
  <c r="X45" i="12" s="1"/>
  <c r="N45" i="12"/>
  <c r="L45" i="12"/>
  <c r="D45" i="12"/>
  <c r="B45" i="12"/>
  <c r="Z44" i="12"/>
  <c r="X44" i="12"/>
  <c r="P44" i="12"/>
  <c r="N44" i="12"/>
  <c r="D44" i="12"/>
  <c r="L44" i="12" s="1"/>
  <c r="B44" i="12"/>
  <c r="Z43" i="12"/>
  <c r="P43" i="12"/>
  <c r="X43" i="12" s="1"/>
  <c r="N43" i="12"/>
  <c r="D43" i="12"/>
  <c r="L43" i="12" s="1"/>
  <c r="B43" i="12"/>
  <c r="Z42" i="12"/>
  <c r="X42" i="12"/>
  <c r="P42" i="12"/>
  <c r="N42" i="12"/>
  <c r="D42" i="12"/>
  <c r="L42" i="12" s="1"/>
  <c r="B42" i="12"/>
  <c r="Z41" i="12"/>
  <c r="X41" i="12"/>
  <c r="P41" i="12"/>
  <c r="N41" i="12"/>
  <c r="L41" i="12"/>
  <c r="D41" i="12"/>
  <c r="B41" i="12"/>
  <c r="Z40" i="12"/>
  <c r="P40" i="12"/>
  <c r="X40" i="12" s="1"/>
  <c r="N40" i="12"/>
  <c r="D40" i="12"/>
  <c r="L40" i="12" s="1"/>
  <c r="B40" i="12"/>
  <c r="Z39" i="12"/>
  <c r="P39" i="12"/>
  <c r="X39" i="12" s="1"/>
  <c r="N39" i="12"/>
  <c r="L39" i="12"/>
  <c r="D39" i="12"/>
  <c r="B39" i="12"/>
  <c r="Z38" i="12"/>
  <c r="X38" i="12"/>
  <c r="P38" i="12"/>
  <c r="N38" i="12"/>
  <c r="L38" i="12"/>
  <c r="D38" i="12"/>
  <c r="B38" i="12"/>
  <c r="Z37" i="12"/>
  <c r="P37" i="12"/>
  <c r="X37" i="12" s="1"/>
  <c r="N37" i="12"/>
  <c r="D37" i="12"/>
  <c r="L37" i="12" s="1"/>
  <c r="B37" i="12"/>
  <c r="X36" i="12"/>
  <c r="Z36" i="12" s="1"/>
  <c r="P36" i="12"/>
  <c r="D36" i="12"/>
  <c r="L36" i="12" s="1"/>
  <c r="N36" i="12" s="1"/>
  <c r="B36" i="12"/>
  <c r="Z35" i="12"/>
  <c r="P35" i="12"/>
  <c r="X35" i="12" s="1"/>
  <c r="N35" i="12"/>
  <c r="L35" i="12"/>
  <c r="D35" i="12"/>
  <c r="B35" i="12"/>
  <c r="Z34" i="12"/>
  <c r="P34" i="12"/>
  <c r="X34" i="12" s="1"/>
  <c r="N34" i="12"/>
  <c r="D34" i="12"/>
  <c r="L34" i="12" s="1"/>
  <c r="B34" i="12"/>
  <c r="Z33" i="12"/>
  <c r="P33" i="12"/>
  <c r="X33" i="12" s="1"/>
  <c r="N33" i="12"/>
  <c r="L33" i="12"/>
  <c r="D33" i="12"/>
  <c r="B33" i="12"/>
  <c r="Z32" i="12"/>
  <c r="X32" i="12"/>
  <c r="P32" i="12"/>
  <c r="N32" i="12"/>
  <c r="D32" i="12"/>
  <c r="L32" i="12" s="1"/>
  <c r="B32" i="12"/>
  <c r="Z31" i="12"/>
  <c r="P31" i="12"/>
  <c r="X31" i="12" s="1"/>
  <c r="N31" i="12"/>
  <c r="D31" i="12"/>
  <c r="L31" i="12" s="1"/>
  <c r="B31" i="12"/>
  <c r="Z30" i="12"/>
  <c r="X30" i="12"/>
  <c r="P30" i="12"/>
  <c r="N30" i="12"/>
  <c r="D30" i="12"/>
  <c r="L30" i="12" s="1"/>
  <c r="B30" i="12"/>
  <c r="Z29" i="12"/>
  <c r="X29" i="12"/>
  <c r="P29" i="12"/>
  <c r="N29" i="12"/>
  <c r="L29" i="12"/>
  <c r="D29" i="12"/>
  <c r="B29" i="12"/>
  <c r="Z28" i="12"/>
  <c r="P28" i="12"/>
  <c r="X28" i="12" s="1"/>
  <c r="N28" i="12"/>
  <c r="D28" i="12"/>
  <c r="L28" i="12" s="1"/>
  <c r="B28" i="12"/>
  <c r="Z27" i="12"/>
  <c r="P27" i="12"/>
  <c r="X27" i="12" s="1"/>
  <c r="N27" i="12"/>
  <c r="L27" i="12"/>
  <c r="D27" i="12"/>
  <c r="B27" i="12"/>
  <c r="Z26" i="12"/>
  <c r="X26" i="12"/>
  <c r="P26" i="12"/>
  <c r="N26" i="12"/>
  <c r="L26" i="12"/>
  <c r="D26" i="12"/>
  <c r="B26" i="12"/>
  <c r="Z25" i="12"/>
  <c r="P25" i="12"/>
  <c r="X25" i="12" s="1"/>
  <c r="N25" i="12"/>
  <c r="D25" i="12"/>
  <c r="L25" i="12" s="1"/>
  <c r="B25" i="12"/>
  <c r="Z24" i="12"/>
  <c r="X24" i="12"/>
  <c r="P24" i="12"/>
  <c r="N24" i="12"/>
  <c r="D24" i="12"/>
  <c r="L24" i="12" s="1"/>
  <c r="B24" i="12"/>
  <c r="Z23" i="12"/>
  <c r="P23" i="12"/>
  <c r="X23" i="12" s="1"/>
  <c r="N23" i="12"/>
  <c r="L23" i="12"/>
  <c r="D23" i="12"/>
  <c r="B23" i="12"/>
  <c r="Z22" i="12"/>
  <c r="P22" i="12"/>
  <c r="X22" i="12" s="1"/>
  <c r="N22" i="12"/>
  <c r="D22" i="12"/>
  <c r="L22" i="12" s="1"/>
  <c r="B22" i="12"/>
  <c r="Z21" i="12"/>
  <c r="X21" i="12"/>
  <c r="P21" i="12"/>
  <c r="N21" i="12"/>
  <c r="L21" i="12"/>
  <c r="D21" i="12"/>
  <c r="B21" i="12"/>
  <c r="Z20" i="12"/>
  <c r="X20" i="12"/>
  <c r="P20" i="12"/>
  <c r="N20" i="12"/>
  <c r="D20" i="12"/>
  <c r="L20" i="12" s="1"/>
  <c r="B20" i="12"/>
  <c r="Z19" i="12"/>
  <c r="P19" i="12"/>
  <c r="X19" i="12" s="1"/>
  <c r="N19" i="12"/>
  <c r="D19" i="12"/>
  <c r="L19" i="12" s="1"/>
  <c r="B19" i="12"/>
  <c r="Z18" i="12"/>
  <c r="X18" i="12"/>
  <c r="P18" i="12"/>
  <c r="N18" i="12"/>
  <c r="D18" i="12"/>
  <c r="L18" i="12" s="1"/>
  <c r="B18" i="12"/>
  <c r="Z17" i="12"/>
  <c r="X17" i="12"/>
  <c r="P17" i="12"/>
  <c r="N17" i="12"/>
  <c r="L17" i="12"/>
  <c r="D17" i="12"/>
  <c r="B17" i="12"/>
  <c r="Z16" i="12"/>
  <c r="P16" i="12"/>
  <c r="X16" i="12" s="1"/>
  <c r="N16" i="12"/>
  <c r="D16" i="12"/>
  <c r="L16" i="12" s="1"/>
  <c r="B16" i="12"/>
  <c r="Z15" i="12"/>
  <c r="P15" i="12"/>
  <c r="X15" i="12" s="1"/>
  <c r="N15" i="12"/>
  <c r="L15" i="12"/>
  <c r="D15" i="12"/>
  <c r="B15" i="12"/>
  <c r="Z14" i="12"/>
  <c r="X14" i="12"/>
  <c r="P14" i="12"/>
  <c r="N14" i="12"/>
  <c r="L14" i="12"/>
  <c r="D14" i="12"/>
  <c r="B14" i="12"/>
  <c r="P13" i="12"/>
  <c r="D13" i="12"/>
  <c r="B13" i="12"/>
  <c r="T12" i="12"/>
  <c r="V238" i="12" s="1"/>
  <c r="H12" i="12"/>
  <c r="J224" i="12" s="1"/>
  <c r="D4" i="12"/>
  <c r="Z105" i="9"/>
  <c r="X105" i="9"/>
  <c r="N105" i="9"/>
  <c r="L105" i="9"/>
  <c r="J105" i="9"/>
  <c r="Z101" i="9"/>
  <c r="P101" i="9"/>
  <c r="X101" i="9" s="1"/>
  <c r="N101" i="9"/>
  <c r="D101" i="9"/>
  <c r="L101" i="9" s="1"/>
  <c r="B101" i="9"/>
  <c r="Z100" i="9"/>
  <c r="P100" i="9"/>
  <c r="N100" i="9"/>
  <c r="D100" i="9"/>
  <c r="L100" i="9" s="1"/>
  <c r="B100" i="9"/>
  <c r="Z99" i="9"/>
  <c r="P99" i="9"/>
  <c r="X99" i="9" s="1"/>
  <c r="N99" i="9"/>
  <c r="L99" i="9"/>
  <c r="D99" i="9"/>
  <c r="D98" i="9" s="1"/>
  <c r="L98" i="9" s="1"/>
  <c r="B99" i="9"/>
  <c r="Z98" i="9"/>
  <c r="T98" i="9"/>
  <c r="H98" i="9"/>
  <c r="N98" i="9" s="1"/>
  <c r="Z96" i="9"/>
  <c r="X96" i="9"/>
  <c r="N96" i="9"/>
  <c r="L96" i="9"/>
  <c r="J96" i="9"/>
  <c r="B96" i="9"/>
  <c r="Z95" i="9"/>
  <c r="X95" i="9"/>
  <c r="N95" i="9"/>
  <c r="L95" i="9"/>
  <c r="B95" i="9"/>
  <c r="T94" i="9"/>
  <c r="P94" i="9"/>
  <c r="L94" i="9"/>
  <c r="N94" i="9" s="1"/>
  <c r="H94" i="9"/>
  <c r="D94" i="9"/>
  <c r="B94" i="9"/>
  <c r="Z93" i="9"/>
  <c r="X93" i="9"/>
  <c r="L93" i="9"/>
  <c r="N93" i="9" s="1"/>
  <c r="B93" i="9"/>
  <c r="V92" i="9"/>
  <c r="T92" i="9"/>
  <c r="P92" i="9"/>
  <c r="X92" i="9" s="1"/>
  <c r="H92" i="9"/>
  <c r="D92" i="9"/>
  <c r="B92" i="9"/>
  <c r="X91" i="9"/>
  <c r="Z91" i="9" s="1"/>
  <c r="N91" i="9"/>
  <c r="L91" i="9"/>
  <c r="B91" i="9"/>
  <c r="X90" i="9"/>
  <c r="Z90" i="9" s="1"/>
  <c r="N90" i="9"/>
  <c r="L90" i="9"/>
  <c r="B90" i="9"/>
  <c r="X89" i="9"/>
  <c r="Z89" i="9" s="1"/>
  <c r="T89" i="9"/>
  <c r="P89" i="9"/>
  <c r="L89" i="9"/>
  <c r="N89" i="9" s="1"/>
  <c r="H89" i="9"/>
  <c r="D89" i="9"/>
  <c r="B89" i="9"/>
  <c r="Z88" i="9"/>
  <c r="X88" i="9"/>
  <c r="N88" i="9"/>
  <c r="L88" i="9"/>
  <c r="J88" i="9"/>
  <c r="B88" i="9"/>
  <c r="Z87" i="9"/>
  <c r="X87" i="9"/>
  <c r="N87" i="9"/>
  <c r="L87" i="9"/>
  <c r="B87" i="9"/>
  <c r="X86" i="9"/>
  <c r="Z86" i="9" s="1"/>
  <c r="N86" i="9"/>
  <c r="L86" i="9"/>
  <c r="B86" i="9"/>
  <c r="Z85" i="9"/>
  <c r="X85" i="9"/>
  <c r="N85" i="9"/>
  <c r="L85" i="9"/>
  <c r="J85" i="9"/>
  <c r="B85" i="9"/>
  <c r="Z84" i="9"/>
  <c r="X84" i="9"/>
  <c r="L84" i="9"/>
  <c r="N84" i="9" s="1"/>
  <c r="J84" i="9"/>
  <c r="B84" i="9"/>
  <c r="X83" i="9"/>
  <c r="Z83" i="9" s="1"/>
  <c r="T83" i="9"/>
  <c r="P83" i="9"/>
  <c r="H83" i="9"/>
  <c r="D83" i="9"/>
  <c r="B83" i="9"/>
  <c r="Z82" i="9"/>
  <c r="X82" i="9"/>
  <c r="V82" i="9"/>
  <c r="L82" i="9"/>
  <c r="N82" i="9" s="1"/>
  <c r="B82" i="9"/>
  <c r="Z81" i="9"/>
  <c r="X81" i="9"/>
  <c r="L81" i="9"/>
  <c r="N81" i="9" s="1"/>
  <c r="B81" i="9"/>
  <c r="T80" i="9"/>
  <c r="P80" i="9"/>
  <c r="H80" i="9"/>
  <c r="D80" i="9"/>
  <c r="B80" i="9"/>
  <c r="X79" i="9"/>
  <c r="Z79" i="9" s="1"/>
  <c r="L79" i="9"/>
  <c r="N79" i="9" s="1"/>
  <c r="B79" i="9"/>
  <c r="X78" i="9"/>
  <c r="Z78" i="9" s="1"/>
  <c r="N78" i="9"/>
  <c r="L78" i="9"/>
  <c r="B78" i="9"/>
  <c r="X77" i="9"/>
  <c r="Z77" i="9" s="1"/>
  <c r="T77" i="9"/>
  <c r="P77" i="9"/>
  <c r="L77" i="9"/>
  <c r="N77" i="9" s="1"/>
  <c r="H77" i="9"/>
  <c r="D77" i="9"/>
  <c r="B77" i="9"/>
  <c r="Z76" i="9"/>
  <c r="X76" i="9"/>
  <c r="N76" i="9"/>
  <c r="L76" i="9"/>
  <c r="B76" i="9"/>
  <c r="X75" i="9"/>
  <c r="Z75" i="9" s="1"/>
  <c r="N75" i="9"/>
  <c r="L75" i="9"/>
  <c r="B75" i="9"/>
  <c r="X74" i="9"/>
  <c r="Z74" i="9" s="1"/>
  <c r="N74" i="9"/>
  <c r="L74" i="9"/>
  <c r="J74" i="9"/>
  <c r="B74" i="9"/>
  <c r="Z73" i="9"/>
  <c r="X73" i="9"/>
  <c r="N73" i="9"/>
  <c r="L73" i="9"/>
  <c r="J73" i="9"/>
  <c r="B73" i="9"/>
  <c r="X72" i="9"/>
  <c r="Z72" i="9" s="1"/>
  <c r="T72" i="9"/>
  <c r="P72" i="9"/>
  <c r="L72" i="9"/>
  <c r="N72" i="9" s="1"/>
  <c r="H72" i="9"/>
  <c r="D72" i="9"/>
  <c r="B72" i="9"/>
  <c r="Z71" i="9"/>
  <c r="X71" i="9"/>
  <c r="L71" i="9"/>
  <c r="N71" i="9" s="1"/>
  <c r="J71" i="9"/>
  <c r="B71" i="9"/>
  <c r="Z70" i="9"/>
  <c r="X70" i="9"/>
  <c r="L70" i="9"/>
  <c r="N70" i="9" s="1"/>
  <c r="B70" i="9"/>
  <c r="Z69" i="9"/>
  <c r="X69" i="9"/>
  <c r="L69" i="9"/>
  <c r="N69" i="9" s="1"/>
  <c r="B69" i="9"/>
  <c r="X68" i="9"/>
  <c r="Z68" i="9" s="1"/>
  <c r="N68" i="9"/>
  <c r="L68" i="9"/>
  <c r="J68" i="9"/>
  <c r="B68" i="9"/>
  <c r="T67" i="9"/>
  <c r="P67" i="9"/>
  <c r="X67" i="9" s="1"/>
  <c r="Z67" i="9" s="1"/>
  <c r="H67" i="9"/>
  <c r="D67" i="9"/>
  <c r="B67" i="9"/>
  <c r="X66" i="9"/>
  <c r="Z66" i="9" s="1"/>
  <c r="N66" i="9"/>
  <c r="L66" i="9"/>
  <c r="B66" i="9"/>
  <c r="X65" i="9"/>
  <c r="Z65" i="9" s="1"/>
  <c r="N65" i="9"/>
  <c r="L65" i="9"/>
  <c r="B65" i="9"/>
  <c r="X64" i="9"/>
  <c r="T64" i="9"/>
  <c r="P64" i="9"/>
  <c r="H64" i="9"/>
  <c r="D64" i="9"/>
  <c r="L64" i="9" s="1"/>
  <c r="B64" i="9"/>
  <c r="Z63" i="9"/>
  <c r="X63" i="9"/>
  <c r="N63" i="9"/>
  <c r="L63" i="9"/>
  <c r="B63" i="9"/>
  <c r="T62" i="9"/>
  <c r="P62" i="9"/>
  <c r="X62" i="9" s="1"/>
  <c r="Z62" i="9" s="1"/>
  <c r="L62" i="9"/>
  <c r="H62" i="9"/>
  <c r="N62" i="9" s="1"/>
  <c r="D62" i="9"/>
  <c r="B62" i="9"/>
  <c r="Z61" i="9"/>
  <c r="X61" i="9"/>
  <c r="V61" i="9"/>
  <c r="N61" i="9"/>
  <c r="L61" i="9"/>
  <c r="B61" i="9"/>
  <c r="Z60" i="9"/>
  <c r="X60" i="9"/>
  <c r="N60" i="9"/>
  <c r="L60" i="9"/>
  <c r="J60" i="9"/>
  <c r="B60" i="9"/>
  <c r="T59" i="9"/>
  <c r="P59" i="9"/>
  <c r="X59" i="9" s="1"/>
  <c r="Z59" i="9" s="1"/>
  <c r="J59" i="9"/>
  <c r="H59" i="9"/>
  <c r="D59" i="9"/>
  <c r="L59" i="9" s="1"/>
  <c r="N59" i="9" s="1"/>
  <c r="B59" i="9"/>
  <c r="X58" i="9"/>
  <c r="Z58" i="9" s="1"/>
  <c r="N58" i="9"/>
  <c r="L58" i="9"/>
  <c r="B58" i="9"/>
  <c r="Z57" i="9"/>
  <c r="X57" i="9"/>
  <c r="T57" i="9"/>
  <c r="P57" i="9"/>
  <c r="H57" i="9"/>
  <c r="D57" i="9"/>
  <c r="L57" i="9" s="1"/>
  <c r="N57" i="9" s="1"/>
  <c r="B57" i="9"/>
  <c r="Z56" i="9"/>
  <c r="X56" i="9"/>
  <c r="N56" i="9"/>
  <c r="L56" i="9"/>
  <c r="J56" i="9"/>
  <c r="B56" i="9"/>
  <c r="X55" i="9"/>
  <c r="T55" i="9"/>
  <c r="Z55" i="9" s="1"/>
  <c r="P55" i="9"/>
  <c r="L55" i="9"/>
  <c r="H55" i="9"/>
  <c r="N55" i="9" s="1"/>
  <c r="D55" i="9"/>
  <c r="B55" i="9"/>
  <c r="Z54" i="9"/>
  <c r="X54" i="9"/>
  <c r="L54" i="9"/>
  <c r="N54" i="9" s="1"/>
  <c r="J54" i="9"/>
  <c r="B54" i="9"/>
  <c r="Z53" i="9"/>
  <c r="X53" i="9"/>
  <c r="N53" i="9"/>
  <c r="L53" i="9"/>
  <c r="J53" i="9"/>
  <c r="B53" i="9"/>
  <c r="V52" i="9"/>
  <c r="T52" i="9"/>
  <c r="Z52" i="9" s="1"/>
  <c r="P52" i="9"/>
  <c r="X52" i="9" s="1"/>
  <c r="H52" i="9"/>
  <c r="D52" i="9"/>
  <c r="B52" i="9"/>
  <c r="Z51" i="9"/>
  <c r="X51" i="9"/>
  <c r="N51" i="9"/>
  <c r="L51" i="9"/>
  <c r="J51" i="9"/>
  <c r="B51" i="9"/>
  <c r="X50" i="9"/>
  <c r="Z50" i="9" s="1"/>
  <c r="N50" i="9"/>
  <c r="L50" i="9"/>
  <c r="B50" i="9"/>
  <c r="Z49" i="9"/>
  <c r="X49" i="9"/>
  <c r="V49" i="9"/>
  <c r="T49" i="9"/>
  <c r="P49" i="9"/>
  <c r="J49" i="9"/>
  <c r="H49" i="9"/>
  <c r="D49" i="9"/>
  <c r="L49" i="9" s="1"/>
  <c r="N49" i="9" s="1"/>
  <c r="B49" i="9"/>
  <c r="X48" i="9"/>
  <c r="Z48" i="9" s="1"/>
  <c r="N48" i="9"/>
  <c r="L48" i="9"/>
  <c r="J48" i="9"/>
  <c r="B48" i="9"/>
  <c r="T47" i="9"/>
  <c r="P47" i="9"/>
  <c r="H47" i="9"/>
  <c r="D47" i="9"/>
  <c r="B47" i="9"/>
  <c r="X46" i="9"/>
  <c r="Z46" i="9" s="1"/>
  <c r="V46" i="9"/>
  <c r="L46" i="9"/>
  <c r="N46" i="9" s="1"/>
  <c r="B46" i="9"/>
  <c r="T45" i="9"/>
  <c r="P45" i="9"/>
  <c r="J45" i="9"/>
  <c r="H45" i="9"/>
  <c r="D45" i="9"/>
  <c r="B45" i="9"/>
  <c r="X44" i="9"/>
  <c r="Z44" i="9" s="1"/>
  <c r="N44" i="9"/>
  <c r="L44" i="9"/>
  <c r="B44" i="9"/>
  <c r="Z43" i="9"/>
  <c r="X43" i="9"/>
  <c r="V43" i="9"/>
  <c r="T43" i="9"/>
  <c r="P43" i="9"/>
  <c r="J43" i="9"/>
  <c r="H43" i="9"/>
  <c r="D43" i="9"/>
  <c r="L43" i="9" s="1"/>
  <c r="N43" i="9" s="1"/>
  <c r="B43" i="9"/>
  <c r="Z42" i="9"/>
  <c r="X42" i="9"/>
  <c r="N42" i="9"/>
  <c r="L42" i="9"/>
  <c r="J42" i="9"/>
  <c r="B42" i="9"/>
  <c r="Z41" i="9"/>
  <c r="X41" i="9"/>
  <c r="N41" i="9"/>
  <c r="L41" i="9"/>
  <c r="B41" i="9"/>
  <c r="Z40" i="9"/>
  <c r="X40" i="9"/>
  <c r="N40" i="9"/>
  <c r="L40" i="9"/>
  <c r="J40" i="9"/>
  <c r="B40" i="9"/>
  <c r="Z39" i="9"/>
  <c r="X39" i="9"/>
  <c r="N39" i="9"/>
  <c r="L39" i="9"/>
  <c r="J39" i="9"/>
  <c r="B39" i="9"/>
  <c r="Z38" i="9"/>
  <c r="X38" i="9"/>
  <c r="N38" i="9"/>
  <c r="L38" i="9"/>
  <c r="B38" i="9"/>
  <c r="Z37" i="9"/>
  <c r="X37" i="9"/>
  <c r="N37" i="9"/>
  <c r="L37" i="9"/>
  <c r="J37" i="9"/>
  <c r="B37" i="9"/>
  <c r="X36" i="9"/>
  <c r="Z36" i="9" s="1"/>
  <c r="N36" i="9"/>
  <c r="L36" i="9"/>
  <c r="B36" i="9"/>
  <c r="Z35" i="9"/>
  <c r="X35" i="9"/>
  <c r="N35" i="9"/>
  <c r="L35" i="9"/>
  <c r="B35" i="9"/>
  <c r="X34" i="9"/>
  <c r="Z34" i="9" s="1"/>
  <c r="V34" i="9"/>
  <c r="N34" i="9"/>
  <c r="L34" i="9"/>
  <c r="J34" i="9"/>
  <c r="B34" i="9"/>
  <c r="X33" i="9"/>
  <c r="Z33" i="9" s="1"/>
  <c r="L33" i="9"/>
  <c r="N33" i="9" s="1"/>
  <c r="B33" i="9"/>
  <c r="T32" i="9"/>
  <c r="P32" i="9"/>
  <c r="X32" i="9" s="1"/>
  <c r="Z32" i="9" s="1"/>
  <c r="L32" i="9"/>
  <c r="J32" i="9"/>
  <c r="H32" i="9"/>
  <c r="N32" i="9" s="1"/>
  <c r="D32" i="9"/>
  <c r="B32" i="9"/>
  <c r="X31" i="9"/>
  <c r="Z31" i="9" s="1"/>
  <c r="N31" i="9"/>
  <c r="L31" i="9"/>
  <c r="J31" i="9"/>
  <c r="B31" i="9"/>
  <c r="Z30" i="9"/>
  <c r="X30" i="9"/>
  <c r="N30" i="9"/>
  <c r="L30" i="9"/>
  <c r="J30" i="9"/>
  <c r="B30" i="9"/>
  <c r="X29" i="9"/>
  <c r="Z29" i="9" s="1"/>
  <c r="L29" i="9"/>
  <c r="N29" i="9" s="1"/>
  <c r="B29" i="9"/>
  <c r="Z28" i="9"/>
  <c r="X28" i="9"/>
  <c r="N28" i="9"/>
  <c r="L28" i="9"/>
  <c r="J28" i="9"/>
  <c r="B28" i="9"/>
  <c r="Z27" i="9"/>
  <c r="X27" i="9"/>
  <c r="N27" i="9"/>
  <c r="L27" i="9"/>
  <c r="J27" i="9"/>
  <c r="B27" i="9"/>
  <c r="Z26" i="9"/>
  <c r="X26" i="9"/>
  <c r="N26" i="9"/>
  <c r="L26" i="9"/>
  <c r="J26" i="9"/>
  <c r="B26" i="9"/>
  <c r="X25" i="9"/>
  <c r="Z25" i="9" s="1"/>
  <c r="L25" i="9"/>
  <c r="N25" i="9" s="1"/>
  <c r="B25" i="9"/>
  <c r="Z24" i="9"/>
  <c r="X24" i="9"/>
  <c r="N24" i="9"/>
  <c r="L24" i="9"/>
  <c r="J24" i="9"/>
  <c r="B24" i="9"/>
  <c r="X23" i="9"/>
  <c r="Z23" i="9" s="1"/>
  <c r="N23" i="9"/>
  <c r="L23" i="9"/>
  <c r="J23" i="9"/>
  <c r="B23" i="9"/>
  <c r="Z22" i="9"/>
  <c r="X22" i="9"/>
  <c r="N22" i="9"/>
  <c r="L22" i="9"/>
  <c r="J22" i="9"/>
  <c r="B22" i="9"/>
  <c r="X21" i="9"/>
  <c r="Z21" i="9" s="1"/>
  <c r="L21" i="9"/>
  <c r="N21" i="9" s="1"/>
  <c r="B21" i="9"/>
  <c r="T20" i="9"/>
  <c r="X20" i="9" s="1"/>
  <c r="Z20" i="9" s="1"/>
  <c r="P20" i="9"/>
  <c r="J20" i="9"/>
  <c r="H20" i="9"/>
  <c r="D20" i="9"/>
  <c r="L20" i="9" s="1"/>
  <c r="N20" i="9" s="1"/>
  <c r="B20" i="9"/>
  <c r="T19" i="9"/>
  <c r="P19" i="9"/>
  <c r="H19" i="9"/>
  <c r="D19" i="9"/>
  <c r="T15" i="9"/>
  <c r="Z15" i="9" s="1"/>
  <c r="P15" i="9"/>
  <c r="X15" i="9" s="1"/>
  <c r="H15" i="9"/>
  <c r="N15" i="9" s="1"/>
  <c r="D15" i="9"/>
  <c r="L15" i="9" s="1"/>
  <c r="Z13" i="9"/>
  <c r="P13" i="9"/>
  <c r="P12" i="9" s="1"/>
  <c r="N13" i="9"/>
  <c r="D13" i="9"/>
  <c r="D12" i="9" s="1"/>
  <c r="B13" i="9"/>
  <c r="T12" i="9"/>
  <c r="V89" i="9" s="1"/>
  <c r="N12" i="9"/>
  <c r="H12" i="9"/>
  <c r="J89" i="9" s="1"/>
  <c r="D4" i="9"/>
  <c r="J31" i="6"/>
  <c r="T29" i="6"/>
  <c r="Z29" i="6" s="1"/>
  <c r="P29" i="6"/>
  <c r="X29" i="6" s="1"/>
  <c r="J29" i="6"/>
  <c r="H29" i="6"/>
  <c r="N29" i="6" s="1"/>
  <c r="D29" i="6"/>
  <c r="L29" i="6" s="1"/>
  <c r="T28" i="6"/>
  <c r="P28" i="6"/>
  <c r="X28" i="6" s="1"/>
  <c r="J28" i="6"/>
  <c r="H28" i="6"/>
  <c r="D28" i="6"/>
  <c r="L28" i="6" s="1"/>
  <c r="J26" i="6"/>
  <c r="Z24" i="6"/>
  <c r="X24" i="6"/>
  <c r="N24" i="6"/>
  <c r="L24" i="6"/>
  <c r="J24" i="6"/>
  <c r="X20" i="6"/>
  <c r="T20" i="6"/>
  <c r="Z20" i="6" s="1"/>
  <c r="P20" i="6"/>
  <c r="L20" i="6"/>
  <c r="H20" i="6"/>
  <c r="N20" i="6" s="1"/>
  <c r="D20" i="6"/>
  <c r="X18" i="6"/>
  <c r="T18" i="6"/>
  <c r="Z18" i="6" s="1"/>
  <c r="P18" i="6"/>
  <c r="L18" i="6"/>
  <c r="H18" i="6"/>
  <c r="N18" i="6" s="1"/>
  <c r="D18" i="6"/>
  <c r="X14" i="6"/>
  <c r="T14" i="6"/>
  <c r="Z14" i="6" s="1"/>
  <c r="P14" i="6"/>
  <c r="L14" i="6"/>
  <c r="H14" i="6"/>
  <c r="N14" i="6" s="1"/>
  <c r="D14" i="6"/>
  <c r="Z12" i="6"/>
  <c r="X12" i="6"/>
  <c r="T12" i="6"/>
  <c r="V31" i="6" s="1"/>
  <c r="P12" i="6"/>
  <c r="R22" i="6" s="1"/>
  <c r="H12" i="6"/>
  <c r="N12" i="6" s="1"/>
  <c r="D12" i="6"/>
  <c r="L12" i="6" s="1"/>
  <c r="D4" i="6"/>
  <c r="X281" i="3"/>
  <c r="V281" i="3"/>
  <c r="T281" i="3"/>
  <c r="Z281" i="3" s="1"/>
  <c r="P281" i="3"/>
  <c r="H281" i="3"/>
  <c r="D281" i="3"/>
  <c r="L281" i="3" s="1"/>
  <c r="N281" i="3" s="1"/>
  <c r="X280" i="3"/>
  <c r="V280" i="3"/>
  <c r="T280" i="3"/>
  <c r="Z280" i="3" s="1"/>
  <c r="P280" i="3"/>
  <c r="H280" i="3"/>
  <c r="D280" i="3"/>
  <c r="L280" i="3" s="1"/>
  <c r="N280" i="3" s="1"/>
  <c r="X276" i="3"/>
  <c r="Z276" i="3" s="1"/>
  <c r="V276" i="3"/>
  <c r="N276" i="3"/>
  <c r="L276" i="3"/>
  <c r="Z272" i="3"/>
  <c r="P272" i="3"/>
  <c r="X272" i="3" s="1"/>
  <c r="N272" i="3"/>
  <c r="L272" i="3"/>
  <c r="D272" i="3"/>
  <c r="B272" i="3"/>
  <c r="Z271" i="3"/>
  <c r="X271" i="3"/>
  <c r="P271" i="3"/>
  <c r="N271" i="3"/>
  <c r="J271" i="3"/>
  <c r="D271" i="3"/>
  <c r="L271" i="3" s="1"/>
  <c r="B271" i="3"/>
  <c r="P270" i="3"/>
  <c r="X270" i="3" s="1"/>
  <c r="Z270" i="3" s="1"/>
  <c r="D270" i="3"/>
  <c r="L270" i="3" s="1"/>
  <c r="N270" i="3" s="1"/>
  <c r="B270" i="3"/>
  <c r="Z269" i="3"/>
  <c r="X269" i="3"/>
  <c r="P269" i="3"/>
  <c r="N269" i="3"/>
  <c r="D269" i="3"/>
  <c r="L269" i="3" s="1"/>
  <c r="B269" i="3"/>
  <c r="P268" i="3"/>
  <c r="X268" i="3" s="1"/>
  <c r="Z268" i="3" s="1"/>
  <c r="L268" i="3"/>
  <c r="N268" i="3" s="1"/>
  <c r="D268" i="3"/>
  <c r="B268" i="3"/>
  <c r="X267" i="3"/>
  <c r="Z267" i="3" s="1"/>
  <c r="P267" i="3"/>
  <c r="N267" i="3"/>
  <c r="L267" i="3"/>
  <c r="D267" i="3"/>
  <c r="B267" i="3"/>
  <c r="Z266" i="3"/>
  <c r="P266" i="3"/>
  <c r="P264" i="3" s="1"/>
  <c r="X264" i="3" s="1"/>
  <c r="N266" i="3"/>
  <c r="L266" i="3"/>
  <c r="D266" i="3"/>
  <c r="B266" i="3"/>
  <c r="Z265" i="3"/>
  <c r="X265" i="3"/>
  <c r="P265" i="3"/>
  <c r="N265" i="3"/>
  <c r="D265" i="3"/>
  <c r="L265" i="3" s="1"/>
  <c r="B265" i="3"/>
  <c r="V264" i="3"/>
  <c r="T264" i="3"/>
  <c r="Z264" i="3" s="1"/>
  <c r="H264" i="3"/>
  <c r="X262" i="3"/>
  <c r="Z262" i="3" s="1"/>
  <c r="V262" i="3"/>
  <c r="N262" i="3"/>
  <c r="L262" i="3"/>
  <c r="B262" i="3"/>
  <c r="T261" i="3"/>
  <c r="Z261" i="3" s="1"/>
  <c r="P261" i="3"/>
  <c r="X261" i="3" s="1"/>
  <c r="L261" i="3"/>
  <c r="H261" i="3"/>
  <c r="N261" i="3" s="1"/>
  <c r="D261" i="3"/>
  <c r="B261" i="3"/>
  <c r="Z260" i="3"/>
  <c r="X260" i="3"/>
  <c r="N260" i="3"/>
  <c r="L260" i="3"/>
  <c r="J260" i="3"/>
  <c r="B260" i="3"/>
  <c r="X259" i="3"/>
  <c r="Z259" i="3" s="1"/>
  <c r="N259" i="3"/>
  <c r="L259" i="3"/>
  <c r="B259" i="3"/>
  <c r="Z258" i="3"/>
  <c r="X258" i="3"/>
  <c r="N258" i="3"/>
  <c r="L258" i="3"/>
  <c r="B258" i="3"/>
  <c r="X257" i="3"/>
  <c r="T257" i="3"/>
  <c r="Z257" i="3" s="1"/>
  <c r="P257" i="3"/>
  <c r="L257" i="3"/>
  <c r="H257" i="3"/>
  <c r="N257" i="3" s="1"/>
  <c r="D257" i="3"/>
  <c r="B257" i="3"/>
  <c r="Z256" i="3"/>
  <c r="X256" i="3"/>
  <c r="N256" i="3"/>
  <c r="L256" i="3"/>
  <c r="B256" i="3"/>
  <c r="T255" i="3"/>
  <c r="P255" i="3"/>
  <c r="X255" i="3" s="1"/>
  <c r="H255" i="3"/>
  <c r="N255" i="3" s="1"/>
  <c r="D255" i="3"/>
  <c r="L255" i="3" s="1"/>
  <c r="B255" i="3"/>
  <c r="X254" i="3"/>
  <c r="Z254" i="3" s="1"/>
  <c r="V254" i="3"/>
  <c r="N254" i="3"/>
  <c r="L254" i="3"/>
  <c r="B254" i="3"/>
  <c r="X253" i="3"/>
  <c r="Z253" i="3" s="1"/>
  <c r="L253" i="3"/>
  <c r="N253" i="3" s="1"/>
  <c r="B253" i="3"/>
  <c r="T252" i="3"/>
  <c r="P252" i="3"/>
  <c r="X252" i="3" s="1"/>
  <c r="Z252" i="3" s="1"/>
  <c r="L252" i="3"/>
  <c r="J252" i="3"/>
  <c r="H252" i="3"/>
  <c r="N252" i="3" s="1"/>
  <c r="D252" i="3"/>
  <c r="B252" i="3"/>
  <c r="X251" i="3"/>
  <c r="Z251" i="3" s="1"/>
  <c r="N251" i="3"/>
  <c r="L251" i="3"/>
  <c r="B251" i="3"/>
  <c r="Z250" i="3"/>
  <c r="X250" i="3"/>
  <c r="N250" i="3"/>
  <c r="L250" i="3"/>
  <c r="B250" i="3"/>
  <c r="Z249" i="3"/>
  <c r="X249" i="3"/>
  <c r="N249" i="3"/>
  <c r="L249" i="3"/>
  <c r="B249" i="3"/>
  <c r="Z248" i="3"/>
  <c r="X248" i="3"/>
  <c r="N248" i="3"/>
  <c r="L248" i="3"/>
  <c r="J248" i="3"/>
  <c r="B248" i="3"/>
  <c r="X247" i="3"/>
  <c r="Z247" i="3" s="1"/>
  <c r="N247" i="3"/>
  <c r="L247" i="3"/>
  <c r="B247" i="3"/>
  <c r="Z246" i="3"/>
  <c r="X246" i="3"/>
  <c r="N246" i="3"/>
  <c r="L246" i="3"/>
  <c r="B246" i="3"/>
  <c r="X245" i="3"/>
  <c r="Z245" i="3" s="1"/>
  <c r="L245" i="3"/>
  <c r="N245" i="3" s="1"/>
  <c r="B245" i="3"/>
  <c r="Z244" i="3"/>
  <c r="X244" i="3"/>
  <c r="N244" i="3"/>
  <c r="L244" i="3"/>
  <c r="J244" i="3"/>
  <c r="B244" i="3"/>
  <c r="X243" i="3"/>
  <c r="Z243" i="3" s="1"/>
  <c r="N243" i="3"/>
  <c r="L243" i="3"/>
  <c r="B243" i="3"/>
  <c r="Z242" i="3"/>
  <c r="X242" i="3"/>
  <c r="N242" i="3"/>
  <c r="L242" i="3"/>
  <c r="B242" i="3"/>
  <c r="X241" i="3"/>
  <c r="Z241" i="3" s="1"/>
  <c r="L241" i="3"/>
  <c r="N241" i="3" s="1"/>
  <c r="B241" i="3"/>
  <c r="T240" i="3"/>
  <c r="X240" i="3" s="1"/>
  <c r="Z240" i="3" s="1"/>
  <c r="P240" i="3"/>
  <c r="H240" i="3"/>
  <c r="D240" i="3"/>
  <c r="L240" i="3" s="1"/>
  <c r="N240" i="3" s="1"/>
  <c r="B240" i="3"/>
  <c r="X239" i="3"/>
  <c r="Z239" i="3" s="1"/>
  <c r="L239" i="3"/>
  <c r="N239" i="3" s="1"/>
  <c r="B239" i="3"/>
  <c r="Z238" i="3"/>
  <c r="X238" i="3"/>
  <c r="N238" i="3"/>
  <c r="L238" i="3"/>
  <c r="J238" i="3"/>
  <c r="B238" i="3"/>
  <c r="T237" i="3"/>
  <c r="P237" i="3"/>
  <c r="X237" i="3" s="1"/>
  <c r="H237" i="3"/>
  <c r="N237" i="3" s="1"/>
  <c r="D237" i="3"/>
  <c r="L237" i="3" s="1"/>
  <c r="B237" i="3"/>
  <c r="Z236" i="3"/>
  <c r="X236" i="3"/>
  <c r="N236" i="3"/>
  <c r="L236" i="3"/>
  <c r="B236" i="3"/>
  <c r="X235" i="3"/>
  <c r="Z235" i="3" s="1"/>
  <c r="L235" i="3"/>
  <c r="N235" i="3" s="1"/>
  <c r="B235" i="3"/>
  <c r="Z234" i="3"/>
  <c r="X234" i="3"/>
  <c r="V234" i="3"/>
  <c r="N234" i="3"/>
  <c r="L234" i="3"/>
  <c r="B234" i="3"/>
  <c r="X233" i="3"/>
  <c r="Z233" i="3" s="1"/>
  <c r="N233" i="3"/>
  <c r="L233" i="3"/>
  <c r="B233" i="3"/>
  <c r="Z232" i="3"/>
  <c r="X232" i="3"/>
  <c r="N232" i="3"/>
  <c r="L232" i="3"/>
  <c r="B232" i="3"/>
  <c r="X231" i="3"/>
  <c r="T231" i="3"/>
  <c r="Z231" i="3" s="1"/>
  <c r="P231" i="3"/>
  <c r="H231" i="3"/>
  <c r="D231" i="3"/>
  <c r="L231" i="3" s="1"/>
  <c r="B231" i="3"/>
  <c r="Z230" i="3"/>
  <c r="X230" i="3"/>
  <c r="N230" i="3"/>
  <c r="L230" i="3"/>
  <c r="B230" i="3"/>
  <c r="X229" i="3"/>
  <c r="Z229" i="3" s="1"/>
  <c r="L229" i="3"/>
  <c r="N229" i="3" s="1"/>
  <c r="B229" i="3"/>
  <c r="Z228" i="3"/>
  <c r="X228" i="3"/>
  <c r="N228" i="3"/>
  <c r="L228" i="3"/>
  <c r="J228" i="3"/>
  <c r="B228" i="3"/>
  <c r="X227" i="3"/>
  <c r="Z227" i="3" s="1"/>
  <c r="L227" i="3"/>
  <c r="N227" i="3" s="1"/>
  <c r="B227" i="3"/>
  <c r="T226" i="3"/>
  <c r="P226" i="3"/>
  <c r="X226" i="3" s="1"/>
  <c r="Z226" i="3" s="1"/>
  <c r="H226" i="3"/>
  <c r="L226" i="3" s="1"/>
  <c r="N226" i="3" s="1"/>
  <c r="D226" i="3"/>
  <c r="B226" i="3"/>
  <c r="X225" i="3"/>
  <c r="Z225" i="3" s="1"/>
  <c r="L225" i="3"/>
  <c r="N225" i="3" s="1"/>
  <c r="B225" i="3"/>
  <c r="Z224" i="3"/>
  <c r="X224" i="3"/>
  <c r="N224" i="3"/>
  <c r="L224" i="3"/>
  <c r="B224" i="3"/>
  <c r="X223" i="3"/>
  <c r="Z223" i="3" s="1"/>
  <c r="L223" i="3"/>
  <c r="N223" i="3" s="1"/>
  <c r="B223" i="3"/>
  <c r="Z222" i="3"/>
  <c r="X222" i="3"/>
  <c r="N222" i="3"/>
  <c r="L222" i="3"/>
  <c r="J222" i="3"/>
  <c r="B222" i="3"/>
  <c r="T221" i="3"/>
  <c r="Z221" i="3" s="1"/>
  <c r="P221" i="3"/>
  <c r="X221" i="3" s="1"/>
  <c r="H221" i="3"/>
  <c r="N221" i="3" s="1"/>
  <c r="D221" i="3"/>
  <c r="L221" i="3" s="1"/>
  <c r="B221" i="3"/>
  <c r="Z220" i="3"/>
  <c r="X220" i="3"/>
  <c r="N220" i="3"/>
  <c r="L220" i="3"/>
  <c r="B220" i="3"/>
  <c r="X219" i="3"/>
  <c r="T219" i="3"/>
  <c r="Z219" i="3" s="1"/>
  <c r="P219" i="3"/>
  <c r="H219" i="3"/>
  <c r="N219" i="3" s="1"/>
  <c r="D219" i="3"/>
  <c r="L219" i="3" s="1"/>
  <c r="B219" i="3"/>
  <c r="Z218" i="3"/>
  <c r="X218" i="3"/>
  <c r="N218" i="3"/>
  <c r="L218" i="3"/>
  <c r="B218" i="3"/>
  <c r="X217" i="3"/>
  <c r="T217" i="3"/>
  <c r="Z217" i="3" s="1"/>
  <c r="P217" i="3"/>
  <c r="L217" i="3"/>
  <c r="H217" i="3"/>
  <c r="N217" i="3" s="1"/>
  <c r="D217" i="3"/>
  <c r="B217" i="3"/>
  <c r="Z216" i="3"/>
  <c r="X216" i="3"/>
  <c r="N216" i="3"/>
  <c r="L216" i="3"/>
  <c r="B216" i="3"/>
  <c r="T215" i="3"/>
  <c r="P215" i="3"/>
  <c r="X215" i="3" s="1"/>
  <c r="H215" i="3"/>
  <c r="N215" i="3" s="1"/>
  <c r="D215" i="3"/>
  <c r="L215" i="3" s="1"/>
  <c r="B215" i="3"/>
  <c r="Z214" i="3"/>
  <c r="X214" i="3"/>
  <c r="V214" i="3"/>
  <c r="N214" i="3"/>
  <c r="L214" i="3"/>
  <c r="B214" i="3"/>
  <c r="X213" i="3"/>
  <c r="Z213" i="3" s="1"/>
  <c r="L213" i="3"/>
  <c r="N213" i="3" s="1"/>
  <c r="B213" i="3"/>
  <c r="T212" i="3"/>
  <c r="P212" i="3"/>
  <c r="X212" i="3" s="1"/>
  <c r="N212" i="3"/>
  <c r="L212" i="3"/>
  <c r="J212" i="3"/>
  <c r="H212" i="3"/>
  <c r="D212" i="3"/>
  <c r="B212" i="3"/>
  <c r="X211" i="3"/>
  <c r="Z211" i="3" s="1"/>
  <c r="L211" i="3"/>
  <c r="N211" i="3" s="1"/>
  <c r="B211" i="3"/>
  <c r="T210" i="3"/>
  <c r="P210" i="3"/>
  <c r="X210" i="3" s="1"/>
  <c r="Z210" i="3" s="1"/>
  <c r="H210" i="3"/>
  <c r="D210" i="3"/>
  <c r="L210" i="3" s="1"/>
  <c r="N210" i="3" s="1"/>
  <c r="B210" i="3"/>
  <c r="X209" i="3"/>
  <c r="Z209" i="3" s="1"/>
  <c r="L209" i="3"/>
  <c r="N209" i="3" s="1"/>
  <c r="B209" i="3"/>
  <c r="Z208" i="3"/>
  <c r="X208" i="3"/>
  <c r="T208" i="3"/>
  <c r="P208" i="3"/>
  <c r="H208" i="3"/>
  <c r="D208" i="3"/>
  <c r="L208" i="3" s="1"/>
  <c r="N208" i="3" s="1"/>
  <c r="B208" i="3"/>
  <c r="X207" i="3"/>
  <c r="Z207" i="3" s="1"/>
  <c r="L207" i="3"/>
  <c r="N207" i="3" s="1"/>
  <c r="B207" i="3"/>
  <c r="Z206" i="3"/>
  <c r="X206" i="3"/>
  <c r="V206" i="3"/>
  <c r="N206" i="3"/>
  <c r="L206" i="3"/>
  <c r="B206" i="3"/>
  <c r="X205" i="3"/>
  <c r="Z205" i="3" s="1"/>
  <c r="L205" i="3"/>
  <c r="N205" i="3" s="1"/>
  <c r="B205" i="3"/>
  <c r="T204" i="3"/>
  <c r="Z204" i="3" s="1"/>
  <c r="P204" i="3"/>
  <c r="X204" i="3" s="1"/>
  <c r="N204" i="3"/>
  <c r="L204" i="3"/>
  <c r="J204" i="3"/>
  <c r="H204" i="3"/>
  <c r="D204" i="3"/>
  <c r="B204" i="3"/>
  <c r="X203" i="3"/>
  <c r="Z203" i="3" s="1"/>
  <c r="L203" i="3"/>
  <c r="N203" i="3" s="1"/>
  <c r="B203" i="3"/>
  <c r="Z202" i="3"/>
  <c r="X202" i="3"/>
  <c r="N202" i="3"/>
  <c r="L202" i="3"/>
  <c r="B202" i="3"/>
  <c r="X201" i="3"/>
  <c r="T201" i="3"/>
  <c r="Z201" i="3" s="1"/>
  <c r="P201" i="3"/>
  <c r="L201" i="3"/>
  <c r="H201" i="3"/>
  <c r="N201" i="3" s="1"/>
  <c r="D201" i="3"/>
  <c r="B201" i="3"/>
  <c r="Z200" i="3"/>
  <c r="X200" i="3"/>
  <c r="N200" i="3"/>
  <c r="L200" i="3"/>
  <c r="B200" i="3"/>
  <c r="T199" i="3"/>
  <c r="P199" i="3"/>
  <c r="X199" i="3" s="1"/>
  <c r="H199" i="3"/>
  <c r="D199" i="3"/>
  <c r="L199" i="3" s="1"/>
  <c r="B199" i="3"/>
  <c r="Z198" i="3"/>
  <c r="X198" i="3"/>
  <c r="V198" i="3"/>
  <c r="N198" i="3"/>
  <c r="L198" i="3"/>
  <c r="B198" i="3"/>
  <c r="T197" i="3"/>
  <c r="Z197" i="3" s="1"/>
  <c r="P197" i="3"/>
  <c r="X197" i="3" s="1"/>
  <c r="L197" i="3"/>
  <c r="H197" i="3"/>
  <c r="N197" i="3" s="1"/>
  <c r="D197" i="3"/>
  <c r="B197" i="3"/>
  <c r="Z196" i="3"/>
  <c r="X196" i="3"/>
  <c r="N196" i="3"/>
  <c r="L196" i="3"/>
  <c r="J196" i="3"/>
  <c r="B196" i="3"/>
  <c r="Z195" i="3"/>
  <c r="X195" i="3"/>
  <c r="N195" i="3"/>
  <c r="L195" i="3"/>
  <c r="B195" i="3"/>
  <c r="T194" i="3"/>
  <c r="P194" i="3"/>
  <c r="X194" i="3" s="1"/>
  <c r="Z194" i="3" s="1"/>
  <c r="H194" i="3"/>
  <c r="D194" i="3"/>
  <c r="L194" i="3" s="1"/>
  <c r="N194" i="3" s="1"/>
  <c r="B194" i="3"/>
  <c r="Z193" i="3"/>
  <c r="X193" i="3"/>
  <c r="N193" i="3"/>
  <c r="L193" i="3"/>
  <c r="B193" i="3"/>
  <c r="Z192" i="3"/>
  <c r="X192" i="3"/>
  <c r="N192" i="3"/>
  <c r="L192" i="3"/>
  <c r="B192" i="3"/>
  <c r="T191" i="3"/>
  <c r="Z191" i="3" s="1"/>
  <c r="P191" i="3"/>
  <c r="X191" i="3" s="1"/>
  <c r="H191" i="3"/>
  <c r="N191" i="3" s="1"/>
  <c r="D191" i="3"/>
  <c r="L191" i="3" s="1"/>
  <c r="B191" i="3"/>
  <c r="Z190" i="3"/>
  <c r="X190" i="3"/>
  <c r="V190" i="3"/>
  <c r="N190" i="3"/>
  <c r="L190" i="3"/>
  <c r="B190" i="3"/>
  <c r="X189" i="3"/>
  <c r="Z189" i="3" s="1"/>
  <c r="L189" i="3"/>
  <c r="N189" i="3" s="1"/>
  <c r="B189" i="3"/>
  <c r="Z188" i="3"/>
  <c r="X188" i="3"/>
  <c r="N188" i="3"/>
  <c r="L188" i="3"/>
  <c r="B188" i="3"/>
  <c r="X187" i="3"/>
  <c r="T187" i="3"/>
  <c r="Z187" i="3" s="1"/>
  <c r="P187" i="3"/>
  <c r="H187" i="3"/>
  <c r="N187" i="3" s="1"/>
  <c r="D187" i="3"/>
  <c r="L187" i="3" s="1"/>
  <c r="B187" i="3"/>
  <c r="Z186" i="3"/>
  <c r="X186" i="3"/>
  <c r="N186" i="3"/>
  <c r="L186" i="3"/>
  <c r="B186" i="3"/>
  <c r="X185" i="3"/>
  <c r="T185" i="3"/>
  <c r="Z185" i="3" s="1"/>
  <c r="P185" i="3"/>
  <c r="L185" i="3"/>
  <c r="H185" i="3"/>
  <c r="N185" i="3" s="1"/>
  <c r="D185" i="3"/>
  <c r="B185" i="3"/>
  <c r="Z184" i="3"/>
  <c r="X184" i="3"/>
  <c r="N184" i="3"/>
  <c r="L184" i="3"/>
  <c r="B184" i="3"/>
  <c r="X183" i="3"/>
  <c r="Z183" i="3" s="1"/>
  <c r="L183" i="3"/>
  <c r="N183" i="3" s="1"/>
  <c r="B183" i="3"/>
  <c r="T182" i="3"/>
  <c r="P182" i="3"/>
  <c r="X182" i="3" s="1"/>
  <c r="Z182" i="3" s="1"/>
  <c r="N182" i="3"/>
  <c r="L182" i="3"/>
  <c r="J182" i="3"/>
  <c r="H182" i="3"/>
  <c r="D182" i="3"/>
  <c r="B182" i="3"/>
  <c r="X181" i="3"/>
  <c r="Z181" i="3" s="1"/>
  <c r="L181" i="3"/>
  <c r="N181" i="3" s="1"/>
  <c r="B181" i="3"/>
  <c r="T180" i="3"/>
  <c r="P180" i="3"/>
  <c r="X180" i="3" s="1"/>
  <c r="Z180" i="3" s="1"/>
  <c r="N180" i="3"/>
  <c r="L180" i="3"/>
  <c r="J180" i="3"/>
  <c r="H180" i="3"/>
  <c r="D180" i="3"/>
  <c r="B180" i="3"/>
  <c r="Z179" i="3"/>
  <c r="X179" i="3"/>
  <c r="N179" i="3"/>
  <c r="L179" i="3"/>
  <c r="B179" i="3"/>
  <c r="Z178" i="3"/>
  <c r="X178" i="3"/>
  <c r="N178" i="3"/>
  <c r="L178" i="3"/>
  <c r="B178" i="3"/>
  <c r="X177" i="3"/>
  <c r="Z177" i="3" s="1"/>
  <c r="L177" i="3"/>
  <c r="N177" i="3" s="1"/>
  <c r="B177" i="3"/>
  <c r="Z176" i="3"/>
  <c r="X176" i="3"/>
  <c r="N176" i="3"/>
  <c r="L176" i="3"/>
  <c r="J176" i="3"/>
  <c r="B176" i="3"/>
  <c r="Z175" i="3"/>
  <c r="X175" i="3"/>
  <c r="N175" i="3"/>
  <c r="L175" i="3"/>
  <c r="B175" i="3"/>
  <c r="Z174" i="3"/>
  <c r="X174" i="3"/>
  <c r="N174" i="3"/>
  <c r="L174" i="3"/>
  <c r="B174" i="3"/>
  <c r="X173" i="3"/>
  <c r="Z173" i="3" s="1"/>
  <c r="L173" i="3"/>
  <c r="N173" i="3" s="1"/>
  <c r="B173" i="3"/>
  <c r="Z172" i="3"/>
  <c r="X172" i="3"/>
  <c r="N172" i="3"/>
  <c r="L172" i="3"/>
  <c r="J172" i="3"/>
  <c r="B172" i="3"/>
  <c r="X171" i="3"/>
  <c r="Z171" i="3" s="1"/>
  <c r="L171" i="3"/>
  <c r="N171" i="3" s="1"/>
  <c r="B171" i="3"/>
  <c r="Z170" i="3"/>
  <c r="X170" i="3"/>
  <c r="N170" i="3"/>
  <c r="L170" i="3"/>
  <c r="B170" i="3"/>
  <c r="X169" i="3"/>
  <c r="T169" i="3"/>
  <c r="Z169" i="3" s="1"/>
  <c r="P169" i="3"/>
  <c r="L169" i="3"/>
  <c r="H169" i="3"/>
  <c r="N169" i="3" s="1"/>
  <c r="D169" i="3"/>
  <c r="B169" i="3"/>
  <c r="Z168" i="3"/>
  <c r="X168" i="3"/>
  <c r="N168" i="3"/>
  <c r="L168" i="3"/>
  <c r="B168" i="3"/>
  <c r="X167" i="3"/>
  <c r="Z167" i="3" s="1"/>
  <c r="L167" i="3"/>
  <c r="N167" i="3" s="1"/>
  <c r="B167" i="3"/>
  <c r="Z166" i="3"/>
  <c r="X166" i="3"/>
  <c r="N166" i="3"/>
  <c r="L166" i="3"/>
  <c r="J166" i="3"/>
  <c r="B166" i="3"/>
  <c r="Z165" i="3"/>
  <c r="X165" i="3"/>
  <c r="N165" i="3"/>
  <c r="L165" i="3"/>
  <c r="B165" i="3"/>
  <c r="Z164" i="3"/>
  <c r="X164" i="3"/>
  <c r="N164" i="3"/>
  <c r="L164" i="3"/>
  <c r="B164" i="3"/>
  <c r="X163" i="3"/>
  <c r="Z163" i="3" s="1"/>
  <c r="L163" i="3"/>
  <c r="N163" i="3" s="1"/>
  <c r="B163" i="3"/>
  <c r="Z162" i="3"/>
  <c r="X162" i="3"/>
  <c r="N162" i="3"/>
  <c r="L162" i="3"/>
  <c r="J162" i="3"/>
  <c r="B162" i="3"/>
  <c r="X161" i="3"/>
  <c r="Z161" i="3" s="1"/>
  <c r="L161" i="3"/>
  <c r="N161" i="3" s="1"/>
  <c r="B161" i="3"/>
  <c r="Z160" i="3"/>
  <c r="X160" i="3"/>
  <c r="N160" i="3"/>
  <c r="L160" i="3"/>
  <c r="B160" i="3"/>
  <c r="X159" i="3"/>
  <c r="Z159" i="3" s="1"/>
  <c r="L159" i="3"/>
  <c r="N159" i="3" s="1"/>
  <c r="B159" i="3"/>
  <c r="T158" i="3"/>
  <c r="P158" i="3"/>
  <c r="X158" i="3" s="1"/>
  <c r="Z158" i="3" s="1"/>
  <c r="N158" i="3"/>
  <c r="L158" i="3"/>
  <c r="J158" i="3"/>
  <c r="H158" i="3"/>
  <c r="D158" i="3"/>
  <c r="B158" i="3"/>
  <c r="T157" i="3"/>
  <c r="P157" i="3"/>
  <c r="H157" i="3"/>
  <c r="D157" i="3"/>
  <c r="L157" i="3" s="1"/>
  <c r="Z153" i="3"/>
  <c r="X153" i="3"/>
  <c r="N153" i="3"/>
  <c r="L153" i="3"/>
  <c r="B153" i="3"/>
  <c r="Z152" i="3"/>
  <c r="X152" i="3"/>
  <c r="N152" i="3"/>
  <c r="L152" i="3"/>
  <c r="B152" i="3"/>
  <c r="Z151" i="3"/>
  <c r="X151" i="3"/>
  <c r="N151" i="3"/>
  <c r="L151" i="3"/>
  <c r="B151" i="3"/>
  <c r="Z150" i="3"/>
  <c r="X150" i="3"/>
  <c r="V150" i="3"/>
  <c r="N150" i="3"/>
  <c r="L150" i="3"/>
  <c r="B150" i="3"/>
  <c r="Z149" i="3"/>
  <c r="X149" i="3"/>
  <c r="N149" i="3"/>
  <c r="L149" i="3"/>
  <c r="B149" i="3"/>
  <c r="Z148" i="3"/>
  <c r="X148" i="3"/>
  <c r="N148" i="3"/>
  <c r="L148" i="3"/>
  <c r="B148" i="3"/>
  <c r="Z147" i="3"/>
  <c r="X147" i="3"/>
  <c r="N147" i="3"/>
  <c r="L147" i="3"/>
  <c r="B147" i="3"/>
  <c r="Z146" i="3"/>
  <c r="X146" i="3"/>
  <c r="V146" i="3"/>
  <c r="N146" i="3"/>
  <c r="L146" i="3"/>
  <c r="B146" i="3"/>
  <c r="Z145" i="3"/>
  <c r="X145" i="3"/>
  <c r="N145" i="3"/>
  <c r="L145" i="3"/>
  <c r="B145" i="3"/>
  <c r="Z144" i="3"/>
  <c r="X144" i="3"/>
  <c r="N144" i="3"/>
  <c r="L144" i="3"/>
  <c r="B144" i="3"/>
  <c r="Z143" i="3"/>
  <c r="X143" i="3"/>
  <c r="N143" i="3"/>
  <c r="L143" i="3"/>
  <c r="B143" i="3"/>
  <c r="Z142" i="3"/>
  <c r="X142" i="3"/>
  <c r="V142" i="3"/>
  <c r="N142" i="3"/>
  <c r="L142" i="3"/>
  <c r="B142" i="3"/>
  <c r="Z141" i="3"/>
  <c r="X141" i="3"/>
  <c r="N141" i="3"/>
  <c r="L141" i="3"/>
  <c r="B141" i="3"/>
  <c r="Z140" i="3"/>
  <c r="X140" i="3"/>
  <c r="N140" i="3"/>
  <c r="L140" i="3"/>
  <c r="B140" i="3"/>
  <c r="Z139" i="3"/>
  <c r="X139" i="3"/>
  <c r="N139" i="3"/>
  <c r="L139" i="3"/>
  <c r="B139" i="3"/>
  <c r="Z138" i="3"/>
  <c r="X138" i="3"/>
  <c r="V138" i="3"/>
  <c r="N138" i="3"/>
  <c r="L138" i="3"/>
  <c r="B138" i="3"/>
  <c r="Z137" i="3"/>
  <c r="X137" i="3"/>
  <c r="N137" i="3"/>
  <c r="L137" i="3"/>
  <c r="B137" i="3"/>
  <c r="Z136" i="3"/>
  <c r="X136" i="3"/>
  <c r="N136" i="3"/>
  <c r="L136" i="3"/>
  <c r="B136" i="3"/>
  <c r="Z135" i="3"/>
  <c r="X135" i="3"/>
  <c r="N135" i="3"/>
  <c r="L135" i="3"/>
  <c r="B135" i="3"/>
  <c r="Z134" i="3"/>
  <c r="X134" i="3"/>
  <c r="V134" i="3"/>
  <c r="N134" i="3"/>
  <c r="L134" i="3"/>
  <c r="B134" i="3"/>
  <c r="Z133" i="3"/>
  <c r="X133" i="3"/>
  <c r="N133" i="3"/>
  <c r="L133" i="3"/>
  <c r="B133" i="3"/>
  <c r="Z132" i="3"/>
  <c r="X132" i="3"/>
  <c r="N132" i="3"/>
  <c r="L132" i="3"/>
  <c r="B132" i="3"/>
  <c r="Z131" i="3"/>
  <c r="X131" i="3"/>
  <c r="N131" i="3"/>
  <c r="L131" i="3"/>
  <c r="B131" i="3"/>
  <c r="Z130" i="3"/>
  <c r="X130" i="3"/>
  <c r="V130" i="3"/>
  <c r="N130" i="3"/>
  <c r="L130" i="3"/>
  <c r="B130" i="3"/>
  <c r="Z129" i="3"/>
  <c r="X129" i="3"/>
  <c r="N129" i="3"/>
  <c r="L129" i="3"/>
  <c r="B129" i="3"/>
  <c r="Z128" i="3"/>
  <c r="X128" i="3"/>
  <c r="N128" i="3"/>
  <c r="L128" i="3"/>
  <c r="B128" i="3"/>
  <c r="Z127" i="3"/>
  <c r="X127" i="3"/>
  <c r="N127" i="3"/>
  <c r="L127" i="3"/>
  <c r="B127" i="3"/>
  <c r="Z126" i="3"/>
  <c r="X126" i="3"/>
  <c r="V126" i="3"/>
  <c r="N126" i="3"/>
  <c r="L126" i="3"/>
  <c r="B126" i="3"/>
  <c r="Z125" i="3"/>
  <c r="X125" i="3"/>
  <c r="N125" i="3"/>
  <c r="L125" i="3"/>
  <c r="B125" i="3"/>
  <c r="Z124" i="3"/>
  <c r="X124" i="3"/>
  <c r="N124" i="3"/>
  <c r="L124" i="3"/>
  <c r="B124" i="3"/>
  <c r="Z123" i="3"/>
  <c r="X123" i="3"/>
  <c r="N123" i="3"/>
  <c r="L123" i="3"/>
  <c r="B123" i="3"/>
  <c r="Z122" i="3"/>
  <c r="X122" i="3"/>
  <c r="V122" i="3"/>
  <c r="N122" i="3"/>
  <c r="L122" i="3"/>
  <c r="B122" i="3"/>
  <c r="Z121" i="3"/>
  <c r="X121" i="3"/>
  <c r="N121" i="3"/>
  <c r="L121" i="3"/>
  <c r="B121" i="3"/>
  <c r="Z120" i="3"/>
  <c r="X120" i="3"/>
  <c r="N120" i="3"/>
  <c r="L120" i="3"/>
  <c r="B120" i="3"/>
  <c r="Z119" i="3"/>
  <c r="X119" i="3"/>
  <c r="N119" i="3"/>
  <c r="L119" i="3"/>
  <c r="B119" i="3"/>
  <c r="Z118" i="3"/>
  <c r="X118" i="3"/>
  <c r="V118" i="3"/>
  <c r="N118" i="3"/>
  <c r="L118" i="3"/>
  <c r="B118" i="3"/>
  <c r="Z117" i="3"/>
  <c r="X117" i="3"/>
  <c r="N117" i="3"/>
  <c r="L117" i="3"/>
  <c r="B117" i="3"/>
  <c r="Z116" i="3"/>
  <c r="X116" i="3"/>
  <c r="N116" i="3"/>
  <c r="L116" i="3"/>
  <c r="B116" i="3"/>
  <c r="Z115" i="3"/>
  <c r="X115" i="3"/>
  <c r="N115" i="3"/>
  <c r="L115" i="3"/>
  <c r="B115" i="3"/>
  <c r="Z114" i="3"/>
  <c r="X114" i="3"/>
  <c r="V114" i="3"/>
  <c r="N114" i="3"/>
  <c r="L114" i="3"/>
  <c r="B114" i="3"/>
  <c r="Z113" i="3"/>
  <c r="X113" i="3"/>
  <c r="N113" i="3"/>
  <c r="L113" i="3"/>
  <c r="B113" i="3"/>
  <c r="Z112" i="3"/>
  <c r="X112" i="3"/>
  <c r="N112" i="3"/>
  <c r="L112" i="3"/>
  <c r="B112" i="3"/>
  <c r="Z111" i="3"/>
  <c r="X111" i="3"/>
  <c r="N111" i="3"/>
  <c r="L111" i="3"/>
  <c r="B111" i="3"/>
  <c r="Z110" i="3"/>
  <c r="X110" i="3"/>
  <c r="V110" i="3"/>
  <c r="N110" i="3"/>
  <c r="L110" i="3"/>
  <c r="B110" i="3"/>
  <c r="Z109" i="3"/>
  <c r="X109" i="3"/>
  <c r="N109" i="3"/>
  <c r="L109" i="3"/>
  <c r="B109" i="3"/>
  <c r="Z108" i="3"/>
  <c r="X108" i="3"/>
  <c r="N108" i="3"/>
  <c r="L108" i="3"/>
  <c r="B108" i="3"/>
  <c r="Z107" i="3"/>
  <c r="X107" i="3"/>
  <c r="N107" i="3"/>
  <c r="L107" i="3"/>
  <c r="B107" i="3"/>
  <c r="Z106" i="3"/>
  <c r="X106" i="3"/>
  <c r="V106" i="3"/>
  <c r="N106" i="3"/>
  <c r="L106" i="3"/>
  <c r="B106" i="3"/>
  <c r="Z105" i="3"/>
  <c r="X105" i="3"/>
  <c r="N105" i="3"/>
  <c r="L105" i="3"/>
  <c r="B105" i="3"/>
  <c r="Z104" i="3"/>
  <c r="X104" i="3"/>
  <c r="N104" i="3"/>
  <c r="L104" i="3"/>
  <c r="B104" i="3"/>
  <c r="X103" i="3"/>
  <c r="T103" i="3"/>
  <c r="Z103" i="3" s="1"/>
  <c r="P103" i="3"/>
  <c r="H103" i="3"/>
  <c r="D103" i="3"/>
  <c r="L103" i="3" s="1"/>
  <c r="Z101" i="3"/>
  <c r="X101" i="3"/>
  <c r="P101" i="3"/>
  <c r="N101" i="3"/>
  <c r="D101" i="3"/>
  <c r="L101" i="3" s="1"/>
  <c r="B101" i="3"/>
  <c r="Z100" i="3"/>
  <c r="P100" i="3"/>
  <c r="X100" i="3" s="1"/>
  <c r="N100" i="3"/>
  <c r="L100" i="3"/>
  <c r="D100" i="3"/>
  <c r="B100" i="3"/>
  <c r="Z99" i="3"/>
  <c r="X99" i="3"/>
  <c r="P99" i="3"/>
  <c r="N99" i="3"/>
  <c r="D99" i="3"/>
  <c r="L99" i="3" s="1"/>
  <c r="B99" i="3"/>
  <c r="Z98" i="3"/>
  <c r="P98" i="3"/>
  <c r="X98" i="3" s="1"/>
  <c r="N98" i="3"/>
  <c r="L98" i="3"/>
  <c r="D98" i="3"/>
  <c r="B98" i="3"/>
  <c r="Z97" i="3"/>
  <c r="X97" i="3"/>
  <c r="P97" i="3"/>
  <c r="N97" i="3"/>
  <c r="D97" i="3"/>
  <c r="L97" i="3" s="1"/>
  <c r="B97" i="3"/>
  <c r="Z96" i="3"/>
  <c r="P96" i="3"/>
  <c r="X96" i="3" s="1"/>
  <c r="N96" i="3"/>
  <c r="L96" i="3"/>
  <c r="D96" i="3"/>
  <c r="B96" i="3"/>
  <c r="Z95" i="3"/>
  <c r="X95" i="3"/>
  <c r="P95" i="3"/>
  <c r="N95" i="3"/>
  <c r="D95" i="3"/>
  <c r="L95" i="3" s="1"/>
  <c r="B95" i="3"/>
  <c r="Z94" i="3"/>
  <c r="P94" i="3"/>
  <c r="X94" i="3" s="1"/>
  <c r="N94" i="3"/>
  <c r="L94" i="3"/>
  <c r="D94" i="3"/>
  <c r="B94" i="3"/>
  <c r="Z93" i="3"/>
  <c r="X93" i="3"/>
  <c r="P93" i="3"/>
  <c r="N93" i="3"/>
  <c r="D93" i="3"/>
  <c r="L93" i="3" s="1"/>
  <c r="B93" i="3"/>
  <c r="Z92" i="3"/>
  <c r="P92" i="3"/>
  <c r="X92" i="3" s="1"/>
  <c r="N92" i="3"/>
  <c r="L92" i="3"/>
  <c r="D92" i="3"/>
  <c r="B92" i="3"/>
  <c r="Z91" i="3"/>
  <c r="X91" i="3"/>
  <c r="P91" i="3"/>
  <c r="N91" i="3"/>
  <c r="D91" i="3"/>
  <c r="L91" i="3" s="1"/>
  <c r="B91" i="3"/>
  <c r="Z90" i="3"/>
  <c r="P90" i="3"/>
  <c r="X90" i="3" s="1"/>
  <c r="N90" i="3"/>
  <c r="L90" i="3"/>
  <c r="D90" i="3"/>
  <c r="B90" i="3"/>
  <c r="Z89" i="3"/>
  <c r="X89" i="3"/>
  <c r="P89" i="3"/>
  <c r="N89" i="3"/>
  <c r="D89" i="3"/>
  <c r="L89" i="3" s="1"/>
  <c r="B89" i="3"/>
  <c r="Z88" i="3"/>
  <c r="P88" i="3"/>
  <c r="X88" i="3" s="1"/>
  <c r="N88" i="3"/>
  <c r="L88" i="3"/>
  <c r="D88" i="3"/>
  <c r="B88" i="3"/>
  <c r="Z87" i="3"/>
  <c r="X87" i="3"/>
  <c r="P87" i="3"/>
  <c r="N87" i="3"/>
  <c r="D87" i="3"/>
  <c r="L87" i="3" s="1"/>
  <c r="B87" i="3"/>
  <c r="Z86" i="3"/>
  <c r="P86" i="3"/>
  <c r="X86" i="3" s="1"/>
  <c r="N86" i="3"/>
  <c r="L86" i="3"/>
  <c r="D86" i="3"/>
  <c r="B86" i="3"/>
  <c r="Z85" i="3"/>
  <c r="X85" i="3"/>
  <c r="P85" i="3"/>
  <c r="N85" i="3"/>
  <c r="D85" i="3"/>
  <c r="L85" i="3" s="1"/>
  <c r="B85" i="3"/>
  <c r="Z84" i="3"/>
  <c r="P84" i="3"/>
  <c r="X84" i="3" s="1"/>
  <c r="N84" i="3"/>
  <c r="L84" i="3"/>
  <c r="D84" i="3"/>
  <c r="B84" i="3"/>
  <c r="Z83" i="3"/>
  <c r="X83" i="3"/>
  <c r="P83" i="3"/>
  <c r="N83" i="3"/>
  <c r="D83" i="3"/>
  <c r="L83" i="3" s="1"/>
  <c r="B83" i="3"/>
  <c r="Z82" i="3"/>
  <c r="P82" i="3"/>
  <c r="X82" i="3" s="1"/>
  <c r="N82" i="3"/>
  <c r="L82" i="3"/>
  <c r="D82" i="3"/>
  <c r="B82" i="3"/>
  <c r="Z81" i="3"/>
  <c r="X81" i="3"/>
  <c r="P81" i="3"/>
  <c r="N81" i="3"/>
  <c r="D81" i="3"/>
  <c r="L81" i="3" s="1"/>
  <c r="B81" i="3"/>
  <c r="Z80" i="3"/>
  <c r="P80" i="3"/>
  <c r="X80" i="3" s="1"/>
  <c r="N80" i="3"/>
  <c r="L80" i="3"/>
  <c r="D80" i="3"/>
  <c r="B80" i="3"/>
  <c r="Z79" i="3"/>
  <c r="X79" i="3"/>
  <c r="P79" i="3"/>
  <c r="N79" i="3"/>
  <c r="D79" i="3"/>
  <c r="L79" i="3" s="1"/>
  <c r="B79" i="3"/>
  <c r="Z78" i="3"/>
  <c r="P78" i="3"/>
  <c r="X78" i="3" s="1"/>
  <c r="N78" i="3"/>
  <c r="L78" i="3"/>
  <c r="D78" i="3"/>
  <c r="B78" i="3"/>
  <c r="Z77" i="3"/>
  <c r="X77" i="3"/>
  <c r="P77" i="3"/>
  <c r="N77" i="3"/>
  <c r="D77" i="3"/>
  <c r="L77" i="3" s="1"/>
  <c r="B77" i="3"/>
  <c r="Z76" i="3"/>
  <c r="P76" i="3"/>
  <c r="X76" i="3" s="1"/>
  <c r="N76" i="3"/>
  <c r="L76" i="3"/>
  <c r="D76" i="3"/>
  <c r="B76" i="3"/>
  <c r="Z75" i="3"/>
  <c r="X75" i="3"/>
  <c r="P75" i="3"/>
  <c r="N75" i="3"/>
  <c r="D75" i="3"/>
  <c r="L75" i="3" s="1"/>
  <c r="B75" i="3"/>
  <c r="Z74" i="3"/>
  <c r="P74" i="3"/>
  <c r="X74" i="3" s="1"/>
  <c r="N74" i="3"/>
  <c r="L74" i="3"/>
  <c r="D74" i="3"/>
  <c r="B74" i="3"/>
  <c r="Z73" i="3"/>
  <c r="X73" i="3"/>
  <c r="P73" i="3"/>
  <c r="N73" i="3"/>
  <c r="D73" i="3"/>
  <c r="L73" i="3" s="1"/>
  <c r="B73" i="3"/>
  <c r="Z72" i="3"/>
  <c r="P72" i="3"/>
  <c r="X72" i="3" s="1"/>
  <c r="N72" i="3"/>
  <c r="L72" i="3"/>
  <c r="D72" i="3"/>
  <c r="B72" i="3"/>
  <c r="Z71" i="3"/>
  <c r="X71" i="3"/>
  <c r="P71" i="3"/>
  <c r="N71" i="3"/>
  <c r="D71" i="3"/>
  <c r="L71" i="3" s="1"/>
  <c r="B71" i="3"/>
  <c r="Z70" i="3"/>
  <c r="P70" i="3"/>
  <c r="X70" i="3" s="1"/>
  <c r="N70" i="3"/>
  <c r="L70" i="3"/>
  <c r="D70" i="3"/>
  <c r="B70" i="3"/>
  <c r="Z69" i="3"/>
  <c r="X69" i="3"/>
  <c r="P69" i="3"/>
  <c r="N69" i="3"/>
  <c r="D69" i="3"/>
  <c r="L69" i="3" s="1"/>
  <c r="B69" i="3"/>
  <c r="Z68" i="3"/>
  <c r="P68" i="3"/>
  <c r="X68" i="3" s="1"/>
  <c r="N68" i="3"/>
  <c r="L68" i="3"/>
  <c r="D68" i="3"/>
  <c r="B68" i="3"/>
  <c r="Z67" i="3"/>
  <c r="X67" i="3"/>
  <c r="P67" i="3"/>
  <c r="N67" i="3"/>
  <c r="D67" i="3"/>
  <c r="L67" i="3" s="1"/>
  <c r="B67" i="3"/>
  <c r="Z66" i="3"/>
  <c r="P66" i="3"/>
  <c r="X66" i="3" s="1"/>
  <c r="N66" i="3"/>
  <c r="L66" i="3"/>
  <c r="D66" i="3"/>
  <c r="B66" i="3"/>
  <c r="Z65" i="3"/>
  <c r="X65" i="3"/>
  <c r="P65" i="3"/>
  <c r="N65" i="3"/>
  <c r="D65" i="3"/>
  <c r="L65" i="3" s="1"/>
  <c r="B65" i="3"/>
  <c r="Z64" i="3"/>
  <c r="P64" i="3"/>
  <c r="X64" i="3" s="1"/>
  <c r="N64" i="3"/>
  <c r="L64" i="3"/>
  <c r="D64" i="3"/>
  <c r="B64" i="3"/>
  <c r="Z63" i="3"/>
  <c r="X63" i="3"/>
  <c r="P63" i="3"/>
  <c r="N63" i="3"/>
  <c r="D63" i="3"/>
  <c r="L63" i="3" s="1"/>
  <c r="B63" i="3"/>
  <c r="Z62" i="3"/>
  <c r="P62" i="3"/>
  <c r="X62" i="3" s="1"/>
  <c r="N62" i="3"/>
  <c r="L62" i="3"/>
  <c r="D62" i="3"/>
  <c r="B62" i="3"/>
  <c r="Z61" i="3"/>
  <c r="X61" i="3"/>
  <c r="P61" i="3"/>
  <c r="N61" i="3"/>
  <c r="D61" i="3"/>
  <c r="L61" i="3" s="1"/>
  <c r="B61" i="3"/>
  <c r="Z60" i="3"/>
  <c r="P60" i="3"/>
  <c r="X60" i="3" s="1"/>
  <c r="N60" i="3"/>
  <c r="L60" i="3"/>
  <c r="D60" i="3"/>
  <c r="B60" i="3"/>
  <c r="Z59" i="3"/>
  <c r="X59" i="3"/>
  <c r="P59" i="3"/>
  <c r="N59" i="3"/>
  <c r="D59" i="3"/>
  <c r="L59" i="3" s="1"/>
  <c r="B59" i="3"/>
  <c r="Z58" i="3"/>
  <c r="P58" i="3"/>
  <c r="X58" i="3" s="1"/>
  <c r="N58" i="3"/>
  <c r="L58" i="3"/>
  <c r="D58" i="3"/>
  <c r="B58" i="3"/>
  <c r="Z57" i="3"/>
  <c r="X57" i="3"/>
  <c r="P57" i="3"/>
  <c r="N57" i="3"/>
  <c r="D57" i="3"/>
  <c r="L57" i="3" s="1"/>
  <c r="B57" i="3"/>
  <c r="Z56" i="3"/>
  <c r="P56" i="3"/>
  <c r="X56" i="3" s="1"/>
  <c r="N56" i="3"/>
  <c r="L56" i="3"/>
  <c r="D56" i="3"/>
  <c r="B56" i="3"/>
  <c r="Z55" i="3"/>
  <c r="X55" i="3"/>
  <c r="P55" i="3"/>
  <c r="N55" i="3"/>
  <c r="D55" i="3"/>
  <c r="L55" i="3" s="1"/>
  <c r="B55" i="3"/>
  <c r="Z54" i="3"/>
  <c r="P54" i="3"/>
  <c r="X54" i="3" s="1"/>
  <c r="N54" i="3"/>
  <c r="L54" i="3"/>
  <c r="D54" i="3"/>
  <c r="B54" i="3"/>
  <c r="Z53" i="3"/>
  <c r="X53" i="3"/>
  <c r="P53" i="3"/>
  <c r="N53" i="3"/>
  <c r="D53" i="3"/>
  <c r="L53" i="3" s="1"/>
  <c r="B53" i="3"/>
  <c r="Z52" i="3"/>
  <c r="P52" i="3"/>
  <c r="X52" i="3" s="1"/>
  <c r="N52" i="3"/>
  <c r="L52" i="3"/>
  <c r="D52" i="3"/>
  <c r="B52" i="3"/>
  <c r="Z51" i="3"/>
  <c r="X51" i="3"/>
  <c r="P51" i="3"/>
  <c r="N51" i="3"/>
  <c r="D51" i="3"/>
  <c r="L51" i="3" s="1"/>
  <c r="B51" i="3"/>
  <c r="Z50" i="3"/>
  <c r="P50" i="3"/>
  <c r="X50" i="3" s="1"/>
  <c r="N50" i="3"/>
  <c r="L50" i="3"/>
  <c r="D50" i="3"/>
  <c r="B50" i="3"/>
  <c r="Z49" i="3"/>
  <c r="X49" i="3"/>
  <c r="P49" i="3"/>
  <c r="N49" i="3"/>
  <c r="D49" i="3"/>
  <c r="L49" i="3" s="1"/>
  <c r="B49" i="3"/>
  <c r="Z48" i="3"/>
  <c r="P48" i="3"/>
  <c r="X48" i="3" s="1"/>
  <c r="N48" i="3"/>
  <c r="L48" i="3"/>
  <c r="D48" i="3"/>
  <c r="B48" i="3"/>
  <c r="Z47" i="3"/>
  <c r="X47" i="3"/>
  <c r="P47" i="3"/>
  <c r="N47" i="3"/>
  <c r="D47" i="3"/>
  <c r="L47" i="3" s="1"/>
  <c r="B47" i="3"/>
  <c r="Z46" i="3"/>
  <c r="P46" i="3"/>
  <c r="X46" i="3" s="1"/>
  <c r="N46" i="3"/>
  <c r="L46" i="3"/>
  <c r="D46" i="3"/>
  <c r="B46" i="3"/>
  <c r="Z45" i="3"/>
  <c r="X45" i="3"/>
  <c r="P45" i="3"/>
  <c r="N45" i="3"/>
  <c r="D45" i="3"/>
  <c r="L45" i="3" s="1"/>
  <c r="B45" i="3"/>
  <c r="Z44" i="3"/>
  <c r="P44" i="3"/>
  <c r="X44" i="3" s="1"/>
  <c r="N44" i="3"/>
  <c r="L44" i="3"/>
  <c r="D44" i="3"/>
  <c r="B44" i="3"/>
  <c r="X43" i="3"/>
  <c r="Z43" i="3" s="1"/>
  <c r="P43" i="3"/>
  <c r="D43" i="3"/>
  <c r="L43" i="3" s="1"/>
  <c r="N43" i="3" s="1"/>
  <c r="B43" i="3"/>
  <c r="Z42" i="3"/>
  <c r="P42" i="3"/>
  <c r="X42" i="3" s="1"/>
  <c r="N42" i="3"/>
  <c r="L42" i="3"/>
  <c r="D42" i="3"/>
  <c r="B42" i="3"/>
  <c r="Z41" i="3"/>
  <c r="X41" i="3"/>
  <c r="P41" i="3"/>
  <c r="N41" i="3"/>
  <c r="D41" i="3"/>
  <c r="L41" i="3" s="1"/>
  <c r="B41" i="3"/>
  <c r="Z40" i="3"/>
  <c r="P40" i="3"/>
  <c r="X40" i="3" s="1"/>
  <c r="N40" i="3"/>
  <c r="L40" i="3"/>
  <c r="D40" i="3"/>
  <c r="B40" i="3"/>
  <c r="Z39" i="3"/>
  <c r="X39" i="3"/>
  <c r="P39" i="3"/>
  <c r="N39" i="3"/>
  <c r="D39" i="3"/>
  <c r="L39" i="3" s="1"/>
  <c r="B39" i="3"/>
  <c r="Z38" i="3"/>
  <c r="P38" i="3"/>
  <c r="X38" i="3" s="1"/>
  <c r="N38" i="3"/>
  <c r="L38" i="3"/>
  <c r="D38" i="3"/>
  <c r="B38" i="3"/>
  <c r="Z37" i="3"/>
  <c r="X37" i="3"/>
  <c r="P37" i="3"/>
  <c r="N37" i="3"/>
  <c r="D37" i="3"/>
  <c r="L37" i="3" s="1"/>
  <c r="B37" i="3"/>
  <c r="Z36" i="3"/>
  <c r="P36" i="3"/>
  <c r="X36" i="3" s="1"/>
  <c r="N36" i="3"/>
  <c r="L36" i="3"/>
  <c r="D36" i="3"/>
  <c r="B36" i="3"/>
  <c r="Z35" i="3"/>
  <c r="X35" i="3"/>
  <c r="P35" i="3"/>
  <c r="N35" i="3"/>
  <c r="D35" i="3"/>
  <c r="L35" i="3" s="1"/>
  <c r="B35" i="3"/>
  <c r="Z34" i="3"/>
  <c r="P34" i="3"/>
  <c r="X34" i="3" s="1"/>
  <c r="N34" i="3"/>
  <c r="L34" i="3"/>
  <c r="D34" i="3"/>
  <c r="B34" i="3"/>
  <c r="Z33" i="3"/>
  <c r="X33" i="3"/>
  <c r="P33" i="3"/>
  <c r="N33" i="3"/>
  <c r="D33" i="3"/>
  <c r="L33" i="3" s="1"/>
  <c r="B33" i="3"/>
  <c r="Z32" i="3"/>
  <c r="P32" i="3"/>
  <c r="X32" i="3" s="1"/>
  <c r="N32" i="3"/>
  <c r="L32" i="3"/>
  <c r="D32" i="3"/>
  <c r="B32" i="3"/>
  <c r="Z31" i="3"/>
  <c r="X31" i="3"/>
  <c r="P31" i="3"/>
  <c r="N31" i="3"/>
  <c r="D31" i="3"/>
  <c r="L31" i="3" s="1"/>
  <c r="B31" i="3"/>
  <c r="Z30" i="3"/>
  <c r="P30" i="3"/>
  <c r="X30" i="3" s="1"/>
  <c r="N30" i="3"/>
  <c r="L30" i="3"/>
  <c r="D30" i="3"/>
  <c r="B30" i="3"/>
  <c r="Z29" i="3"/>
  <c r="X29" i="3"/>
  <c r="P29" i="3"/>
  <c r="N29" i="3"/>
  <c r="D29" i="3"/>
  <c r="L29" i="3" s="1"/>
  <c r="B29" i="3"/>
  <c r="Z28" i="3"/>
  <c r="P28" i="3"/>
  <c r="X28" i="3" s="1"/>
  <c r="N28" i="3"/>
  <c r="L28" i="3"/>
  <c r="D28" i="3"/>
  <c r="B28" i="3"/>
  <c r="Z27" i="3"/>
  <c r="X27" i="3"/>
  <c r="P27" i="3"/>
  <c r="N27" i="3"/>
  <c r="D27" i="3"/>
  <c r="L27" i="3" s="1"/>
  <c r="B27" i="3"/>
  <c r="Z26" i="3"/>
  <c r="P26" i="3"/>
  <c r="X26" i="3" s="1"/>
  <c r="N26" i="3"/>
  <c r="L26" i="3"/>
  <c r="D26" i="3"/>
  <c r="B26" i="3"/>
  <c r="Z25" i="3"/>
  <c r="X25" i="3"/>
  <c r="P25" i="3"/>
  <c r="N25" i="3"/>
  <c r="D25" i="3"/>
  <c r="L25" i="3" s="1"/>
  <c r="B25" i="3"/>
  <c r="Z24" i="3"/>
  <c r="P24" i="3"/>
  <c r="X24" i="3" s="1"/>
  <c r="N24" i="3"/>
  <c r="L24" i="3"/>
  <c r="D24" i="3"/>
  <c r="B24" i="3"/>
  <c r="Z23" i="3"/>
  <c r="X23" i="3"/>
  <c r="P23" i="3"/>
  <c r="N23" i="3"/>
  <c r="D23" i="3"/>
  <c r="L23" i="3" s="1"/>
  <c r="B23" i="3"/>
  <c r="Z22" i="3"/>
  <c r="P22" i="3"/>
  <c r="X22" i="3" s="1"/>
  <c r="N22" i="3"/>
  <c r="L22" i="3"/>
  <c r="D22" i="3"/>
  <c r="B22" i="3"/>
  <c r="Z21" i="3"/>
  <c r="X21" i="3"/>
  <c r="P21" i="3"/>
  <c r="N21" i="3"/>
  <c r="D21" i="3"/>
  <c r="L21" i="3" s="1"/>
  <c r="B21" i="3"/>
  <c r="Z20" i="3"/>
  <c r="P20" i="3"/>
  <c r="X20" i="3" s="1"/>
  <c r="N20" i="3"/>
  <c r="L20" i="3"/>
  <c r="D20" i="3"/>
  <c r="B20" i="3"/>
  <c r="Z19" i="3"/>
  <c r="X19" i="3"/>
  <c r="P19" i="3"/>
  <c r="N19" i="3"/>
  <c r="D19" i="3"/>
  <c r="L19" i="3" s="1"/>
  <c r="B19" i="3"/>
  <c r="Z18" i="3"/>
  <c r="P18" i="3"/>
  <c r="X18" i="3" s="1"/>
  <c r="N18" i="3"/>
  <c r="L18" i="3"/>
  <c r="D18" i="3"/>
  <c r="B18" i="3"/>
  <c r="Z17" i="3"/>
  <c r="X17" i="3"/>
  <c r="P17" i="3"/>
  <c r="N17" i="3"/>
  <c r="D17" i="3"/>
  <c r="L17" i="3" s="1"/>
  <c r="B17" i="3"/>
  <c r="Z16" i="3"/>
  <c r="P16" i="3"/>
  <c r="X16" i="3" s="1"/>
  <c r="N16" i="3"/>
  <c r="L16" i="3"/>
  <c r="D16" i="3"/>
  <c r="B16" i="3"/>
  <c r="Z15" i="3"/>
  <c r="X15" i="3"/>
  <c r="P15" i="3"/>
  <c r="N15" i="3"/>
  <c r="D15" i="3"/>
  <c r="L15" i="3" s="1"/>
  <c r="B15" i="3"/>
  <c r="Z14" i="3"/>
  <c r="P14" i="3"/>
  <c r="P12" i="3" s="1"/>
  <c r="N14" i="3"/>
  <c r="L14" i="3"/>
  <c r="D14" i="3"/>
  <c r="B14" i="3"/>
  <c r="X13" i="3"/>
  <c r="Z13" i="3" s="1"/>
  <c r="P13" i="3"/>
  <c r="D13" i="3"/>
  <c r="D12" i="3" s="1"/>
  <c r="B13" i="3"/>
  <c r="T12" i="3"/>
  <c r="V267" i="3" s="1"/>
  <c r="H12" i="3"/>
  <c r="J261" i="3" s="1"/>
  <c r="D4" i="3"/>
  <c r="T33" i="99"/>
  <c r="H13" i="98"/>
  <c r="H13" i="49"/>
  <c r="P15" i="44"/>
  <c r="P15" i="41"/>
  <c r="D15" i="40"/>
  <c r="T16" i="32"/>
  <c r="T33" i="32"/>
  <c r="B38" i="28"/>
  <c r="P33" i="99"/>
  <c r="B39" i="52"/>
  <c r="B13" i="50"/>
  <c r="D4" i="46"/>
  <c r="H12" i="49"/>
  <c r="P21" i="38"/>
  <c r="P21" i="37"/>
  <c r="D15" i="28"/>
  <c r="D22" i="28"/>
  <c r="H25" i="100"/>
  <c r="T22" i="52"/>
  <c r="H25" i="52"/>
  <c r="H24" i="47"/>
  <c r="H20" i="41"/>
  <c r="D13" i="37"/>
  <c r="H33" i="32"/>
  <c r="D21" i="32"/>
  <c r="P21" i="25"/>
  <c r="B25" i="98"/>
  <c r="T15" i="50"/>
  <c r="D20" i="47"/>
  <c r="B21" i="46"/>
  <c r="B13" i="40"/>
  <c r="B16" i="43"/>
  <c r="H25" i="31"/>
  <c r="H25" i="29"/>
  <c r="H12" i="20"/>
  <c r="P13" i="98"/>
  <c r="H25" i="50"/>
  <c r="T22" i="46"/>
  <c r="T13" i="50"/>
  <c r="T25" i="41"/>
  <c r="H21" i="38"/>
  <c r="D20" i="34"/>
  <c r="H22" i="29"/>
  <c r="H21" i="99"/>
  <c r="P12" i="52"/>
  <c r="T21" i="50"/>
  <c r="T15" i="46"/>
  <c r="T34" i="38"/>
  <c r="D13" i="35"/>
  <c r="B39" i="31"/>
  <c r="D16" i="25"/>
  <c r="T20" i="23"/>
  <c r="D29" i="99"/>
  <c r="H29" i="49"/>
  <c r="T15" i="43"/>
  <c r="P16" i="41"/>
  <c r="P15" i="38"/>
  <c r="P29" i="40"/>
  <c r="H12" i="34"/>
  <c r="H12" i="99"/>
  <c r="P34" i="52"/>
  <c r="B25" i="49"/>
  <c r="D16" i="46"/>
  <c r="D29" i="40"/>
  <c r="D5" i="35"/>
  <c r="P16" i="31"/>
  <c r="P24" i="28"/>
  <c r="D20" i="28"/>
  <c r="D22" i="98"/>
  <c r="P15" i="53"/>
  <c r="P12" i="49"/>
  <c r="P29" i="44"/>
  <c r="T25" i="38"/>
  <c r="H22" i="34"/>
  <c r="H13" i="31"/>
  <c r="H33" i="34"/>
  <c r="D16" i="50"/>
  <c r="H13" i="32"/>
  <c r="D29" i="25"/>
  <c r="T16" i="20"/>
  <c r="D12" i="16"/>
  <c r="T25" i="16"/>
  <c r="P29" i="4"/>
  <c r="P24" i="7"/>
  <c r="H34" i="52"/>
  <c r="B39" i="35"/>
  <c r="P33" i="22"/>
  <c r="T34" i="20"/>
  <c r="P34" i="20"/>
  <c r="T29" i="13"/>
  <c r="D29" i="7"/>
  <c r="P24" i="8"/>
  <c r="D33" i="46"/>
  <c r="D29" i="49"/>
  <c r="H13" i="35"/>
  <c r="P16" i="19"/>
  <c r="T34" i="22"/>
  <c r="T15" i="19"/>
  <c r="P29" i="11"/>
  <c r="H20" i="7"/>
  <c r="P20" i="7"/>
  <c r="H24" i="40"/>
  <c r="B22" i="19"/>
  <c r="H16" i="53"/>
  <c r="D16" i="32"/>
  <c r="D4" i="20"/>
  <c r="T25" i="17"/>
  <c r="H34" i="16"/>
  <c r="B25" i="25"/>
  <c r="P21" i="5"/>
  <c r="D25" i="4"/>
  <c r="T16" i="22"/>
  <c r="D22" i="44"/>
  <c r="H25" i="25"/>
  <c r="D21" i="25"/>
  <c r="D25" i="20"/>
  <c r="H29" i="13"/>
  <c r="P13" i="10"/>
  <c r="P12" i="10"/>
  <c r="T15" i="7"/>
  <c r="T16" i="100"/>
  <c r="T20" i="98"/>
  <c r="T33" i="53"/>
  <c r="D4" i="47"/>
  <c r="P29" i="43"/>
  <c r="D5" i="37"/>
  <c r="D16" i="35"/>
  <c r="P29" i="37"/>
  <c r="P34" i="25"/>
  <c r="P16" i="100"/>
  <c r="T22" i="53"/>
  <c r="H16" i="47"/>
  <c r="H16" i="44"/>
  <c r="D25" i="41"/>
  <c r="B38" i="38"/>
  <c r="P21" i="31"/>
  <c r="B38" i="34"/>
  <c r="T13" i="25"/>
  <c r="B39" i="100"/>
  <c r="P16" i="53"/>
  <c r="B22" i="47"/>
  <c r="D24" i="43"/>
  <c r="P22" i="50"/>
  <c r="T12" i="40"/>
  <c r="P34" i="35"/>
  <c r="T29" i="35"/>
  <c r="P16" i="25"/>
  <c r="H15" i="100"/>
  <c r="D4" i="53"/>
  <c r="P33" i="50"/>
  <c r="B16" i="47"/>
  <c r="B22" i="40"/>
  <c r="D29" i="35"/>
  <c r="D25" i="32"/>
  <c r="T12" i="26"/>
  <c r="D5" i="25"/>
  <c r="H13" i="100"/>
  <c r="P20" i="46"/>
  <c r="T20" i="43"/>
  <c r="H12" i="41"/>
  <c r="H21" i="44"/>
  <c r="T24" i="41"/>
  <c r="D29" i="31"/>
  <c r="T34" i="25"/>
  <c r="T29" i="100"/>
  <c r="D5" i="50"/>
  <c r="D29" i="52"/>
  <c r="P22" i="46"/>
  <c r="D15" i="41"/>
  <c r="B16" i="38"/>
  <c r="P12" i="34"/>
  <c r="D4" i="29"/>
  <c r="P33" i="100"/>
  <c r="D22" i="99"/>
  <c r="H21" i="50"/>
  <c r="H12" i="46"/>
  <c r="H25" i="43"/>
  <c r="P29" i="34"/>
  <c r="T24" i="34"/>
  <c r="H20" i="35"/>
  <c r="B38" i="100"/>
  <c r="T34" i="53"/>
  <c r="B21" i="50"/>
  <c r="D13" i="52"/>
  <c r="D21" i="41"/>
  <c r="H20" i="37"/>
  <c r="H24" i="32"/>
  <c r="D15" i="31"/>
  <c r="T21" i="23"/>
  <c r="D21" i="99"/>
  <c r="D12" i="49"/>
  <c r="P34" i="46"/>
  <c r="P34" i="43"/>
  <c r="D20" i="40"/>
  <c r="B21" i="37"/>
  <c r="D22" i="32"/>
  <c r="H29" i="28"/>
  <c r="T15" i="47"/>
  <c r="D12" i="38"/>
  <c r="H24" i="20"/>
  <c r="T34" i="17"/>
  <c r="H22" i="17"/>
  <c r="T20" i="10"/>
  <c r="B22" i="7"/>
  <c r="D34" i="4"/>
  <c r="H16" i="52"/>
  <c r="T29" i="37"/>
  <c r="H12" i="23"/>
  <c r="P33" i="28"/>
  <c r="P16" i="14"/>
  <c r="D15" i="10"/>
  <c r="D16" i="13"/>
  <c r="D33" i="5"/>
  <c r="B16" i="44"/>
  <c r="B22" i="46"/>
  <c r="D5" i="31"/>
  <c r="T22" i="25"/>
  <c r="P34" i="19"/>
  <c r="P15" i="25"/>
  <c r="H15" i="14"/>
  <c r="T21" i="4"/>
  <c r="T20" i="7"/>
  <c r="P22" i="38"/>
  <c r="T24" i="20"/>
  <c r="D24" i="44"/>
  <c r="H29" i="25"/>
  <c r="D16" i="26"/>
  <c r="D29" i="20"/>
  <c r="H33" i="13"/>
  <c r="T15" i="10"/>
  <c r="D16" i="11"/>
  <c r="P21" i="7"/>
  <c r="H21" i="22"/>
  <c r="T22" i="50"/>
  <c r="P16" i="28"/>
  <c r="T21" i="32"/>
  <c r="D33" i="19"/>
  <c r="B38" i="17"/>
  <c r="H25" i="11"/>
  <c r="P16" i="5"/>
  <c r="B38" i="11"/>
  <c r="P34" i="99"/>
  <c r="D13" i="53"/>
  <c r="H16" i="50"/>
  <c r="P21" i="46"/>
  <c r="P24" i="50"/>
  <c r="B25" i="38"/>
  <c r="P12" i="41"/>
  <c r="B16" i="28"/>
  <c r="D24" i="28"/>
  <c r="H29" i="100"/>
  <c r="T24" i="52"/>
  <c r="H29" i="52"/>
  <c r="T12" i="49"/>
  <c r="D22" i="41"/>
  <c r="H21" i="37"/>
  <c r="H34" i="32"/>
  <c r="D16" i="34"/>
  <c r="D12" i="26"/>
  <c r="D6" i="99"/>
  <c r="P21" i="50"/>
  <c r="B21" i="47"/>
  <c r="P13" i="47"/>
  <c r="H16" i="40"/>
  <c r="D13" i="44"/>
  <c r="H29" i="31"/>
  <c r="H29" i="29"/>
  <c r="P13" i="20"/>
  <c r="B39" i="98"/>
  <c r="H29" i="50"/>
  <c r="T24" i="46"/>
  <c r="D33" i="52"/>
  <c r="T29" i="41"/>
  <c r="H12" i="40"/>
  <c r="H25" i="34"/>
  <c r="H24" i="29"/>
  <c r="D12" i="29"/>
  <c r="D13" i="98"/>
  <c r="D4" i="50"/>
  <c r="P16" i="44"/>
  <c r="H22" i="43"/>
  <c r="P21" i="40"/>
  <c r="T24" i="44"/>
  <c r="T22" i="34"/>
  <c r="D33" i="29"/>
  <c r="P16" i="99"/>
  <c r="D12" i="46"/>
  <c r="T13" i="43"/>
  <c r="P22" i="40"/>
  <c r="D16" i="43"/>
  <c r="D29" i="38"/>
  <c r="H21" i="31"/>
  <c r="T29" i="25"/>
  <c r="D21" i="98"/>
  <c r="D13" i="100"/>
  <c r="H21" i="47"/>
  <c r="T33" i="50"/>
  <c r="T34" i="47"/>
  <c r="H34" i="37"/>
  <c r="D22" i="38"/>
  <c r="D20" i="31"/>
  <c r="D24" i="100"/>
  <c r="T20" i="49"/>
  <c r="D24" i="53"/>
  <c r="B22" i="43"/>
  <c r="D25" i="44"/>
  <c r="D16" i="38"/>
  <c r="B25" i="35"/>
  <c r="D12" i="28"/>
  <c r="T13" i="19"/>
  <c r="D22" i="100"/>
  <c r="D22" i="53"/>
  <c r="T33" i="47"/>
  <c r="T13" i="40"/>
  <c r="P29" i="41"/>
  <c r="T34" i="37"/>
  <c r="H25" i="38"/>
  <c r="D33" i="34"/>
  <c r="D15" i="47"/>
  <c r="T29" i="28"/>
  <c r="P29" i="28"/>
  <c r="D16" i="23"/>
  <c r="H13" i="14"/>
  <c r="P16" i="11"/>
  <c r="D22" i="16"/>
  <c r="P20" i="8"/>
  <c r="H20" i="50"/>
  <c r="T13" i="31"/>
  <c r="P20" i="19"/>
  <c r="P12" i="23"/>
  <c r="P21" i="19"/>
  <c r="P33" i="11"/>
  <c r="D22" i="7"/>
  <c r="H29" i="8"/>
  <c r="B21" i="38"/>
  <c r="D12" i="44"/>
  <c r="H16" i="34"/>
  <c r="H13" i="20"/>
  <c r="T29" i="17"/>
  <c r="D4" i="17"/>
  <c r="T13" i="10"/>
  <c r="H15" i="7"/>
  <c r="D29" i="4"/>
  <c r="D13" i="32"/>
  <c r="P20" i="17"/>
  <c r="H15" i="43"/>
  <c r="D5" i="29"/>
  <c r="D5" i="22"/>
  <c r="B13" i="20"/>
  <c r="H21" i="19"/>
  <c r="H29" i="11"/>
  <c r="P20" i="5"/>
  <c r="B13" i="4"/>
  <c r="D29" i="19"/>
  <c r="H22" i="47"/>
  <c r="T25" i="25"/>
  <c r="D29" i="23"/>
  <c r="P34" i="14"/>
  <c r="B38" i="14"/>
  <c r="H22" i="11"/>
  <c r="T22" i="8"/>
  <c r="H13" i="8"/>
  <c r="P20" i="100"/>
  <c r="T24" i="53"/>
  <c r="H20" i="47"/>
  <c r="H20" i="44"/>
  <c r="D29" i="41"/>
  <c r="P13" i="40"/>
  <c r="D12" i="32"/>
  <c r="P33" i="35"/>
  <c r="T16" i="25"/>
  <c r="T21" i="98"/>
  <c r="P20" i="53"/>
  <c r="B13" i="49"/>
  <c r="B25" i="43"/>
  <c r="D21" i="38"/>
  <c r="P34" i="40"/>
  <c r="P25" i="37"/>
  <c r="P33" i="38"/>
  <c r="H20" i="25"/>
  <c r="D21" i="100"/>
  <c r="T15" i="53"/>
  <c r="P34" i="50"/>
  <c r="B16" i="49"/>
  <c r="D16" i="41"/>
  <c r="D33" i="35"/>
  <c r="D29" i="32"/>
  <c r="D15" i="26"/>
  <c r="H15" i="25"/>
  <c r="H22" i="100"/>
  <c r="D5" i="47"/>
  <c r="P22" i="43"/>
  <c r="P13" i="41"/>
  <c r="P24" i="44"/>
  <c r="D5" i="43"/>
  <c r="D33" i="31"/>
  <c r="P12" i="26"/>
  <c r="D20" i="99"/>
  <c r="D20" i="100"/>
  <c r="D33" i="50"/>
  <c r="D12" i="47"/>
  <c r="T22" i="44"/>
  <c r="T13" i="35"/>
  <c r="T13" i="37"/>
  <c r="T22" i="37"/>
  <c r="T24" i="31"/>
  <c r="D33" i="99"/>
  <c r="H33" i="49"/>
  <c r="P21" i="43"/>
  <c r="P20" i="41"/>
  <c r="T21" i="38"/>
  <c r="T13" i="41"/>
  <c r="D15" i="34"/>
  <c r="D25" i="29"/>
  <c r="D16" i="98"/>
  <c r="D34" i="53"/>
  <c r="D5" i="52"/>
  <c r="D12" i="50"/>
  <c r="H33" i="40"/>
  <c r="T20" i="34"/>
  <c r="P24" i="31"/>
  <c r="P12" i="29"/>
  <c r="H34" i="98"/>
  <c r="H22" i="53"/>
  <c r="T22" i="49"/>
  <c r="P33" i="44"/>
  <c r="T29" i="38"/>
  <c r="H24" i="34"/>
  <c r="H22" i="31"/>
  <c r="P16" i="35"/>
  <c r="T13" i="23"/>
  <c r="D13" i="99"/>
  <c r="P15" i="49"/>
  <c r="H12" i="43"/>
  <c r="T29" i="50"/>
  <c r="P20" i="37"/>
  <c r="T15" i="38"/>
  <c r="D20" i="32"/>
  <c r="B39" i="28"/>
  <c r="T20" i="50"/>
  <c r="T25" i="31"/>
  <c r="H29" i="22"/>
  <c r="D22" i="20"/>
  <c r="D24" i="20"/>
  <c r="T12" i="13"/>
  <c r="B21" i="7"/>
  <c r="D22" i="4"/>
  <c r="B22" i="49"/>
  <c r="D4" i="32"/>
  <c r="D25" i="25"/>
  <c r="T13" i="20"/>
  <c r="D24" i="26"/>
  <c r="D15" i="16"/>
  <c r="P25" i="4"/>
  <c r="P22" i="7"/>
  <c r="T12" i="29"/>
  <c r="T29" i="46"/>
  <c r="H22" i="26"/>
  <c r="D20" i="26"/>
  <c r="D33" i="20"/>
  <c r="H34" i="13"/>
  <c r="P21" i="10"/>
  <c r="B21" i="11"/>
  <c r="D12" i="8"/>
  <c r="T33" i="26"/>
  <c r="H29" i="16"/>
  <c r="D16" i="49"/>
  <c r="T33" i="25"/>
  <c r="D33" i="23"/>
  <c r="P12" i="16"/>
  <c r="D4" i="16"/>
  <c r="H24" i="11"/>
  <c r="T24" i="8"/>
  <c r="H22" i="8"/>
  <c r="T12" i="98"/>
  <c r="D33" i="41"/>
  <c r="H21" i="28"/>
  <c r="B25" i="19"/>
  <c r="D16" i="20"/>
  <c r="B38" i="16"/>
  <c r="T29" i="14"/>
  <c r="H25" i="5"/>
  <c r="B16" i="5"/>
  <c r="H33" i="100"/>
  <c r="T21" i="53"/>
  <c r="H33" i="52"/>
  <c r="T25" i="49"/>
  <c r="D24" i="41"/>
  <c r="D25" i="37"/>
  <c r="P15" i="34"/>
  <c r="D29" i="44"/>
  <c r="P16" i="26"/>
  <c r="P15" i="99"/>
  <c r="T12" i="52"/>
  <c r="H15" i="49"/>
  <c r="T20" i="47"/>
  <c r="H20" i="40"/>
  <c r="H22" i="35"/>
  <c r="H33" i="31"/>
  <c r="H33" i="29"/>
  <c r="T15" i="20"/>
  <c r="D24" i="99"/>
  <c r="H33" i="50"/>
  <c r="T21" i="47"/>
  <c r="P12" i="43"/>
  <c r="T33" i="41"/>
  <c r="P33" i="40"/>
  <c r="T12" i="35"/>
  <c r="B39" i="29"/>
  <c r="P34" i="32"/>
  <c r="D24" i="98"/>
  <c r="H13" i="50"/>
  <c r="P20" i="44"/>
  <c r="P25" i="43"/>
  <c r="P24" i="38"/>
  <c r="T12" i="37"/>
  <c r="B25" i="34"/>
  <c r="D34" i="29"/>
  <c r="D15" i="99"/>
  <c r="D29" i="98"/>
  <c r="D33" i="47"/>
  <c r="D12" i="43"/>
  <c r="D12" i="40"/>
  <c r="P20" i="38"/>
  <c r="P29" i="31"/>
  <c r="D15" i="32"/>
  <c r="P34" i="100"/>
  <c r="B25" i="99"/>
  <c r="D25" i="50"/>
  <c r="D20" i="46"/>
  <c r="T29" i="43"/>
  <c r="P33" i="34"/>
  <c r="T21" i="35"/>
  <c r="T24" i="35"/>
  <c r="B25" i="29"/>
  <c r="T29" i="98"/>
  <c r="D20" i="53"/>
  <c r="H21" i="49"/>
  <c r="H16" i="46"/>
  <c r="T21" i="43"/>
  <c r="D4" i="37"/>
  <c r="H29" i="34"/>
  <c r="D4" i="26"/>
  <c r="D15" i="100"/>
  <c r="P16" i="49"/>
  <c r="T15" i="49"/>
  <c r="T12" i="44"/>
  <c r="B21" i="40"/>
  <c r="T12" i="38"/>
  <c r="D24" i="32"/>
  <c r="H33" i="28"/>
  <c r="P25" i="100"/>
  <c r="H16" i="99"/>
  <c r="B39" i="49"/>
  <c r="H33" i="44"/>
  <c r="H33" i="41"/>
  <c r="T21" i="34"/>
  <c r="P24" i="32"/>
  <c r="D21" i="34"/>
  <c r="H20" i="29"/>
  <c r="P22" i="47"/>
  <c r="H34" i="28"/>
  <c r="H13" i="25"/>
  <c r="T21" i="17"/>
  <c r="H24" i="16"/>
  <c r="T12" i="16"/>
  <c r="P24" i="11"/>
  <c r="T21" i="10"/>
  <c r="H12" i="47"/>
  <c r="H12" i="37"/>
  <c r="H22" i="20"/>
  <c r="T33" i="17"/>
  <c r="H13" i="17"/>
  <c r="T16" i="10"/>
  <c r="D21" i="7"/>
  <c r="D33" i="4"/>
  <c r="D25" i="23"/>
  <c r="B21" i="44"/>
  <c r="P25" i="32"/>
  <c r="P15" i="22"/>
  <c r="H16" i="20"/>
  <c r="D34" i="19"/>
  <c r="H33" i="11"/>
  <c r="D16" i="7"/>
  <c r="H16" i="4"/>
  <c r="P24" i="26"/>
  <c r="D15" i="98"/>
  <c r="D34" i="41"/>
  <c r="D25" i="28"/>
  <c r="H15" i="20"/>
  <c r="D20" i="20"/>
  <c r="B13" i="17"/>
  <c r="D24" i="16"/>
  <c r="H29" i="5"/>
  <c r="T25" i="5"/>
  <c r="D5" i="99"/>
  <c r="H13" i="43"/>
  <c r="P21" i="26"/>
  <c r="T24" i="25"/>
  <c r="P24" i="14"/>
  <c r="B13" i="14"/>
  <c r="P33" i="20"/>
  <c r="D12" i="7"/>
  <c r="T25" i="4"/>
  <c r="P25" i="98"/>
  <c r="T21" i="52"/>
  <c r="H16" i="49"/>
  <c r="H15" i="44"/>
  <c r="B22" i="38"/>
  <c r="T13" i="44"/>
  <c r="P33" i="37"/>
  <c r="T13" i="28"/>
  <c r="D24" i="25"/>
  <c r="D5" i="98"/>
  <c r="H20" i="53"/>
  <c r="B13" i="52"/>
  <c r="T29" i="49"/>
  <c r="D20" i="41"/>
  <c r="D34" i="35"/>
  <c r="D33" i="32"/>
  <c r="B16" i="26"/>
  <c r="H25" i="26"/>
  <c r="H20" i="98"/>
  <c r="P15" i="47"/>
  <c r="P24" i="43"/>
  <c r="T15" i="41"/>
  <c r="H25" i="46"/>
  <c r="T34" i="43"/>
  <c r="D34" i="31"/>
  <c r="T22" i="26"/>
  <c r="B21" i="99"/>
  <c r="B13" i="98"/>
  <c r="D34" i="50"/>
  <c r="B39" i="47"/>
  <c r="T34" i="44"/>
  <c r="T16" i="35"/>
  <c r="T16" i="37"/>
  <c r="P24" i="41"/>
  <c r="H21" i="34"/>
  <c r="P12" i="99"/>
  <c r="H16" i="98"/>
  <c r="D15" i="53"/>
  <c r="B13" i="53"/>
  <c r="H13" i="41"/>
  <c r="H12" i="35"/>
  <c r="T15" i="32"/>
  <c r="H16" i="31"/>
  <c r="B22" i="98"/>
  <c r="D33" i="100"/>
  <c r="D25" i="47"/>
  <c r="D25" i="52"/>
  <c r="P34" i="49"/>
  <c r="D4" i="38"/>
  <c r="T21" i="31"/>
  <c r="B21" i="31"/>
  <c r="D13" i="28"/>
  <c r="T13" i="99"/>
  <c r="B16" i="52"/>
  <c r="D25" i="46"/>
  <c r="D25" i="43"/>
  <c r="H13" i="40"/>
  <c r="B13" i="38"/>
  <c r="D21" i="35"/>
  <c r="P25" i="29"/>
  <c r="B25" i="100"/>
  <c r="H25" i="53"/>
  <c r="D20" i="49"/>
  <c r="T16" i="40"/>
  <c r="P33" i="41"/>
  <c r="P12" i="38"/>
  <c r="T21" i="40"/>
  <c r="H16" i="35"/>
  <c r="P24" i="100"/>
  <c r="D29" i="100"/>
  <c r="B39" i="46"/>
  <c r="T16" i="50"/>
  <c r="T25" i="44"/>
  <c r="H29" i="37"/>
  <c r="T21" i="37"/>
  <c r="T22" i="41"/>
  <c r="P13" i="100"/>
  <c r="P15" i="40"/>
  <c r="D24" i="29"/>
  <c r="D4" i="22"/>
  <c r="B38" i="25"/>
  <c r="D22" i="17"/>
  <c r="D5" i="10"/>
  <c r="T12" i="7"/>
  <c r="T34" i="5"/>
  <c r="D24" i="46"/>
  <c r="T25" i="28"/>
  <c r="P16" i="29"/>
  <c r="B22" i="22"/>
  <c r="D4" i="14"/>
  <c r="D12" i="11"/>
  <c r="B13" i="13"/>
  <c r="P16" i="8"/>
  <c r="D13" i="20"/>
  <c r="P15" i="43"/>
  <c r="P15" i="28"/>
  <c r="D34" i="23"/>
  <c r="T22" i="16"/>
  <c r="H13" i="16"/>
  <c r="B39" i="11"/>
  <c r="T22" i="10"/>
  <c r="H24" i="8"/>
  <c r="T16" i="19"/>
  <c r="H24" i="99"/>
  <c r="B21" i="43"/>
  <c r="B13" i="28"/>
  <c r="D5" i="26"/>
  <c r="T21" i="16"/>
  <c r="H16" i="14"/>
  <c r="D4" i="13"/>
  <c r="P16" i="7"/>
  <c r="T29" i="4"/>
  <c r="H29" i="98"/>
  <c r="D12" i="37"/>
  <c r="H12" i="25"/>
  <c r="D25" i="22"/>
  <c r="H15" i="22"/>
  <c r="D21" i="14"/>
  <c r="B25" i="10"/>
  <c r="T21" i="8"/>
  <c r="H34" i="99"/>
  <c r="H20" i="52"/>
  <c r="D21" i="49"/>
  <c r="T21" i="49"/>
  <c r="D22" i="40"/>
  <c r="H24" i="35"/>
  <c r="H34" i="31"/>
  <c r="H34" i="29"/>
  <c r="P21" i="20"/>
  <c r="B21" i="100"/>
  <c r="H34" i="50"/>
  <c r="P25" i="47"/>
  <c r="T22" i="43"/>
  <c r="T34" i="41"/>
  <c r="T16" i="41"/>
  <c r="P12" i="37"/>
  <c r="B13" i="31"/>
  <c r="T21" i="22"/>
  <c r="H13" i="99"/>
  <c r="H22" i="50"/>
  <c r="T16" i="46"/>
  <c r="H34" i="43"/>
  <c r="P12" i="40"/>
  <c r="D15" i="37"/>
  <c r="H15" i="35"/>
  <c r="B38" i="29"/>
  <c r="B16" i="99"/>
  <c r="B22" i="99"/>
  <c r="D34" i="47"/>
  <c r="P16" i="43"/>
  <c r="P16" i="40"/>
  <c r="T22" i="38"/>
  <c r="P33" i="31"/>
  <c r="B16" i="32"/>
  <c r="D29" i="28"/>
  <c r="T21" i="99"/>
  <c r="H15" i="53"/>
  <c r="D33" i="49"/>
  <c r="T33" i="46"/>
  <c r="B39" i="43"/>
  <c r="H24" i="37"/>
  <c r="B16" i="35"/>
  <c r="H24" i="26"/>
  <c r="D20" i="98"/>
  <c r="B38" i="53"/>
  <c r="T13" i="52"/>
  <c r="P16" i="50"/>
  <c r="H34" i="40"/>
  <c r="P22" i="34"/>
  <c r="H12" i="32"/>
  <c r="T22" i="29"/>
  <c r="B21" i="34"/>
  <c r="P13" i="99"/>
  <c r="T13" i="53"/>
  <c r="H15" i="50"/>
  <c r="P25" i="46"/>
  <c r="D33" i="40"/>
  <c r="P15" i="35"/>
  <c r="P20" i="31"/>
  <c r="H12" i="29"/>
  <c r="D25" i="99"/>
  <c r="H25" i="49"/>
  <c r="P13" i="43"/>
  <c r="D12" i="41"/>
  <c r="D5" i="38"/>
  <c r="B16" i="40"/>
  <c r="B21" i="32"/>
  <c r="D13" i="29"/>
  <c r="T15" i="100"/>
  <c r="D29" i="53"/>
  <c r="D24" i="50"/>
  <c r="P24" i="47"/>
  <c r="H25" i="40"/>
  <c r="T20" i="41"/>
  <c r="T20" i="31"/>
  <c r="T33" i="28"/>
  <c r="H21" i="100"/>
  <c r="B25" i="40"/>
  <c r="D21" i="29"/>
  <c r="T21" i="28"/>
  <c r="P33" i="16"/>
  <c r="D24" i="14"/>
  <c r="D22" i="13"/>
  <c r="H33" i="8"/>
  <c r="P12" i="5"/>
  <c r="P25" i="49"/>
  <c r="P33" i="32"/>
  <c r="H25" i="22"/>
  <c r="H20" i="20"/>
  <c r="B38" i="19"/>
  <c r="H34" i="11"/>
  <c r="D20" i="7"/>
  <c r="H20" i="4"/>
  <c r="T34" i="98"/>
  <c r="T33" i="43"/>
  <c r="B13" i="29"/>
  <c r="D21" i="20"/>
  <c r="P15" i="23"/>
  <c r="H16" i="17"/>
  <c r="T22" i="19"/>
  <c r="H33" i="5"/>
  <c r="T29" i="5"/>
  <c r="T29" i="29"/>
  <c r="H33" i="98"/>
  <c r="P16" i="37"/>
  <c r="P13" i="25"/>
  <c r="D29" i="22"/>
  <c r="D21" i="22"/>
  <c r="D29" i="14"/>
  <c r="H15" i="11"/>
  <c r="P25" i="8"/>
  <c r="D25" i="8"/>
  <c r="H15" i="52"/>
  <c r="T34" i="40"/>
  <c r="P22" i="19"/>
  <c r="B22" i="23"/>
  <c r="T20" i="16"/>
  <c r="T33" i="19"/>
  <c r="B25" i="8"/>
  <c r="H25" i="4"/>
  <c r="T20" i="99"/>
  <c r="D4" i="98"/>
  <c r="D15" i="52"/>
  <c r="P29" i="47"/>
  <c r="T24" i="43"/>
  <c r="H24" i="43"/>
  <c r="T12" i="43"/>
  <c r="T24" i="37"/>
  <c r="H20" i="31"/>
  <c r="P25" i="22"/>
  <c r="H22" i="99"/>
  <c r="H24" i="50"/>
  <c r="H20" i="46"/>
  <c r="P12" i="44"/>
  <c r="T22" i="40"/>
  <c r="B16" i="37"/>
  <c r="P20" i="35"/>
  <c r="T12" i="31"/>
  <c r="T25" i="99"/>
  <c r="B16" i="100"/>
  <c r="B38" i="47"/>
  <c r="P20" i="43"/>
  <c r="P20" i="40"/>
  <c r="D25" i="38"/>
  <c r="P34" i="31"/>
  <c r="T25" i="32"/>
  <c r="D33" i="28"/>
  <c r="P25" i="99"/>
  <c r="D21" i="53"/>
  <c r="D34" i="49"/>
  <c r="B16" i="50"/>
  <c r="H22" i="44"/>
  <c r="B39" i="37"/>
  <c r="T34" i="35"/>
  <c r="B39" i="26"/>
  <c r="H16" i="28"/>
  <c r="D6" i="100"/>
  <c r="P22" i="53"/>
  <c r="D4" i="52"/>
  <c r="T13" i="47"/>
  <c r="B13" i="41"/>
  <c r="H33" i="35"/>
  <c r="H25" i="32"/>
  <c r="P21" i="29"/>
  <c r="T16" i="99"/>
  <c r="T25" i="52"/>
  <c r="D29" i="46"/>
  <c r="D29" i="43"/>
  <c r="H22" i="40"/>
  <c r="H16" i="38"/>
  <c r="P25" i="35"/>
  <c r="P29" i="29"/>
  <c r="D20" i="29"/>
  <c r="D6" i="98"/>
  <c r="P22" i="49"/>
  <c r="H15" i="46"/>
  <c r="D16" i="44"/>
  <c r="T33" i="44"/>
  <c r="H20" i="38"/>
  <c r="P13" i="37"/>
  <c r="H15" i="98"/>
  <c r="T12" i="100"/>
  <c r="D13" i="47"/>
  <c r="T25" i="50"/>
  <c r="P20" i="47"/>
  <c r="H33" i="37"/>
  <c r="P34" i="37"/>
  <c r="D16" i="31"/>
  <c r="P22" i="26"/>
  <c r="T22" i="98"/>
  <c r="P33" i="53"/>
  <c r="D13" i="46"/>
  <c r="D13" i="43"/>
  <c r="T29" i="44"/>
  <c r="D34" i="37"/>
  <c r="D34" i="34"/>
  <c r="T24" i="28"/>
  <c r="D25" i="53"/>
  <c r="P25" i="40"/>
  <c r="T24" i="22"/>
  <c r="B39" i="25"/>
  <c r="P13" i="17"/>
  <c r="T12" i="11"/>
  <c r="T16" i="11"/>
  <c r="D4" i="5"/>
  <c r="H12" i="100"/>
  <c r="D5" i="40"/>
  <c r="H16" i="29"/>
  <c r="B22" i="20"/>
  <c r="H34" i="23"/>
  <c r="H20" i="17"/>
  <c r="T29" i="23"/>
  <c r="H34" i="5"/>
  <c r="T33" i="5"/>
  <c r="B22" i="100"/>
  <c r="T15" i="40"/>
  <c r="P20" i="26"/>
  <c r="D33" i="22"/>
  <c r="B21" i="23"/>
  <c r="B22" i="16"/>
  <c r="D21" i="11"/>
  <c r="P29" i="8"/>
  <c r="D29" i="8"/>
  <c r="D24" i="19"/>
  <c r="T13" i="49"/>
  <c r="D21" i="37"/>
  <c r="H12" i="28"/>
  <c r="T29" i="20"/>
  <c r="T24" i="19"/>
  <c r="D20" i="13"/>
  <c r="H21" i="7"/>
  <c r="T20" i="8"/>
  <c r="T29" i="52"/>
  <c r="H21" i="52"/>
  <c r="H12" i="38"/>
  <c r="T20" i="22"/>
  <c r="H15" i="26"/>
  <c r="T15" i="13"/>
  <c r="D21" i="17"/>
  <c r="B39" i="10"/>
  <c r="H21" i="5"/>
  <c r="P25" i="50"/>
  <c r="D34" i="98"/>
  <c r="H29" i="47"/>
  <c r="P13" i="44"/>
  <c r="D4" i="43"/>
  <c r="T25" i="47"/>
  <c r="P15" i="46"/>
  <c r="B13" i="32"/>
  <c r="D5" i="28"/>
  <c r="T22" i="100"/>
  <c r="H21" i="98"/>
  <c r="D12" i="52"/>
  <c r="T33" i="49"/>
  <c r="D22" i="46"/>
  <c r="P22" i="35"/>
  <c r="P22" i="37"/>
  <c r="H15" i="31"/>
  <c r="D4" i="28"/>
  <c r="T24" i="99"/>
  <c r="H25" i="99"/>
  <c r="B25" i="53"/>
  <c r="D15" i="46"/>
  <c r="H24" i="41"/>
  <c r="T15" i="35"/>
  <c r="D13" i="34"/>
  <c r="B22" i="32"/>
  <c r="P29" i="25"/>
  <c r="P24" i="99"/>
  <c r="T34" i="52"/>
  <c r="B38" i="46"/>
  <c r="B38" i="43"/>
  <c r="D13" i="41"/>
  <c r="D33" i="38"/>
  <c r="P13" i="31"/>
  <c r="B16" i="31"/>
  <c r="T22" i="32"/>
  <c r="D5" i="100"/>
  <c r="P21" i="52"/>
  <c r="H15" i="47"/>
  <c r="H20" i="43"/>
  <c r="P16" i="47"/>
  <c r="H15" i="38"/>
  <c r="B21" i="35"/>
  <c r="T34" i="34"/>
  <c r="T15" i="99"/>
  <c r="T16" i="53"/>
  <c r="D21" i="50"/>
  <c r="P29" i="46"/>
  <c r="D34" i="40"/>
  <c r="H25" i="35"/>
  <c r="D5" i="32"/>
  <c r="P13" i="29"/>
  <c r="D25" i="34"/>
  <c r="D4" i="99"/>
  <c r="H34" i="53"/>
  <c r="T24" i="49"/>
  <c r="P34" i="44"/>
  <c r="T33" i="38"/>
  <c r="B39" i="34"/>
  <c r="H24" i="31"/>
  <c r="P21" i="100"/>
  <c r="D33" i="53"/>
  <c r="B25" i="50"/>
  <c r="P13" i="49"/>
  <c r="H29" i="40"/>
  <c r="T16" i="34"/>
  <c r="P22" i="31"/>
  <c r="T34" i="28"/>
  <c r="B22" i="29"/>
  <c r="P34" i="98"/>
  <c r="P33" i="52"/>
  <c r="D24" i="49"/>
  <c r="P13" i="46"/>
  <c r="D25" i="40"/>
  <c r="P20" i="34"/>
  <c r="D12" i="31"/>
  <c r="P22" i="28"/>
  <c r="D5" i="53"/>
  <c r="B13" i="37"/>
  <c r="P34" i="22"/>
  <c r="B13" i="22"/>
  <c r="B21" i="22"/>
  <c r="T12" i="14"/>
  <c r="D33" i="7"/>
  <c r="H22" i="10"/>
  <c r="D4" i="100"/>
  <c r="D24" i="40"/>
  <c r="H15" i="29"/>
  <c r="H34" i="26"/>
  <c r="P29" i="16"/>
  <c r="D22" i="14"/>
  <c r="P20" i="13"/>
  <c r="H25" i="8"/>
  <c r="T34" i="4"/>
  <c r="B25" i="52"/>
  <c r="H22" i="37"/>
  <c r="P12" i="22"/>
  <c r="P20" i="25"/>
  <c r="P24" i="16"/>
  <c r="D20" i="10"/>
  <c r="H21" i="10"/>
  <c r="H33" i="4"/>
  <c r="D16" i="100"/>
  <c r="D21" i="23"/>
  <c r="D5" i="49"/>
  <c r="P13" i="38"/>
  <c r="P22" i="22"/>
  <c r="D21" i="26"/>
  <c r="P21" i="13"/>
  <c r="P25" i="20"/>
  <c r="H21" i="11"/>
  <c r="D25" i="5"/>
  <c r="T21" i="46"/>
  <c r="D22" i="47"/>
  <c r="P16" i="32"/>
  <c r="P29" i="32"/>
  <c r="T29" i="22"/>
  <c r="H34" i="17"/>
  <c r="T21" i="11"/>
  <c r="B13" i="7"/>
  <c r="B22" i="4"/>
  <c r="B13" i="100"/>
  <c r="B39" i="50"/>
  <c r="P24" i="46"/>
  <c r="T20" i="44"/>
  <c r="T24" i="40"/>
  <c r="T25" i="37"/>
  <c r="B22" i="35"/>
  <c r="P12" i="32"/>
  <c r="T29" i="99"/>
  <c r="T34" i="100"/>
  <c r="D4" i="49"/>
  <c r="D5" i="44"/>
  <c r="D5" i="41"/>
  <c r="H33" i="38"/>
  <c r="T13" i="32"/>
  <c r="T29" i="32"/>
  <c r="D34" i="28"/>
  <c r="P29" i="99"/>
  <c r="B22" i="53"/>
  <c r="B38" i="49"/>
  <c r="H12" i="53"/>
  <c r="H33" i="46"/>
  <c r="D13" i="38"/>
  <c r="T15" i="37"/>
  <c r="T12" i="28"/>
  <c r="H20" i="28"/>
  <c r="P15" i="100"/>
  <c r="P24" i="53"/>
  <c r="B21" i="52"/>
  <c r="T16" i="47"/>
  <c r="H16" i="41"/>
  <c r="H34" i="35"/>
  <c r="H29" i="32"/>
  <c r="H15" i="32"/>
  <c r="T15" i="25"/>
  <c r="H22" i="98"/>
  <c r="P13" i="50"/>
  <c r="D16" i="47"/>
  <c r="B16" i="46"/>
  <c r="P20" i="50"/>
  <c r="T33" i="40"/>
  <c r="P15" i="31"/>
  <c r="P15" i="29"/>
  <c r="D25" i="98"/>
  <c r="P13" i="52"/>
  <c r="H33" i="53"/>
  <c r="B13" i="43"/>
  <c r="H33" i="43"/>
  <c r="D24" i="37"/>
  <c r="H20" i="34"/>
  <c r="T33" i="31"/>
  <c r="P29" i="23"/>
  <c r="T25" i="100"/>
  <c r="P20" i="49"/>
  <c r="T34" i="50"/>
  <c r="H13" i="46"/>
  <c r="T12" i="41"/>
  <c r="D15" i="38"/>
  <c r="B25" i="32"/>
  <c r="T25" i="98"/>
  <c r="D16" i="53"/>
  <c r="D13" i="49"/>
  <c r="T13" i="46"/>
  <c r="D15" i="43"/>
  <c r="B21" i="49"/>
  <c r="T15" i="34"/>
  <c r="H34" i="25"/>
  <c r="H12" i="26"/>
  <c r="D34" i="100"/>
  <c r="B16" i="53"/>
  <c r="D20" i="50"/>
  <c r="T24" i="50"/>
  <c r="H15" i="41"/>
  <c r="H16" i="37"/>
  <c r="H22" i="32"/>
  <c r="T33" i="34"/>
  <c r="D24" i="52"/>
  <c r="T33" i="37"/>
  <c r="P13" i="23"/>
  <c r="T13" i="29"/>
  <c r="P20" i="14"/>
  <c r="B16" i="10"/>
  <c r="P12" i="4"/>
  <c r="D34" i="5"/>
  <c r="H16" i="100"/>
  <c r="T21" i="41"/>
  <c r="H15" i="28"/>
  <c r="T24" i="100"/>
  <c r="P22" i="98"/>
  <c r="D16" i="52"/>
  <c r="P12" i="50"/>
  <c r="T34" i="46"/>
  <c r="P24" i="35"/>
  <c r="P24" i="37"/>
  <c r="D21" i="31"/>
  <c r="H13" i="28"/>
  <c r="T13" i="100"/>
  <c r="H29" i="99"/>
  <c r="H29" i="53"/>
  <c r="H34" i="46"/>
  <c r="B39" i="41"/>
  <c r="P21" i="35"/>
  <c r="B22" i="34"/>
  <c r="D4" i="35"/>
  <c r="P33" i="25"/>
  <c r="D12" i="100"/>
  <c r="P12" i="53"/>
  <c r="B13" i="47"/>
  <c r="B13" i="44"/>
  <c r="H21" i="41"/>
  <c r="P34" i="38"/>
  <c r="T15" i="31"/>
  <c r="T34" i="31"/>
  <c r="T29" i="34"/>
  <c r="H24" i="100"/>
  <c r="D12" i="53"/>
  <c r="D21" i="47"/>
  <c r="D22" i="43"/>
  <c r="P29" i="49"/>
  <c r="T24" i="38"/>
  <c r="T22" i="35"/>
  <c r="D20" i="35"/>
  <c r="D12" i="25"/>
  <c r="B38" i="99"/>
  <c r="H24" i="52"/>
  <c r="P29" i="50"/>
  <c r="T12" i="47"/>
  <c r="D21" i="40"/>
  <c r="D25" i="35"/>
  <c r="H21" i="32"/>
  <c r="B21" i="25"/>
  <c r="T16" i="98"/>
  <c r="P24" i="49"/>
  <c r="D21" i="46"/>
  <c r="D20" i="44"/>
  <c r="B39" i="44"/>
  <c r="H29" i="38"/>
  <c r="T20" i="38"/>
  <c r="P20" i="28"/>
  <c r="T20" i="19"/>
  <c r="H24" i="98"/>
  <c r="T29" i="53"/>
  <c r="T12" i="50"/>
  <c r="T20" i="40"/>
  <c r="P34" i="41"/>
  <c r="H22" i="38"/>
  <c r="D13" i="31"/>
  <c r="T24" i="98"/>
  <c r="P34" i="53"/>
  <c r="H21" i="46"/>
  <c r="H21" i="43"/>
  <c r="D4" i="40"/>
  <c r="B38" i="37"/>
  <c r="B13" i="35"/>
  <c r="T21" i="29"/>
  <c r="B22" i="28"/>
  <c r="B39" i="99"/>
  <c r="T16" i="49"/>
  <c r="T12" i="53"/>
  <c r="D21" i="43"/>
  <c r="D15" i="44"/>
  <c r="B22" i="37"/>
  <c r="P21" i="34"/>
  <c r="T34" i="26"/>
  <c r="D22" i="50"/>
  <c r="T16" i="31"/>
  <c r="D5" i="20"/>
  <c r="T22" i="23"/>
  <c r="D12" i="20"/>
  <c r="P34" i="11"/>
  <c r="D24" i="7"/>
  <c r="H34" i="8"/>
  <c r="H21" i="53"/>
  <c r="B39" i="38"/>
  <c r="T22" i="22"/>
  <c r="D22" i="25"/>
  <c r="H12" i="17"/>
  <c r="B21" i="10"/>
  <c r="P33" i="10"/>
  <c r="H34" i="4"/>
  <c r="D34" i="99"/>
  <c r="H34" i="49"/>
  <c r="P22" i="41"/>
  <c r="P24" i="22"/>
  <c r="P25" i="28"/>
  <c r="D12" i="14"/>
  <c r="T12" i="10"/>
  <c r="D25" i="11"/>
  <c r="D29" i="5"/>
  <c r="D33" i="43"/>
  <c r="D15" i="17"/>
  <c r="P24" i="52"/>
  <c r="T12" i="34"/>
  <c r="H21" i="25"/>
  <c r="P33" i="19"/>
  <c r="D20" i="23"/>
  <c r="D5" i="14"/>
  <c r="H21" i="14"/>
  <c r="T16" i="7"/>
  <c r="P33" i="29"/>
  <c r="P16" i="52"/>
  <c r="B22" i="31"/>
  <c r="H34" i="19"/>
  <c r="B16" i="17"/>
  <c r="H33" i="16"/>
  <c r="T25" i="19"/>
  <c r="T15" i="5"/>
  <c r="H21" i="4"/>
  <c r="T25" i="26"/>
  <c r="B38" i="50"/>
  <c r="P13" i="35"/>
  <c r="T33" i="98"/>
  <c r="H24" i="53"/>
  <c r="D22" i="29"/>
  <c r="B38" i="22"/>
  <c r="H22" i="16"/>
  <c r="B25" i="28"/>
  <c r="T33" i="4"/>
  <c r="P22" i="16"/>
  <c r="H15" i="37"/>
  <c r="T16" i="8"/>
  <c r="T34" i="29"/>
  <c r="B13" i="99"/>
  <c r="D15" i="50"/>
  <c r="P33" i="26"/>
  <c r="D13" i="22"/>
  <c r="P12" i="20"/>
  <c r="T34" i="11"/>
  <c r="D22" i="10"/>
  <c r="T22" i="7"/>
  <c r="B39" i="7"/>
  <c r="T22" i="47"/>
  <c r="D24" i="38"/>
  <c r="P34" i="26"/>
  <c r="P34" i="17"/>
  <c r="D25" i="17"/>
  <c r="P16" i="10"/>
  <c r="P13" i="4"/>
  <c r="H20" i="13"/>
  <c r="D22" i="49"/>
  <c r="T29" i="40"/>
  <c r="H16" i="26"/>
  <c r="P24" i="20"/>
  <c r="D5" i="17"/>
  <c r="H15" i="16"/>
  <c r="T13" i="5"/>
  <c r="T15" i="8"/>
  <c r="T21" i="7"/>
  <c r="P29" i="98"/>
  <c r="D13" i="40"/>
  <c r="D15" i="35"/>
  <c r="D22" i="35"/>
  <c r="T13" i="17"/>
  <c r="D13" i="16"/>
  <c r="H33" i="14"/>
  <c r="D33" i="11"/>
  <c r="B38" i="13"/>
  <c r="P22" i="52"/>
  <c r="T33" i="14"/>
  <c r="B25" i="41"/>
  <c r="T12" i="8"/>
  <c r="T25" i="22"/>
  <c r="D13" i="11"/>
  <c r="D29" i="17"/>
  <c r="H13" i="44"/>
  <c r="P16" i="13"/>
  <c r="D5" i="23"/>
  <c r="H20" i="11"/>
  <c r="B16" i="13"/>
  <c r="D20" i="14"/>
  <c r="B21" i="20"/>
  <c r="T34" i="19"/>
  <c r="D13" i="26"/>
  <c r="P20" i="4"/>
  <c r="D15" i="23"/>
  <c r="D16" i="8"/>
  <c r="H33" i="19"/>
  <c r="D5" i="19"/>
  <c r="H22" i="49"/>
  <c r="T15" i="11"/>
  <c r="H29" i="26"/>
  <c r="D15" i="49"/>
  <c r="P21" i="32"/>
  <c r="B21" i="53"/>
  <c r="B22" i="41"/>
  <c r="B16" i="98"/>
  <c r="P25" i="13"/>
  <c r="D16" i="17"/>
  <c r="P29" i="22"/>
  <c r="D29" i="50"/>
  <c r="H12" i="19"/>
  <c r="B38" i="32"/>
  <c r="T13" i="7"/>
  <c r="D13" i="25"/>
  <c r="P29" i="53"/>
  <c r="D33" i="37"/>
  <c r="T22" i="31"/>
  <c r="H15" i="23"/>
  <c r="T13" i="16"/>
  <c r="T34" i="16"/>
  <c r="D22" i="8"/>
  <c r="D5" i="4"/>
  <c r="T12" i="99"/>
  <c r="P20" i="52"/>
  <c r="H21" i="29"/>
  <c r="B39" i="22"/>
  <c r="T21" i="14"/>
  <c r="D21" i="19"/>
  <c r="H33" i="10"/>
  <c r="T29" i="7"/>
  <c r="H29" i="7"/>
  <c r="P21" i="44"/>
  <c r="H20" i="32"/>
  <c r="P13" i="22"/>
  <c r="P20" i="20"/>
  <c r="D4" i="19"/>
  <c r="H12" i="11"/>
  <c r="B21" i="8"/>
  <c r="H16" i="5"/>
  <c r="D4" i="4"/>
  <c r="B38" i="98"/>
  <c r="P21" i="49"/>
  <c r="B21" i="29"/>
  <c r="H16" i="23"/>
  <c r="P33" i="13"/>
  <c r="H21" i="13"/>
  <c r="D13" i="14"/>
  <c r="T34" i="99"/>
  <c r="H15" i="17"/>
  <c r="D4" i="41"/>
  <c r="D33" i="14"/>
  <c r="T16" i="26"/>
  <c r="D4" i="10"/>
  <c r="P12" i="13"/>
  <c r="D13" i="8"/>
  <c r="B21" i="17"/>
  <c r="D25" i="31"/>
  <c r="P33" i="4"/>
  <c r="D15" i="19"/>
  <c r="D5" i="7"/>
  <c r="D24" i="8"/>
  <c r="T13" i="8"/>
  <c r="B16" i="16"/>
  <c r="P22" i="10"/>
  <c r="H33" i="22"/>
  <c r="P33" i="7"/>
  <c r="H22" i="14"/>
  <c r="T15" i="52"/>
  <c r="P15" i="26"/>
  <c r="T20" i="4"/>
  <c r="D16" i="29"/>
  <c r="P21" i="98"/>
  <c r="T12" i="46"/>
  <c r="D22" i="31"/>
  <c r="D25" i="49"/>
  <c r="D22" i="37"/>
  <c r="B22" i="52"/>
  <c r="P29" i="20"/>
  <c r="B25" i="13"/>
  <c r="T22" i="11"/>
  <c r="P33" i="5"/>
  <c r="P34" i="7"/>
  <c r="P21" i="99"/>
  <c r="B38" i="40"/>
  <c r="D25" i="16"/>
  <c r="T13" i="11"/>
  <c r="T33" i="13"/>
  <c r="P20" i="10"/>
  <c r="B25" i="14"/>
  <c r="H25" i="47"/>
  <c r="T20" i="35"/>
  <c r="P25" i="25"/>
  <c r="T25" i="46"/>
  <c r="B39" i="32"/>
  <c r="B25" i="47"/>
  <c r="T16" i="13"/>
  <c r="B22" i="11"/>
  <c r="T33" i="20"/>
  <c r="H24" i="25"/>
  <c r="P25" i="11"/>
  <c r="P20" i="23"/>
  <c r="D20" i="52"/>
  <c r="P25" i="19"/>
  <c r="H24" i="49"/>
  <c r="P22" i="32"/>
  <c r="T13" i="22"/>
  <c r="T12" i="25"/>
  <c r="H12" i="13"/>
  <c r="H34" i="14"/>
  <c r="D21" i="10"/>
  <c r="B39" i="4"/>
  <c r="T33" i="100"/>
  <c r="B16" i="41"/>
  <c r="T20" i="25"/>
  <c r="D22" i="23"/>
  <c r="T13" i="14"/>
  <c r="D29" i="13"/>
  <c r="T25" i="14"/>
  <c r="T25" i="13"/>
  <c r="B22" i="17"/>
  <c r="B22" i="44"/>
  <c r="T20" i="28"/>
  <c r="D4" i="23"/>
  <c r="B16" i="23"/>
  <c r="B22" i="26"/>
  <c r="D15" i="14"/>
  <c r="B16" i="8"/>
  <c r="H15" i="5"/>
  <c r="B13" i="5"/>
  <c r="P25" i="52"/>
  <c r="D12" i="34"/>
  <c r="P22" i="23"/>
  <c r="H20" i="22"/>
  <c r="T25" i="23"/>
  <c r="B21" i="14"/>
  <c r="B38" i="7"/>
  <c r="H25" i="41"/>
  <c r="T22" i="17"/>
  <c r="P12" i="31"/>
  <c r="T29" i="8"/>
  <c r="H13" i="22"/>
  <c r="D24" i="4"/>
  <c r="D34" i="17"/>
  <c r="P33" i="47"/>
  <c r="H20" i="10"/>
  <c r="B39" i="20"/>
  <c r="H13" i="5"/>
  <c r="B25" i="11"/>
  <c r="H22" i="23"/>
  <c r="B25" i="5"/>
  <c r="P15" i="52"/>
  <c r="H34" i="10"/>
  <c r="B25" i="37"/>
  <c r="H13" i="19"/>
  <c r="B21" i="4"/>
  <c r="T25" i="10"/>
  <c r="B22" i="25"/>
  <c r="D15" i="20"/>
  <c r="T13" i="26"/>
  <c r="D16" i="16"/>
  <c r="D34" i="26"/>
  <c r="T25" i="29"/>
  <c r="H29" i="14"/>
  <c r="H12" i="44"/>
  <c r="T20" i="37"/>
  <c r="P22" i="99"/>
  <c r="H29" i="43"/>
  <c r="P29" i="100"/>
  <c r="B25" i="44"/>
  <c r="P34" i="8"/>
  <c r="T20" i="11"/>
  <c r="P25" i="16"/>
  <c r="D21" i="52"/>
  <c r="H13" i="10"/>
  <c r="T25" i="20"/>
  <c r="T20" i="46"/>
  <c r="P33" i="14"/>
  <c r="B39" i="53"/>
  <c r="D29" i="34"/>
  <c r="B25" i="26"/>
  <c r="B16" i="22"/>
  <c r="H29" i="17"/>
  <c r="T29" i="19"/>
  <c r="P22" i="5"/>
  <c r="D20" i="11"/>
  <c r="H12" i="98"/>
  <c r="H13" i="38"/>
  <c r="P25" i="26"/>
  <c r="T15" i="28"/>
  <c r="B16" i="19"/>
  <c r="T29" i="11"/>
  <c r="H16" i="10"/>
  <c r="B39" i="5"/>
  <c r="H22" i="7"/>
  <c r="T25" i="43"/>
  <c r="T13" i="34"/>
  <c r="T21" i="26"/>
  <c r="P33" i="17"/>
  <c r="H21" i="17"/>
  <c r="D12" i="10"/>
  <c r="H12" i="4"/>
  <c r="D22" i="11"/>
  <c r="P34" i="10"/>
  <c r="H33" i="47"/>
  <c r="D16" i="37"/>
  <c r="P21" i="23"/>
  <c r="D16" i="19"/>
  <c r="P13" i="16"/>
  <c r="T29" i="10"/>
  <c r="T24" i="4"/>
  <c r="T20" i="32"/>
  <c r="H24" i="10"/>
  <c r="P15" i="20"/>
  <c r="D34" i="14"/>
  <c r="P25" i="14"/>
  <c r="B38" i="8"/>
  <c r="T13" i="13"/>
  <c r="B38" i="44"/>
  <c r="T20" i="5"/>
  <c r="D24" i="23"/>
  <c r="H12" i="8"/>
  <c r="P15" i="4"/>
  <c r="T15" i="17"/>
  <c r="P25" i="53"/>
  <c r="P24" i="34"/>
  <c r="H20" i="8"/>
  <c r="B25" i="22"/>
  <c r="T33" i="29"/>
  <c r="P16" i="46"/>
  <c r="P20" i="11"/>
  <c r="B25" i="16"/>
  <c r="P16" i="17"/>
  <c r="H16" i="19"/>
  <c r="B39" i="13"/>
  <c r="P21" i="17"/>
  <c r="T13" i="98"/>
  <c r="T16" i="23"/>
  <c r="P24" i="98"/>
  <c r="P21" i="41"/>
  <c r="H24" i="44"/>
  <c r="T33" i="52"/>
  <c r="H13" i="37"/>
  <c r="H20" i="99"/>
  <c r="B38" i="41"/>
  <c r="D34" i="8"/>
  <c r="P33" i="8"/>
  <c r="T21" i="20"/>
  <c r="D24" i="47"/>
  <c r="H16" i="7"/>
  <c r="P29" i="19"/>
  <c r="H15" i="40"/>
  <c r="P22" i="14"/>
  <c r="P34" i="47"/>
  <c r="D4" i="31"/>
  <c r="D12" i="23"/>
  <c r="T21" i="19"/>
  <c r="H21" i="20"/>
  <c r="P21" i="11"/>
  <c r="H16" i="11"/>
  <c r="D24" i="5"/>
  <c r="T20" i="53"/>
  <c r="H29" i="35"/>
  <c r="H33" i="26"/>
  <c r="D24" i="22"/>
  <c r="D34" i="25"/>
  <c r="H25" i="14"/>
  <c r="H16" i="8"/>
  <c r="B16" i="14"/>
  <c r="P22" i="100"/>
  <c r="P22" i="44"/>
  <c r="H24" i="28"/>
  <c r="H24" i="22"/>
  <c r="T24" i="13"/>
  <c r="H15" i="19"/>
  <c r="H29" i="10"/>
  <c r="T25" i="7"/>
  <c r="H25" i="7"/>
  <c r="B25" i="4"/>
  <c r="H22" i="46"/>
  <c r="T25" i="35"/>
  <c r="H25" i="20"/>
  <c r="P12" i="25"/>
  <c r="H25" i="23"/>
  <c r="D24" i="13"/>
  <c r="H15" i="8"/>
  <c r="D29" i="29"/>
  <c r="T34" i="8"/>
  <c r="D13" i="23"/>
  <c r="H24" i="4"/>
  <c r="P13" i="13"/>
  <c r="D12" i="99"/>
  <c r="T22" i="20"/>
  <c r="P25" i="38"/>
  <c r="T15" i="4"/>
  <c r="T20" i="20"/>
  <c r="D34" i="10"/>
  <c r="D4" i="8"/>
  <c r="T24" i="11"/>
  <c r="P12" i="28"/>
  <c r="T24" i="29"/>
  <c r="B38" i="10"/>
  <c r="D34" i="16"/>
  <c r="P15" i="16"/>
  <c r="P24" i="40"/>
  <c r="P21" i="14"/>
  <c r="P15" i="5"/>
  <c r="H13" i="34"/>
  <c r="T20" i="17"/>
  <c r="P13" i="8"/>
  <c r="P13" i="32"/>
  <c r="P12" i="8"/>
  <c r="T25" i="53"/>
  <c r="H13" i="47"/>
  <c r="P16" i="38"/>
  <c r="D34" i="46"/>
  <c r="H34" i="34"/>
  <c r="D13" i="50"/>
  <c r="P12" i="47"/>
  <c r="B13" i="46"/>
  <c r="B39" i="8"/>
  <c r="H20" i="14"/>
  <c r="T16" i="44"/>
  <c r="H29" i="4"/>
  <c r="P12" i="19"/>
  <c r="D24" i="35"/>
  <c r="T16" i="16"/>
  <c r="H29" i="44"/>
  <c r="D5" i="34"/>
  <c r="H29" i="19"/>
  <c r="T12" i="17"/>
  <c r="H25" i="16"/>
  <c r="H20" i="16"/>
  <c r="H12" i="5"/>
  <c r="H12" i="14"/>
  <c r="P15" i="50"/>
  <c r="D20" i="38"/>
  <c r="D15" i="25"/>
  <c r="B21" i="19"/>
  <c r="P21" i="16"/>
  <c r="T34" i="10"/>
  <c r="P25" i="5"/>
  <c r="P29" i="7"/>
  <c r="P33" i="98"/>
  <c r="H21" i="40"/>
  <c r="T21" i="25"/>
  <c r="B13" i="19"/>
  <c r="T16" i="17"/>
  <c r="H21" i="16"/>
  <c r="D12" i="13"/>
  <c r="D12" i="4"/>
  <c r="D16" i="4"/>
  <c r="B13" i="11"/>
  <c r="H20" i="49"/>
  <c r="T13" i="38"/>
  <c r="B13" i="26"/>
  <c r="P22" i="20"/>
  <c r="P20" i="16"/>
  <c r="B21" i="28"/>
  <c r="P34" i="4"/>
  <c r="H34" i="20"/>
  <c r="B21" i="5"/>
  <c r="P20" i="29"/>
  <c r="B22" i="5"/>
  <c r="D20" i="22"/>
  <c r="B25" i="46"/>
  <c r="P15" i="11"/>
  <c r="P22" i="25"/>
  <c r="P12" i="7"/>
  <c r="P34" i="16"/>
  <c r="H25" i="44"/>
  <c r="D29" i="37"/>
  <c r="P13" i="5"/>
  <c r="H21" i="26"/>
  <c r="P25" i="23"/>
  <c r="T33" i="7"/>
  <c r="P34" i="5"/>
  <c r="D29" i="16"/>
  <c r="D34" i="38"/>
  <c r="T22" i="4"/>
  <c r="H21" i="8"/>
  <c r="H24" i="38"/>
  <c r="H12" i="10"/>
  <c r="H16" i="22"/>
  <c r="T16" i="52"/>
  <c r="D33" i="44"/>
  <c r="T22" i="99"/>
  <c r="D34" i="43"/>
  <c r="H13" i="26"/>
  <c r="H34" i="44"/>
  <c r="B13" i="34"/>
  <c r="H25" i="28"/>
  <c r="D33" i="8"/>
  <c r="H24" i="13"/>
  <c r="P20" i="32"/>
  <c r="D20" i="5"/>
  <c r="B38" i="20"/>
  <c r="T33" i="35"/>
  <c r="H33" i="17"/>
  <c r="H22" i="52"/>
  <c r="T22" i="28"/>
  <c r="H24" i="23"/>
  <c r="H22" i="19"/>
  <c r="P15" i="13"/>
  <c r="D20" i="17"/>
  <c r="T33" i="8"/>
  <c r="H12" i="7"/>
  <c r="D29" i="47"/>
  <c r="P25" i="31"/>
  <c r="H33" i="20"/>
  <c r="P13" i="28"/>
  <c r="H16" i="25"/>
  <c r="P15" i="14"/>
  <c r="B22" i="8"/>
  <c r="H22" i="4"/>
  <c r="H15" i="99"/>
  <c r="D16" i="40"/>
  <c r="T29" i="31"/>
  <c r="H20" i="23"/>
  <c r="P34" i="13"/>
  <c r="D25" i="13"/>
  <c r="D16" i="14"/>
  <c r="D34" i="11"/>
  <c r="D29" i="10"/>
  <c r="P15" i="7"/>
  <c r="T15" i="44"/>
  <c r="H16" i="32"/>
  <c r="H12" i="22"/>
  <c r="P16" i="20"/>
  <c r="B39" i="17"/>
  <c r="P24" i="10"/>
  <c r="D20" i="8"/>
  <c r="B16" i="25"/>
  <c r="D13" i="5"/>
  <c r="P25" i="17"/>
  <c r="T12" i="4"/>
  <c r="D13" i="13"/>
  <c r="D34" i="44"/>
  <c r="D24" i="10"/>
  <c r="P21" i="22"/>
  <c r="P25" i="10"/>
  <c r="H25" i="17"/>
  <c r="T25" i="40"/>
  <c r="B39" i="23"/>
  <c r="D15" i="5"/>
  <c r="D24" i="17"/>
  <c r="T16" i="29"/>
  <c r="D25" i="10"/>
  <c r="D13" i="4"/>
  <c r="P12" i="11"/>
  <c r="H13" i="29"/>
  <c r="T13" i="4"/>
  <c r="D33" i="26"/>
  <c r="D20" i="4"/>
  <c r="B16" i="11"/>
  <c r="H13" i="11"/>
  <c r="T34" i="49"/>
  <c r="B38" i="31"/>
  <c r="D33" i="98"/>
  <c r="B39" i="40"/>
  <c r="T15" i="26"/>
  <c r="H34" i="41"/>
  <c r="H33" i="25"/>
  <c r="B38" i="23"/>
  <c r="P20" i="98"/>
  <c r="H15" i="13"/>
  <c r="P24" i="19"/>
  <c r="D16" i="99"/>
  <c r="H16" i="13"/>
  <c r="P13" i="34"/>
  <c r="H21" i="35"/>
  <c r="P25" i="44"/>
  <c r="T29" i="26"/>
  <c r="B16" i="29"/>
  <c r="D25" i="19"/>
  <c r="D33" i="17"/>
  <c r="D5" i="11"/>
  <c r="P21" i="4"/>
  <c r="D5" i="8"/>
  <c r="B22" i="50"/>
  <c r="P15" i="32"/>
  <c r="H20" i="26"/>
  <c r="T12" i="22"/>
  <c r="P15" i="17"/>
  <c r="D21" i="16"/>
  <c r="T16" i="5"/>
  <c r="P21" i="8"/>
  <c r="D25" i="100"/>
  <c r="H25" i="37"/>
  <c r="P34" i="23"/>
  <c r="B38" i="26"/>
  <c r="T12" i="19"/>
  <c r="T25" i="11"/>
  <c r="B13" i="10"/>
  <c r="H24" i="5"/>
  <c r="H13" i="7"/>
  <c r="T24" i="5"/>
  <c r="T24" i="47"/>
  <c r="T16" i="38"/>
  <c r="P22" i="29"/>
  <c r="P12" i="35"/>
  <c r="H24" i="14"/>
  <c r="D21" i="13"/>
  <c r="T16" i="4"/>
  <c r="T20" i="29"/>
  <c r="P13" i="7"/>
  <c r="H12" i="16"/>
  <c r="T25" i="34"/>
  <c r="H13" i="13"/>
  <c r="D24" i="34"/>
  <c r="P24" i="5"/>
  <c r="P34" i="28"/>
  <c r="D16" i="5"/>
  <c r="B39" i="16"/>
  <c r="P29" i="26"/>
  <c r="B21" i="16"/>
  <c r="H25" i="98"/>
  <c r="D34" i="7"/>
  <c r="P21" i="28"/>
  <c r="D22" i="5"/>
  <c r="D34" i="52"/>
  <c r="B13" i="16"/>
  <c r="T15" i="23"/>
  <c r="H15" i="10"/>
  <c r="D25" i="26"/>
  <c r="P33" i="49"/>
  <c r="P33" i="23"/>
  <c r="D22" i="26"/>
  <c r="H16" i="43"/>
  <c r="B21" i="41"/>
  <c r="T24" i="26"/>
  <c r="P21" i="53"/>
  <c r="P29" i="38"/>
  <c r="D12" i="98"/>
  <c r="P25" i="34"/>
  <c r="H20" i="100"/>
  <c r="D34" i="22"/>
  <c r="H12" i="50"/>
  <c r="D25" i="7"/>
  <c r="D12" i="19"/>
  <c r="P34" i="34"/>
  <c r="T34" i="13"/>
  <c r="P13" i="26"/>
  <c r="T21" i="100"/>
  <c r="H29" i="41"/>
  <c r="T24" i="32"/>
  <c r="H21" i="23"/>
  <c r="P29" i="14"/>
  <c r="D12" i="22"/>
  <c r="D4" i="11"/>
  <c r="T34" i="7"/>
  <c r="H34" i="7"/>
  <c r="P12" i="46"/>
  <c r="H15" i="34"/>
  <c r="T15" i="22"/>
  <c r="P16" i="22"/>
  <c r="H24" i="19"/>
  <c r="P13" i="11"/>
  <c r="D33" i="10"/>
  <c r="H20" i="5"/>
  <c r="P29" i="52"/>
  <c r="P16" i="34"/>
  <c r="P24" i="23"/>
  <c r="D22" i="22"/>
  <c r="T33" i="23"/>
  <c r="T22" i="14"/>
  <c r="B13" i="8"/>
  <c r="P24" i="13"/>
  <c r="D29" i="11"/>
  <c r="T24" i="10"/>
  <c r="D21" i="44"/>
  <c r="T16" i="28"/>
  <c r="H34" i="22"/>
  <c r="D16" i="22"/>
  <c r="T12" i="23"/>
  <c r="P22" i="13"/>
  <c r="D15" i="8"/>
  <c r="D13" i="19"/>
  <c r="B16" i="4"/>
  <c r="D5" i="13"/>
  <c r="T33" i="11"/>
  <c r="B21" i="13"/>
  <c r="D24" i="31"/>
  <c r="D12" i="5"/>
  <c r="D15" i="22"/>
  <c r="H24" i="7"/>
  <c r="D15" i="11"/>
  <c r="H25" i="19"/>
  <c r="B39" i="19"/>
  <c r="T34" i="32"/>
  <c r="B38" i="4"/>
  <c r="P13" i="19"/>
  <c r="H33" i="7"/>
  <c r="T21" i="44"/>
  <c r="H22" i="13"/>
  <c r="D16" i="28"/>
  <c r="B38" i="5"/>
  <c r="B16" i="20"/>
  <c r="P16" i="4"/>
  <c r="P15" i="37"/>
  <c r="P29" i="10"/>
  <c r="D15" i="7"/>
  <c r="B38" i="35"/>
  <c r="P12" i="100"/>
  <c r="D5" i="46"/>
  <c r="H12" i="31"/>
  <c r="H12" i="52"/>
  <c r="D22" i="34"/>
  <c r="P25" i="41"/>
  <c r="T24" i="16"/>
  <c r="H29" i="46"/>
  <c r="P15" i="8"/>
  <c r="B13" i="25"/>
  <c r="P21" i="47"/>
  <c r="D13" i="7"/>
  <c r="D29" i="26"/>
  <c r="P12" i="98"/>
  <c r="P33" i="43"/>
  <c r="T20" i="26"/>
  <c r="D22" i="19"/>
  <c r="P24" i="17"/>
  <c r="D33" i="16"/>
  <c r="P13" i="14"/>
  <c r="D5" i="5"/>
  <c r="T12" i="5"/>
  <c r="H13" i="53"/>
  <c r="T12" i="32"/>
  <c r="P15" i="19"/>
  <c r="D20" i="16"/>
  <c r="D5" i="16"/>
  <c r="B22" i="14"/>
  <c r="P22" i="4"/>
  <c r="P22" i="11"/>
  <c r="H34" i="47"/>
  <c r="D20" i="37"/>
  <c r="D4" i="25"/>
  <c r="D20" i="19"/>
  <c r="T15" i="16"/>
  <c r="T33" i="10"/>
  <c r="T21" i="5"/>
  <c r="P25" i="7"/>
  <c r="H22" i="5"/>
  <c r="D4" i="7"/>
  <c r="D20" i="43"/>
  <c r="B25" i="31"/>
  <c r="H22" i="25"/>
  <c r="P29" i="17"/>
  <c r="D13" i="17"/>
  <c r="T24" i="17"/>
  <c r="H16" i="16"/>
  <c r="D12" i="17"/>
  <c r="T24" i="23"/>
  <c r="D33" i="13"/>
  <c r="H34" i="100"/>
  <c r="B22" i="13"/>
  <c r="D33" i="25"/>
  <c r="T24" i="7"/>
  <c r="P22" i="17"/>
  <c r="P20" i="99"/>
  <c r="T33" i="16"/>
  <c r="H29" i="23"/>
  <c r="T15" i="14"/>
  <c r="B13" i="23"/>
  <c r="B16" i="34"/>
  <c r="P29" i="13"/>
  <c r="H13" i="52"/>
  <c r="D4" i="34"/>
  <c r="P29" i="5"/>
  <c r="T12" i="20"/>
  <c r="B22" i="10"/>
  <c r="B38" i="52"/>
  <c r="T20" i="13"/>
  <c r="H33" i="99"/>
  <c r="D13" i="10"/>
  <c r="P15" i="98"/>
  <c r="D34" i="32"/>
  <c r="T15" i="98"/>
  <c r="H22" i="41"/>
  <c r="P34" i="29"/>
  <c r="T20" i="52"/>
  <c r="D12" i="35"/>
  <c r="D21" i="28"/>
  <c r="T21" i="13"/>
  <c r="H34" i="38"/>
  <c r="P22" i="8"/>
  <c r="T33" i="22"/>
  <c r="D22" i="52"/>
  <c r="D15" i="13"/>
  <c r="P16" i="23"/>
  <c r="P16" i="98"/>
  <c r="T29" i="47"/>
  <c r="P24" i="25"/>
  <c r="B25" i="23"/>
  <c r="T20" i="14"/>
  <c r="D34" i="13"/>
  <c r="T29" i="16"/>
  <c r="D21" i="4"/>
  <c r="D15" i="4"/>
  <c r="P33" i="46"/>
  <c r="T15" i="29"/>
  <c r="H13" i="23"/>
  <c r="T34" i="23"/>
  <c r="D15" i="29"/>
  <c r="T24" i="14"/>
  <c r="T25" i="8"/>
  <c r="D21" i="5"/>
  <c r="H24" i="46"/>
  <c r="P29" i="35"/>
  <c r="H29" i="20"/>
  <c r="B21" i="26"/>
  <c r="H33" i="23"/>
  <c r="P12" i="14"/>
  <c r="D21" i="8"/>
  <c r="H13" i="4"/>
  <c r="D24" i="11"/>
  <c r="T20" i="100"/>
  <c r="D4" i="44"/>
  <c r="H22" i="28"/>
  <c r="H22" i="22"/>
  <c r="T22" i="13"/>
  <c r="B25" i="17"/>
  <c r="H25" i="10"/>
  <c r="B16" i="7"/>
  <c r="H25" i="13"/>
  <c r="B21" i="98"/>
  <c r="D25" i="14"/>
  <c r="P13" i="53"/>
  <c r="B25" i="7"/>
  <c r="H20" i="19"/>
  <c r="H15" i="4"/>
  <c r="P20" i="22"/>
  <c r="T16" i="43"/>
  <c r="P12" i="17"/>
  <c r="T16" i="14"/>
  <c r="P15" i="10"/>
  <c r="P16" i="16"/>
  <c r="H24" i="17"/>
  <c r="D34" i="20"/>
  <c r="P24" i="29"/>
  <c r="D20" i="25"/>
  <c r="P24" i="4"/>
  <c r="B25" i="20"/>
  <c r="T22" i="5"/>
  <c r="D16" i="10"/>
  <c r="B39" i="14"/>
  <c r="T34" i="14"/>
  <c r="N127" i="12" l="1"/>
  <c r="L147" i="18"/>
  <c r="N147" i="18" s="1"/>
  <c r="H108" i="51"/>
  <c r="H112" i="51" s="1"/>
  <c r="T103" i="62"/>
  <c r="L18" i="80"/>
  <c r="X20" i="82"/>
  <c r="X21" i="83"/>
  <c r="L40" i="24"/>
  <c r="N40" i="24" s="1"/>
  <c r="L37" i="64"/>
  <c r="N37" i="64" s="1"/>
  <c r="N18" i="80"/>
  <c r="Z21" i="83"/>
  <c r="X23" i="84"/>
  <c r="Z23" i="84" s="1"/>
  <c r="L19" i="9"/>
  <c r="L25" i="85"/>
  <c r="X19" i="90"/>
  <c r="X18" i="58"/>
  <c r="L24" i="73"/>
  <c r="L18" i="89"/>
  <c r="N18" i="89" s="1"/>
  <c r="L57" i="27"/>
  <c r="N57" i="27" s="1"/>
  <c r="L18" i="59"/>
  <c r="N18" i="59" s="1"/>
  <c r="L18" i="81"/>
  <c r="H128" i="36"/>
  <c r="X21" i="74"/>
  <c r="L23" i="84"/>
  <c r="N23" i="84" s="1"/>
  <c r="X19" i="97"/>
  <c r="Z19" i="97" s="1"/>
  <c r="X19" i="56"/>
  <c r="N19" i="57"/>
  <c r="Z19" i="56"/>
  <c r="Z19" i="48"/>
  <c r="X18" i="55"/>
  <c r="Z18" i="55" s="1"/>
  <c r="L25" i="67"/>
  <c r="N25" i="67" s="1"/>
  <c r="N81" i="69"/>
  <c r="X24" i="73"/>
  <c r="Z24" i="73" s="1"/>
  <c r="Z22" i="86"/>
  <c r="N25" i="94"/>
  <c r="L19" i="97"/>
  <c r="N19" i="97" s="1"/>
  <c r="F19" i="97"/>
  <c r="L23" i="76"/>
  <c r="N23" i="76" s="1"/>
  <c r="H90" i="76"/>
  <c r="H94" i="76" s="1"/>
  <c r="L20" i="65"/>
  <c r="L18" i="55"/>
  <c r="L56" i="66"/>
  <c r="Z81" i="69"/>
  <c r="N24" i="73"/>
  <c r="L21" i="83"/>
  <c r="N21" i="83" s="1"/>
  <c r="R25" i="85"/>
  <c r="J34" i="39"/>
  <c r="P80" i="56"/>
  <c r="V81" i="69"/>
  <c r="J24" i="73"/>
  <c r="Z25" i="85"/>
  <c r="X18" i="91"/>
  <c r="Z18" i="91" s="1"/>
  <c r="X19" i="9"/>
  <c r="L82" i="30"/>
  <c r="X25" i="45"/>
  <c r="Z25" i="45" s="1"/>
  <c r="Z18" i="58"/>
  <c r="X20" i="65"/>
  <c r="X30" i="70"/>
  <c r="Z30" i="70" s="1"/>
  <c r="T86" i="95"/>
  <c r="Z34" i="39"/>
  <c r="L25" i="75"/>
  <c r="X47" i="77"/>
  <c r="Z47" i="77" s="1"/>
  <c r="V34" i="39"/>
  <c r="N157" i="3"/>
  <c r="T121" i="42"/>
  <c r="H74" i="67"/>
  <c r="J25" i="75"/>
  <c r="X157" i="3"/>
  <c r="Z157" i="3" s="1"/>
  <c r="Z21" i="74"/>
  <c r="T99" i="85"/>
  <c r="X21" i="95"/>
  <c r="N13" i="7"/>
  <c r="N22" i="7"/>
  <c r="N24" i="7"/>
  <c r="L13" i="8"/>
  <c r="N21" i="8"/>
  <c r="L25" i="8"/>
  <c r="L29" i="8"/>
  <c r="L33" i="8"/>
  <c r="L34" i="8"/>
  <c r="Z24" i="10"/>
  <c r="L29" i="10"/>
  <c r="V21" i="4"/>
  <c r="V20" i="4"/>
  <c r="V18" i="4"/>
  <c r="V16" i="4"/>
  <c r="T18" i="4"/>
  <c r="V15" i="4"/>
  <c r="Z12" i="4"/>
  <c r="V36" i="4"/>
  <c r="V34" i="4"/>
  <c r="V33" i="4"/>
  <c r="V31" i="4"/>
  <c r="V29" i="4"/>
  <c r="V27" i="4"/>
  <c r="V25" i="4"/>
  <c r="V24" i="4"/>
  <c r="V22" i="4"/>
  <c r="L15" i="4"/>
  <c r="Z25" i="4"/>
  <c r="Z29" i="4"/>
  <c r="Z33" i="4"/>
  <c r="Z34" i="4"/>
  <c r="R24" i="5"/>
  <c r="R22" i="5"/>
  <c r="R21" i="5"/>
  <c r="R20" i="5"/>
  <c r="R18" i="5"/>
  <c r="R16" i="5"/>
  <c r="P18" i="5"/>
  <c r="R15" i="5"/>
  <c r="X12" i="5"/>
  <c r="R36" i="5"/>
  <c r="R34" i="5"/>
  <c r="R33" i="5"/>
  <c r="R31" i="5"/>
  <c r="R29" i="5"/>
  <c r="R27" i="5"/>
  <c r="R25" i="5"/>
  <c r="Z22" i="5"/>
  <c r="Z24" i="5"/>
  <c r="L16" i="4"/>
  <c r="L20" i="4"/>
  <c r="V20" i="5"/>
  <c r="V18" i="5"/>
  <c r="V16" i="5"/>
  <c r="T18" i="5"/>
  <c r="V15" i="5"/>
  <c r="V33" i="5"/>
  <c r="V25" i="5"/>
  <c r="V34" i="5"/>
  <c r="V36" i="5"/>
  <c r="V31" i="5"/>
  <c r="V27" i="5"/>
  <c r="Z12" i="5"/>
  <c r="V29" i="5"/>
  <c r="V24" i="5"/>
  <c r="V22" i="5"/>
  <c r="V21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Z21" i="10"/>
  <c r="L34" i="10"/>
  <c r="L22" i="11"/>
  <c r="N20" i="13"/>
  <c r="L16" i="5"/>
  <c r="L13" i="11"/>
  <c r="N16" i="4"/>
  <c r="N20" i="4"/>
  <c r="L22" i="4"/>
  <c r="L24" i="4"/>
  <c r="N15" i="5"/>
  <c r="L21" i="5"/>
  <c r="J20" i="7"/>
  <c r="J18" i="7"/>
  <c r="J16" i="7"/>
  <c r="H18" i="7"/>
  <c r="J15" i="7"/>
  <c r="J36" i="7"/>
  <c r="J33" i="7"/>
  <c r="J29" i="7"/>
  <c r="J25" i="7"/>
  <c r="N12" i="7"/>
  <c r="J34" i="7"/>
  <c r="J31" i="7"/>
  <c r="J27" i="7"/>
  <c r="J24" i="7"/>
  <c r="J22" i="7"/>
  <c r="J21" i="7"/>
  <c r="X13" i="7"/>
  <c r="Z15" i="7"/>
  <c r="X21" i="7"/>
  <c r="F21" i="8"/>
  <c r="F20" i="8"/>
  <c r="F18" i="8"/>
  <c r="F16" i="8"/>
  <c r="D18" i="8"/>
  <c r="F15" i="8"/>
  <c r="L12" i="8"/>
  <c r="F36" i="8"/>
  <c r="F34" i="8"/>
  <c r="F33" i="8"/>
  <c r="F31" i="8"/>
  <c r="F29" i="8"/>
  <c r="F27" i="8"/>
  <c r="F25" i="8"/>
  <c r="F24" i="8"/>
  <c r="F22" i="8"/>
  <c r="X16" i="8"/>
  <c r="X20" i="8"/>
  <c r="X34" i="10"/>
  <c r="Z13" i="11"/>
  <c r="X22" i="11"/>
  <c r="N29" i="14"/>
  <c r="N12" i="14"/>
  <c r="J36" i="14"/>
  <c r="J34" i="14"/>
  <c r="J33" i="14"/>
  <c r="J31" i="14"/>
  <c r="J29" i="14"/>
  <c r="J27" i="14"/>
  <c r="J25" i="14"/>
  <c r="J21" i="14"/>
  <c r="H18" i="14"/>
  <c r="J15" i="14"/>
  <c r="J18" i="14"/>
  <c r="J20" i="14"/>
  <c r="J24" i="14"/>
  <c r="J16" i="14"/>
  <c r="J22" i="14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H18" i="8"/>
  <c r="J15" i="8"/>
  <c r="J22" i="8"/>
  <c r="N12" i="8"/>
  <c r="J24" i="8"/>
  <c r="J36" i="8"/>
  <c r="J34" i="8"/>
  <c r="J33" i="8"/>
  <c r="J31" i="8"/>
  <c r="J29" i="8"/>
  <c r="J27" i="8"/>
  <c r="J25" i="8"/>
  <c r="J21" i="8"/>
  <c r="J20" i="8"/>
  <c r="J18" i="8"/>
  <c r="J16" i="8"/>
  <c r="X13" i="8"/>
  <c r="Z15" i="8"/>
  <c r="X21" i="8"/>
  <c r="X25" i="10"/>
  <c r="L20" i="11"/>
  <c r="N15" i="4"/>
  <c r="L20" i="5"/>
  <c r="X20" i="7"/>
  <c r="N29" i="8"/>
  <c r="N34" i="8"/>
  <c r="X29" i="10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N22" i="10"/>
  <c r="N20" i="11"/>
  <c r="L24" i="11"/>
  <c r="X24" i="13"/>
  <c r="L25" i="10"/>
  <c r="X15" i="4"/>
  <c r="N25" i="4"/>
  <c r="N29" i="4"/>
  <c r="N33" i="4"/>
  <c r="N34" i="4"/>
  <c r="N13" i="5"/>
  <c r="N22" i="5"/>
  <c r="N24" i="5"/>
  <c r="X12" i="7"/>
  <c r="P18" i="7"/>
  <c r="R36" i="7"/>
  <c r="R34" i="7"/>
  <c r="R33" i="7"/>
  <c r="R31" i="7"/>
  <c r="R29" i="7"/>
  <c r="R27" i="7"/>
  <c r="R25" i="7"/>
  <c r="R24" i="7"/>
  <c r="R22" i="7"/>
  <c r="R21" i="7"/>
  <c r="R20" i="7"/>
  <c r="R18" i="7"/>
  <c r="R16" i="7"/>
  <c r="R15" i="7"/>
  <c r="Z22" i="7"/>
  <c r="Z24" i="7"/>
  <c r="Z21" i="8"/>
  <c r="X25" i="8"/>
  <c r="X29" i="8"/>
  <c r="X33" i="8"/>
  <c r="X34" i="8"/>
  <c r="L29" i="11"/>
  <c r="L34" i="11"/>
  <c r="Z25" i="13"/>
  <c r="L34" i="14"/>
  <c r="L21" i="4"/>
  <c r="F24" i="7"/>
  <c r="F22" i="7"/>
  <c r="F21" i="7"/>
  <c r="F20" i="7"/>
  <c r="F18" i="7"/>
  <c r="F16" i="7"/>
  <c r="D18" i="7"/>
  <c r="F15" i="7"/>
  <c r="L12" i="7"/>
  <c r="F36" i="7"/>
  <c r="F34" i="7"/>
  <c r="F33" i="7"/>
  <c r="F31" i="7"/>
  <c r="F29" i="7"/>
  <c r="F27" i="7"/>
  <c r="F25" i="7"/>
  <c r="X16" i="7"/>
  <c r="X15" i="8"/>
  <c r="N25" i="8"/>
  <c r="N33" i="8"/>
  <c r="N15" i="10"/>
  <c r="L33" i="11"/>
  <c r="L12" i="4"/>
  <c r="F16" i="4"/>
  <c r="F36" i="4"/>
  <c r="F34" i="4"/>
  <c r="F33" i="4"/>
  <c r="F31" i="4"/>
  <c r="F29" i="4"/>
  <c r="F27" i="4"/>
  <c r="F25" i="4"/>
  <c r="F24" i="4"/>
  <c r="F22" i="4"/>
  <c r="F21" i="4"/>
  <c r="F20" i="4"/>
  <c r="F18" i="4"/>
  <c r="D18" i="4"/>
  <c r="F15" i="4"/>
  <c r="X16" i="4"/>
  <c r="X20" i="4"/>
  <c r="X15" i="5"/>
  <c r="N25" i="5"/>
  <c r="N29" i="5"/>
  <c r="N33" i="5"/>
  <c r="N34" i="5"/>
  <c r="Z12" i="7"/>
  <c r="V36" i="7"/>
  <c r="V34" i="7"/>
  <c r="V33" i="7"/>
  <c r="V31" i="7"/>
  <c r="V29" i="7"/>
  <c r="V27" i="7"/>
  <c r="V25" i="7"/>
  <c r="V24" i="7"/>
  <c r="V22" i="7"/>
  <c r="V21" i="7"/>
  <c r="V20" i="7"/>
  <c r="V18" i="7"/>
  <c r="V16" i="7"/>
  <c r="T18" i="7"/>
  <c r="V15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P18" i="8"/>
  <c r="R15" i="8"/>
  <c r="Z22" i="8"/>
  <c r="Z24" i="8"/>
  <c r="Z22" i="10"/>
  <c r="Z20" i="11"/>
  <c r="X24" i="11"/>
  <c r="Z34" i="14"/>
  <c r="N16" i="16"/>
  <c r="N12" i="4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H18" i="4"/>
  <c r="J15" i="4"/>
  <c r="X13" i="4"/>
  <c r="Z15" i="4"/>
  <c r="X21" i="4"/>
  <c r="L12" i="5"/>
  <c r="F36" i="5"/>
  <c r="F34" i="5"/>
  <c r="F33" i="5"/>
  <c r="F31" i="5"/>
  <c r="F29" i="5"/>
  <c r="F27" i="5"/>
  <c r="F25" i="5"/>
  <c r="F24" i="5"/>
  <c r="F22" i="5"/>
  <c r="F15" i="5"/>
  <c r="F21" i="5"/>
  <c r="F20" i="5"/>
  <c r="F18" i="5"/>
  <c r="F16" i="5"/>
  <c r="D18" i="5"/>
  <c r="X16" i="5"/>
  <c r="X20" i="5"/>
  <c r="L16" i="7"/>
  <c r="L20" i="7"/>
  <c r="Z12" i="8"/>
  <c r="V36" i="8"/>
  <c r="V34" i="8"/>
  <c r="V33" i="8"/>
  <c r="V31" i="8"/>
  <c r="V29" i="8"/>
  <c r="V27" i="8"/>
  <c r="V25" i="8"/>
  <c r="V24" i="8"/>
  <c r="V22" i="8"/>
  <c r="V21" i="8"/>
  <c r="V20" i="8"/>
  <c r="V18" i="8"/>
  <c r="V16" i="8"/>
  <c r="T18" i="8"/>
  <c r="V15" i="8"/>
  <c r="L15" i="8"/>
  <c r="Z25" i="8"/>
  <c r="Z29" i="8"/>
  <c r="Z33" i="8"/>
  <c r="Z34" i="8"/>
  <c r="X12" i="10"/>
  <c r="R36" i="10"/>
  <c r="R34" i="10"/>
  <c r="R33" i="10"/>
  <c r="R31" i="10"/>
  <c r="R21" i="10"/>
  <c r="R20" i="10"/>
  <c r="R18" i="10"/>
  <c r="R16" i="10"/>
  <c r="P18" i="10"/>
  <c r="R15" i="10"/>
  <c r="R24" i="10"/>
  <c r="R27" i="10"/>
  <c r="R22" i="10"/>
  <c r="R25" i="10"/>
  <c r="R29" i="10"/>
  <c r="L16" i="11"/>
  <c r="L22" i="16"/>
  <c r="Z13" i="4"/>
  <c r="Z16" i="4"/>
  <c r="Z20" i="4"/>
  <c r="X22" i="4"/>
  <c r="X24" i="4"/>
  <c r="N12" i="5"/>
  <c r="J36" i="5"/>
  <c r="J34" i="5"/>
  <c r="J33" i="5"/>
  <c r="J31" i="5"/>
  <c r="J29" i="5"/>
  <c r="J27" i="5"/>
  <c r="J25" i="5"/>
  <c r="J24" i="5"/>
  <c r="J22" i="5"/>
  <c r="J21" i="5"/>
  <c r="J20" i="5"/>
  <c r="J18" i="5"/>
  <c r="J16" i="5"/>
  <c r="H18" i="5"/>
  <c r="J15" i="5"/>
  <c r="X13" i="5"/>
  <c r="Z15" i="5"/>
  <c r="X21" i="5"/>
  <c r="N15" i="7"/>
  <c r="L21" i="7"/>
  <c r="L16" i="8"/>
  <c r="L20" i="8"/>
  <c r="L33" i="10"/>
  <c r="N16" i="11"/>
  <c r="L15" i="13"/>
  <c r="N21" i="14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L13" i="10"/>
  <c r="L21" i="10"/>
  <c r="N24" i="10"/>
  <c r="N21" i="11"/>
  <c r="L25" i="11"/>
  <c r="L16" i="13"/>
  <c r="R36" i="4"/>
  <c r="R34" i="4"/>
  <c r="R33" i="4"/>
  <c r="R31" i="4"/>
  <c r="R29" i="4"/>
  <c r="R27" i="4"/>
  <c r="R25" i="4"/>
  <c r="R24" i="4"/>
  <c r="R22" i="4"/>
  <c r="R21" i="4"/>
  <c r="R20" i="4"/>
  <c r="R18" i="4"/>
  <c r="R16" i="4"/>
  <c r="P18" i="4"/>
  <c r="R15" i="4"/>
  <c r="X12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N13" i="10"/>
  <c r="N21" i="10"/>
  <c r="X33" i="10"/>
  <c r="Z16" i="11"/>
  <c r="X16" i="13"/>
  <c r="Z33" i="13"/>
  <c r="N16" i="10"/>
  <c r="N20" i="10"/>
  <c r="L22" i="10"/>
  <c r="L24" i="10"/>
  <c r="N15" i="11"/>
  <c r="L21" i="11"/>
  <c r="Z16" i="13"/>
  <c r="L13" i="14"/>
  <c r="L16" i="14"/>
  <c r="Z25" i="14"/>
  <c r="L33" i="14"/>
  <c r="Z29" i="16"/>
  <c r="Z22" i="17"/>
  <c r="X33" i="20"/>
  <c r="N15" i="13"/>
  <c r="X20" i="13"/>
  <c r="L22" i="13"/>
  <c r="X21" i="14"/>
  <c r="N33" i="14"/>
  <c r="F24" i="13"/>
  <c r="F22" i="13"/>
  <c r="F36" i="13"/>
  <c r="F20" i="13"/>
  <c r="F33" i="13"/>
  <c r="F16" i="13"/>
  <c r="F29" i="13"/>
  <c r="F21" i="13"/>
  <c r="F25" i="13"/>
  <c r="F34" i="13"/>
  <c r="F18" i="13"/>
  <c r="L12" i="13"/>
  <c r="D18" i="13"/>
  <c r="F31" i="13"/>
  <c r="F15" i="13"/>
  <c r="F27" i="13"/>
  <c r="Z20" i="13"/>
  <c r="N22" i="13"/>
  <c r="X13" i="14"/>
  <c r="L20" i="14"/>
  <c r="Z29" i="14"/>
  <c r="L24" i="16"/>
  <c r="Z22" i="19"/>
  <c r="Z29" i="23"/>
  <c r="X15" i="10"/>
  <c r="N25" i="10"/>
  <c r="N29" i="10"/>
  <c r="N33" i="10"/>
  <c r="N34" i="10"/>
  <c r="N13" i="11"/>
  <c r="N22" i="11"/>
  <c r="N24" i="11"/>
  <c r="V36" i="16"/>
  <c r="V34" i="16"/>
  <c r="V33" i="16"/>
  <c r="V31" i="16"/>
  <c r="V29" i="16"/>
  <c r="V27" i="16"/>
  <c r="V25" i="16"/>
  <c r="V21" i="16"/>
  <c r="V20" i="16"/>
  <c r="V18" i="16"/>
  <c r="V16" i="16"/>
  <c r="T18" i="16"/>
  <c r="V15" i="16"/>
  <c r="Z12" i="16"/>
  <c r="V24" i="16"/>
  <c r="V22" i="16"/>
  <c r="R24" i="17"/>
  <c r="R22" i="17"/>
  <c r="R21" i="17"/>
  <c r="R20" i="17"/>
  <c r="R18" i="17"/>
  <c r="R16" i="17"/>
  <c r="P18" i="17"/>
  <c r="R15" i="17"/>
  <c r="R34" i="17"/>
  <c r="R27" i="17"/>
  <c r="R33" i="17"/>
  <c r="R25" i="17"/>
  <c r="X12" i="17"/>
  <c r="R31" i="17"/>
  <c r="R36" i="17"/>
  <c r="R29" i="17"/>
  <c r="Z24" i="17"/>
  <c r="D18" i="10"/>
  <c r="F15" i="10"/>
  <c r="L12" i="10"/>
  <c r="F21" i="10"/>
  <c r="F33" i="10"/>
  <c r="F24" i="10"/>
  <c r="F27" i="10"/>
  <c r="F16" i="10"/>
  <c r="F34" i="10"/>
  <c r="F36" i="10"/>
  <c r="F31" i="10"/>
  <c r="F20" i="10"/>
  <c r="F22" i="10"/>
  <c r="F25" i="10"/>
  <c r="F29" i="10"/>
  <c r="F18" i="10"/>
  <c r="X16" i="10"/>
  <c r="X20" i="10"/>
  <c r="X15" i="11"/>
  <c r="N25" i="11"/>
  <c r="N29" i="11"/>
  <c r="N33" i="11"/>
  <c r="N34" i="11"/>
  <c r="V21" i="13"/>
  <c r="V20" i="13"/>
  <c r="V18" i="13"/>
  <c r="V16" i="13"/>
  <c r="V29" i="13"/>
  <c r="V25" i="13"/>
  <c r="Z12" i="13"/>
  <c r="V31" i="13"/>
  <c r="V22" i="13"/>
  <c r="V15" i="13"/>
  <c r="V27" i="13"/>
  <c r="V36" i="13"/>
  <c r="V33" i="13"/>
  <c r="V24" i="13"/>
  <c r="V34" i="13"/>
  <c r="T18" i="13"/>
  <c r="X22" i="13"/>
  <c r="L15" i="14"/>
  <c r="Z24" i="14"/>
  <c r="Z33" i="14"/>
  <c r="L20" i="17"/>
  <c r="J36" i="10"/>
  <c r="J34" i="10"/>
  <c r="J33" i="10"/>
  <c r="J31" i="10"/>
  <c r="J29" i="10"/>
  <c r="J27" i="10"/>
  <c r="J25" i="10"/>
  <c r="J24" i="10"/>
  <c r="J22" i="10"/>
  <c r="H18" i="10"/>
  <c r="J15" i="10"/>
  <c r="J16" i="10"/>
  <c r="N12" i="10"/>
  <c r="J20" i="10"/>
  <c r="J18" i="10"/>
  <c r="J21" i="10"/>
  <c r="X13" i="10"/>
  <c r="Z15" i="10"/>
  <c r="X21" i="10"/>
  <c r="F36" i="11"/>
  <c r="F34" i="11"/>
  <c r="F33" i="11"/>
  <c r="F31" i="11"/>
  <c r="F29" i="11"/>
  <c r="F27" i="11"/>
  <c r="F25" i="11"/>
  <c r="F20" i="11"/>
  <c r="F18" i="11"/>
  <c r="F16" i="11"/>
  <c r="L12" i="11"/>
  <c r="F21" i="11"/>
  <c r="F24" i="11"/>
  <c r="F22" i="11"/>
  <c r="F15" i="11"/>
  <c r="D18" i="11"/>
  <c r="X16" i="11"/>
  <c r="X20" i="11"/>
  <c r="L21" i="13"/>
  <c r="N20" i="16"/>
  <c r="Z25" i="19"/>
  <c r="Z13" i="10"/>
  <c r="Z16" i="10"/>
  <c r="Z20" i="10"/>
  <c r="X22" i="10"/>
  <c r="X24" i="10"/>
  <c r="N12" i="11"/>
  <c r="J36" i="11"/>
  <c r="J34" i="11"/>
  <c r="J33" i="11"/>
  <c r="J31" i="11"/>
  <c r="J29" i="11"/>
  <c r="J27" i="11"/>
  <c r="J25" i="11"/>
  <c r="J24" i="11"/>
  <c r="J22" i="11"/>
  <c r="J21" i="11"/>
  <c r="J16" i="11"/>
  <c r="J20" i="11"/>
  <c r="J15" i="11"/>
  <c r="J18" i="11"/>
  <c r="H18" i="11"/>
  <c r="X13" i="11"/>
  <c r="Z15" i="11"/>
  <c r="X21" i="11"/>
  <c r="Z34" i="13"/>
  <c r="N15" i="14"/>
  <c r="L15" i="16"/>
  <c r="Z25" i="16"/>
  <c r="Z33" i="16"/>
  <c r="N15" i="16"/>
  <c r="L21" i="16"/>
  <c r="Z29" i="19"/>
  <c r="Z22" i="20"/>
  <c r="Z21" i="11"/>
  <c r="X25" i="11"/>
  <c r="X29" i="11"/>
  <c r="X33" i="11"/>
  <c r="X34" i="11"/>
  <c r="N13" i="13"/>
  <c r="L24" i="13"/>
  <c r="R24" i="14"/>
  <c r="R22" i="14"/>
  <c r="R21" i="14"/>
  <c r="P18" i="14"/>
  <c r="R15" i="14"/>
  <c r="R34" i="14"/>
  <c r="X12" i="14"/>
  <c r="R31" i="14"/>
  <c r="R27" i="14"/>
  <c r="R20" i="14"/>
  <c r="R36" i="14"/>
  <c r="R16" i="14"/>
  <c r="R33" i="14"/>
  <c r="R29" i="14"/>
  <c r="R18" i="14"/>
  <c r="R25" i="14"/>
  <c r="X15" i="14"/>
  <c r="L25" i="14"/>
  <c r="N34" i="14"/>
  <c r="N15" i="17"/>
  <c r="L21" i="17"/>
  <c r="X25" i="20"/>
  <c r="V36" i="10"/>
  <c r="V34" i="10"/>
  <c r="V33" i="10"/>
  <c r="V31" i="10"/>
  <c r="V29" i="10"/>
  <c r="V27" i="10"/>
  <c r="V25" i="10"/>
  <c r="V24" i="10"/>
  <c r="V22" i="10"/>
  <c r="T18" i="10"/>
  <c r="V15" i="10"/>
  <c r="V16" i="10"/>
  <c r="Z12" i="10"/>
  <c r="V20" i="10"/>
  <c r="V21" i="10"/>
  <c r="V18" i="10"/>
  <c r="L15" i="10"/>
  <c r="Z25" i="10"/>
  <c r="Z29" i="10"/>
  <c r="Z33" i="10"/>
  <c r="Z34" i="10"/>
  <c r="R36" i="11"/>
  <c r="R34" i="11"/>
  <c r="R33" i="11"/>
  <c r="R31" i="11"/>
  <c r="R29" i="11"/>
  <c r="R27" i="11"/>
  <c r="R25" i="11"/>
  <c r="R24" i="11"/>
  <c r="R22" i="11"/>
  <c r="R20" i="11"/>
  <c r="R18" i="11"/>
  <c r="R16" i="11"/>
  <c r="P18" i="11"/>
  <c r="R15" i="11"/>
  <c r="R21" i="11"/>
  <c r="X12" i="11"/>
  <c r="Z22" i="11"/>
  <c r="Z24" i="11"/>
  <c r="N16" i="13"/>
  <c r="L20" i="13"/>
  <c r="N24" i="13"/>
  <c r="Z29" i="13"/>
  <c r="V20" i="14"/>
  <c r="V18" i="14"/>
  <c r="V16" i="14"/>
  <c r="T18" i="14"/>
  <c r="V15" i="14"/>
  <c r="V31" i="14"/>
  <c r="V22" i="14"/>
  <c r="V27" i="14"/>
  <c r="V33" i="14"/>
  <c r="V24" i="14"/>
  <c r="V29" i="14"/>
  <c r="V21" i="14"/>
  <c r="V25" i="14"/>
  <c r="V34" i="14"/>
  <c r="V36" i="14"/>
  <c r="Z12" i="14"/>
  <c r="Z15" i="14"/>
  <c r="Z22" i="14"/>
  <c r="N25" i="14"/>
  <c r="Z34" i="16"/>
  <c r="L15" i="19"/>
  <c r="Z33" i="19"/>
  <c r="L16" i="10"/>
  <c r="L20" i="10"/>
  <c r="V24" i="11"/>
  <c r="V22" i="11"/>
  <c r="V21" i="11"/>
  <c r="V20" i="11"/>
  <c r="V18" i="11"/>
  <c r="V16" i="11"/>
  <c r="Z12" i="11"/>
  <c r="V34" i="11"/>
  <c r="V29" i="11"/>
  <c r="V15" i="11"/>
  <c r="V33" i="11"/>
  <c r="V27" i="11"/>
  <c r="T18" i="11"/>
  <c r="V36" i="11"/>
  <c r="V31" i="11"/>
  <c r="V25" i="11"/>
  <c r="L15" i="11"/>
  <c r="Z25" i="11"/>
  <c r="Z29" i="11"/>
  <c r="Z33" i="11"/>
  <c r="Z34" i="11"/>
  <c r="Z13" i="13"/>
  <c r="L21" i="14"/>
  <c r="L29" i="14"/>
  <c r="L16" i="17"/>
  <c r="X29" i="20"/>
  <c r="L13" i="13"/>
  <c r="N21" i="13"/>
  <c r="L25" i="13"/>
  <c r="L29" i="13"/>
  <c r="L33" i="13"/>
  <c r="L34" i="13"/>
  <c r="N16" i="14"/>
  <c r="N20" i="14"/>
  <c r="L22" i="14"/>
  <c r="L24" i="14"/>
  <c r="L13" i="16"/>
  <c r="N21" i="16"/>
  <c r="L25" i="16"/>
  <c r="L29" i="16"/>
  <c r="L33" i="16"/>
  <c r="L34" i="16"/>
  <c r="N16" i="17"/>
  <c r="N20" i="17"/>
  <c r="L22" i="17"/>
  <c r="L24" i="17"/>
  <c r="N15" i="19"/>
  <c r="L21" i="19"/>
  <c r="L12" i="22"/>
  <c r="F36" i="22"/>
  <c r="F34" i="22"/>
  <c r="F33" i="22"/>
  <c r="F31" i="22"/>
  <c r="F29" i="22"/>
  <c r="F27" i="22"/>
  <c r="F25" i="22"/>
  <c r="F24" i="22"/>
  <c r="F22" i="22"/>
  <c r="F21" i="22"/>
  <c r="F16" i="22"/>
  <c r="F15" i="22"/>
  <c r="F20" i="22"/>
  <c r="F18" i="22"/>
  <c r="D18" i="22"/>
  <c r="N13" i="16"/>
  <c r="N22" i="16"/>
  <c r="N24" i="16"/>
  <c r="L13" i="17"/>
  <c r="N21" i="17"/>
  <c r="L25" i="17"/>
  <c r="L29" i="17"/>
  <c r="L33" i="17"/>
  <c r="L34" i="17"/>
  <c r="N21" i="19"/>
  <c r="L34" i="19"/>
  <c r="L24" i="20"/>
  <c r="L20" i="22"/>
  <c r="V20" i="23"/>
  <c r="V18" i="23"/>
  <c r="V16" i="23"/>
  <c r="T18" i="23"/>
  <c r="V15" i="23"/>
  <c r="Z12" i="23"/>
  <c r="V21" i="23"/>
  <c r="V34" i="23"/>
  <c r="V27" i="23"/>
  <c r="V33" i="23"/>
  <c r="V25" i="23"/>
  <c r="V31" i="23"/>
  <c r="V24" i="23"/>
  <c r="V36" i="23"/>
  <c r="V29" i="23"/>
  <c r="V22" i="23"/>
  <c r="L15" i="29"/>
  <c r="X15" i="13"/>
  <c r="N25" i="13"/>
  <c r="N29" i="13"/>
  <c r="N33" i="13"/>
  <c r="N34" i="13"/>
  <c r="N13" i="14"/>
  <c r="N22" i="14"/>
  <c r="N24" i="14"/>
  <c r="X15" i="16"/>
  <c r="N25" i="16"/>
  <c r="N29" i="16"/>
  <c r="N33" i="16"/>
  <c r="N34" i="16"/>
  <c r="N13" i="17"/>
  <c r="N22" i="17"/>
  <c r="N24" i="17"/>
  <c r="N24" i="19"/>
  <c r="N21" i="20"/>
  <c r="L34" i="20"/>
  <c r="L20" i="23"/>
  <c r="X15" i="25"/>
  <c r="L24" i="26"/>
  <c r="D18" i="16"/>
  <c r="F15" i="16"/>
  <c r="L12" i="16"/>
  <c r="F36" i="16"/>
  <c r="F34" i="16"/>
  <c r="F33" i="16"/>
  <c r="F31" i="16"/>
  <c r="F29" i="16"/>
  <c r="F27" i="16"/>
  <c r="F25" i="16"/>
  <c r="F24" i="16"/>
  <c r="F22" i="16"/>
  <c r="F16" i="16"/>
  <c r="F21" i="16"/>
  <c r="F20" i="16"/>
  <c r="F18" i="16"/>
  <c r="X16" i="16"/>
  <c r="X20" i="16"/>
  <c r="X15" i="17"/>
  <c r="N25" i="17"/>
  <c r="N29" i="17"/>
  <c r="N33" i="17"/>
  <c r="N34" i="17"/>
  <c r="J36" i="19"/>
  <c r="J34" i="19"/>
  <c r="J33" i="19"/>
  <c r="J31" i="19"/>
  <c r="J29" i="19"/>
  <c r="J27" i="19"/>
  <c r="J25" i="19"/>
  <c r="J24" i="19"/>
  <c r="J22" i="19"/>
  <c r="H18" i="19"/>
  <c r="J15" i="19"/>
  <c r="N12" i="19"/>
  <c r="J20" i="19"/>
  <c r="J16" i="19"/>
  <c r="J21" i="19"/>
  <c r="J18" i="19"/>
  <c r="Z15" i="19"/>
  <c r="X21" i="19"/>
  <c r="F36" i="20"/>
  <c r="F34" i="20"/>
  <c r="F33" i="20"/>
  <c r="F31" i="20"/>
  <c r="F29" i="20"/>
  <c r="F27" i="20"/>
  <c r="F25" i="20"/>
  <c r="F20" i="20"/>
  <c r="F18" i="20"/>
  <c r="F16" i="20"/>
  <c r="L12" i="20"/>
  <c r="F22" i="20"/>
  <c r="F24" i="20"/>
  <c r="F21" i="20"/>
  <c r="D18" i="20"/>
  <c r="F15" i="20"/>
  <c r="X20" i="22"/>
  <c r="N25" i="23"/>
  <c r="N33" i="23"/>
  <c r="N16" i="25"/>
  <c r="Z25" i="29"/>
  <c r="N12" i="13"/>
  <c r="J24" i="13"/>
  <c r="J22" i="13"/>
  <c r="J20" i="13"/>
  <c r="J18" i="13"/>
  <c r="J16" i="13"/>
  <c r="J33" i="13"/>
  <c r="J25" i="13"/>
  <c r="J34" i="13"/>
  <c r="H18" i="13"/>
  <c r="J31" i="13"/>
  <c r="J15" i="13"/>
  <c r="J27" i="13"/>
  <c r="J29" i="13"/>
  <c r="J21" i="13"/>
  <c r="J36" i="13"/>
  <c r="X13" i="13"/>
  <c r="Z15" i="13"/>
  <c r="X21" i="13"/>
  <c r="L12" i="14"/>
  <c r="F36" i="14"/>
  <c r="F34" i="14"/>
  <c r="F33" i="14"/>
  <c r="F31" i="14"/>
  <c r="F29" i="14"/>
  <c r="F27" i="14"/>
  <c r="F25" i="14"/>
  <c r="F21" i="14"/>
  <c r="F18" i="14"/>
  <c r="F22" i="14"/>
  <c r="F15" i="14"/>
  <c r="F20" i="14"/>
  <c r="F24" i="14"/>
  <c r="F16" i="14"/>
  <c r="D18" i="14"/>
  <c r="X16" i="14"/>
  <c r="X20" i="14"/>
  <c r="N12" i="16"/>
  <c r="J36" i="16"/>
  <c r="J34" i="16"/>
  <c r="J33" i="16"/>
  <c r="J31" i="16"/>
  <c r="J29" i="16"/>
  <c r="J27" i="16"/>
  <c r="J25" i="16"/>
  <c r="J24" i="16"/>
  <c r="J22" i="16"/>
  <c r="J21" i="16"/>
  <c r="J20" i="16"/>
  <c r="J18" i="16"/>
  <c r="J16" i="16"/>
  <c r="J15" i="16"/>
  <c r="H18" i="16"/>
  <c r="X13" i="16"/>
  <c r="Z15" i="16"/>
  <c r="X21" i="16"/>
  <c r="L12" i="17"/>
  <c r="F36" i="17"/>
  <c r="F34" i="17"/>
  <c r="F33" i="17"/>
  <c r="F31" i="17"/>
  <c r="F29" i="17"/>
  <c r="F27" i="17"/>
  <c r="F25" i="17"/>
  <c r="F24" i="17"/>
  <c r="F22" i="17"/>
  <c r="F21" i="17"/>
  <c r="F15" i="17"/>
  <c r="F20" i="17"/>
  <c r="F18" i="17"/>
  <c r="D18" i="17"/>
  <c r="F16" i="17"/>
  <c r="X16" i="17"/>
  <c r="X20" i="17"/>
  <c r="R21" i="19"/>
  <c r="P18" i="19"/>
  <c r="R15" i="19"/>
  <c r="X12" i="19"/>
  <c r="R24" i="19"/>
  <c r="R22" i="19"/>
  <c r="R20" i="19"/>
  <c r="R16" i="19"/>
  <c r="R34" i="19"/>
  <c r="R31" i="19"/>
  <c r="R27" i="19"/>
  <c r="R18" i="19"/>
  <c r="R36" i="19"/>
  <c r="R33" i="19"/>
  <c r="R29" i="19"/>
  <c r="R25" i="19"/>
  <c r="Z24" i="19"/>
  <c r="Z21" i="20"/>
  <c r="X34" i="20"/>
  <c r="L15" i="23"/>
  <c r="Z25" i="23"/>
  <c r="Z33" i="23"/>
  <c r="L34" i="25"/>
  <c r="Z33" i="29"/>
  <c r="Z13" i="16"/>
  <c r="Z16" i="16"/>
  <c r="Z20" i="16"/>
  <c r="X22" i="16"/>
  <c r="X24" i="16"/>
  <c r="N12" i="17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H18" i="17"/>
  <c r="J15" i="17"/>
  <c r="X13" i="17"/>
  <c r="Z15" i="17"/>
  <c r="X21" i="17"/>
  <c r="T18" i="19"/>
  <c r="V15" i="19"/>
  <c r="V36" i="19"/>
  <c r="V34" i="19"/>
  <c r="V33" i="19"/>
  <c r="V31" i="19"/>
  <c r="V29" i="19"/>
  <c r="V27" i="19"/>
  <c r="V25" i="19"/>
  <c r="V20" i="19"/>
  <c r="V18" i="19"/>
  <c r="V16" i="19"/>
  <c r="Z12" i="19"/>
  <c r="V24" i="19"/>
  <c r="V21" i="19"/>
  <c r="V22" i="19"/>
  <c r="Z34" i="19"/>
  <c r="R20" i="20"/>
  <c r="R18" i="20"/>
  <c r="R16" i="20"/>
  <c r="R21" i="20"/>
  <c r="X12" i="20"/>
  <c r="R34" i="20"/>
  <c r="R31" i="20"/>
  <c r="R27" i="20"/>
  <c r="R24" i="20"/>
  <c r="P18" i="20"/>
  <c r="R15" i="20"/>
  <c r="R25" i="20"/>
  <c r="R22" i="20"/>
  <c r="R36" i="20"/>
  <c r="R33" i="20"/>
  <c r="R29" i="20"/>
  <c r="Z24" i="20"/>
  <c r="N15" i="22"/>
  <c r="L21" i="22"/>
  <c r="Z21" i="13"/>
  <c r="X25" i="13"/>
  <c r="X29" i="13"/>
  <c r="X33" i="13"/>
  <c r="X34" i="13"/>
  <c r="Z13" i="14"/>
  <c r="Z16" i="14"/>
  <c r="Z20" i="14"/>
  <c r="X22" i="14"/>
  <c r="X24" i="14"/>
  <c r="Z21" i="16"/>
  <c r="X25" i="16"/>
  <c r="X29" i="16"/>
  <c r="X33" i="16"/>
  <c r="X34" i="16"/>
  <c r="Z13" i="17"/>
  <c r="Z16" i="17"/>
  <c r="Z20" i="17"/>
  <c r="X22" i="17"/>
  <c r="X24" i="17"/>
  <c r="L16" i="20"/>
  <c r="L20" i="20"/>
  <c r="X15" i="23"/>
  <c r="N34" i="23"/>
  <c r="R36" i="13"/>
  <c r="R34" i="13"/>
  <c r="R33" i="13"/>
  <c r="R31" i="13"/>
  <c r="R29" i="13"/>
  <c r="R27" i="13"/>
  <c r="R25" i="13"/>
  <c r="R24" i="13"/>
  <c r="R22" i="13"/>
  <c r="R20" i="13"/>
  <c r="R18" i="13"/>
  <c r="R16" i="13"/>
  <c r="R21" i="13"/>
  <c r="P18" i="13"/>
  <c r="X12" i="13"/>
  <c r="R15" i="13"/>
  <c r="Z22" i="13"/>
  <c r="Z24" i="13"/>
  <c r="Z21" i="14"/>
  <c r="X25" i="14"/>
  <c r="X29" i="14"/>
  <c r="X33" i="14"/>
  <c r="X34" i="14"/>
  <c r="X12" i="16"/>
  <c r="R36" i="16"/>
  <c r="R34" i="16"/>
  <c r="R33" i="16"/>
  <c r="R31" i="16"/>
  <c r="R29" i="16"/>
  <c r="R27" i="16"/>
  <c r="R25" i="16"/>
  <c r="R24" i="16"/>
  <c r="R22" i="16"/>
  <c r="R21" i="16"/>
  <c r="R20" i="16"/>
  <c r="R18" i="16"/>
  <c r="R16" i="16"/>
  <c r="P18" i="16"/>
  <c r="R15" i="16"/>
  <c r="Z22" i="16"/>
  <c r="Z24" i="16"/>
  <c r="Z21" i="17"/>
  <c r="X25" i="17"/>
  <c r="X29" i="17"/>
  <c r="X33" i="17"/>
  <c r="X34" i="17"/>
  <c r="L13" i="19"/>
  <c r="L25" i="19"/>
  <c r="L29" i="19"/>
  <c r="L33" i="19"/>
  <c r="N16" i="20"/>
  <c r="N20" i="20"/>
  <c r="L22" i="20"/>
  <c r="L16" i="22"/>
  <c r="Z34" i="23"/>
  <c r="N13" i="19"/>
  <c r="N22" i="19"/>
  <c r="L13" i="20"/>
  <c r="L25" i="20"/>
  <c r="L29" i="20"/>
  <c r="L33" i="20"/>
  <c r="L16" i="23"/>
  <c r="R21" i="35"/>
  <c r="R20" i="35"/>
  <c r="R18" i="35"/>
  <c r="R16" i="35"/>
  <c r="R29" i="35"/>
  <c r="R25" i="35"/>
  <c r="R34" i="35"/>
  <c r="P18" i="35"/>
  <c r="R31" i="35"/>
  <c r="R22" i="35"/>
  <c r="R15" i="35"/>
  <c r="X12" i="35"/>
  <c r="R36" i="35"/>
  <c r="R33" i="35"/>
  <c r="R27" i="35"/>
  <c r="R24" i="35"/>
  <c r="L16" i="16"/>
  <c r="L20" i="16"/>
  <c r="V24" i="17"/>
  <c r="V22" i="17"/>
  <c r="V20" i="17"/>
  <c r="V18" i="17"/>
  <c r="V16" i="17"/>
  <c r="T18" i="17"/>
  <c r="V15" i="17"/>
  <c r="V34" i="17"/>
  <c r="V27" i="17"/>
  <c r="V21" i="17"/>
  <c r="V33" i="17"/>
  <c r="V25" i="17"/>
  <c r="Z12" i="17"/>
  <c r="V31" i="17"/>
  <c r="V36" i="17"/>
  <c r="V29" i="17"/>
  <c r="L15" i="17"/>
  <c r="Z25" i="17"/>
  <c r="Z29" i="17"/>
  <c r="Z33" i="17"/>
  <c r="Z34" i="17"/>
  <c r="X13" i="19"/>
  <c r="X16" i="20"/>
  <c r="X20" i="20"/>
  <c r="X16" i="22"/>
  <c r="N29" i="23"/>
  <c r="Z21" i="19"/>
  <c r="X25" i="19"/>
  <c r="X29" i="19"/>
  <c r="X33" i="19"/>
  <c r="X34" i="19"/>
  <c r="Z13" i="20"/>
  <c r="Z16" i="20"/>
  <c r="Z20" i="20"/>
  <c r="X22" i="20"/>
  <c r="X24" i="20"/>
  <c r="V21" i="22"/>
  <c r="V20" i="22"/>
  <c r="V18" i="22"/>
  <c r="V16" i="22"/>
  <c r="T18" i="22"/>
  <c r="V15" i="22"/>
  <c r="V24" i="22"/>
  <c r="V22" i="22"/>
  <c r="V34" i="22"/>
  <c r="V27" i="22"/>
  <c r="V33" i="22"/>
  <c r="V25" i="22"/>
  <c r="Z12" i="22"/>
  <c r="V31" i="22"/>
  <c r="V36" i="22"/>
  <c r="V29" i="22"/>
  <c r="L15" i="22"/>
  <c r="Z25" i="22"/>
  <c r="Z29" i="22"/>
  <c r="Z33" i="22"/>
  <c r="Z34" i="22"/>
  <c r="R24" i="23"/>
  <c r="R22" i="23"/>
  <c r="R21" i="23"/>
  <c r="R20" i="23"/>
  <c r="R18" i="23"/>
  <c r="R16" i="23"/>
  <c r="P18" i="23"/>
  <c r="R15" i="23"/>
  <c r="R36" i="23"/>
  <c r="R34" i="23"/>
  <c r="R33" i="23"/>
  <c r="R31" i="23"/>
  <c r="R29" i="23"/>
  <c r="R27" i="23"/>
  <c r="R25" i="23"/>
  <c r="X12" i="23"/>
  <c r="Z22" i="23"/>
  <c r="Z24" i="23"/>
  <c r="X12" i="25"/>
  <c r="R24" i="25"/>
  <c r="R22" i="25"/>
  <c r="R21" i="25"/>
  <c r="R20" i="25"/>
  <c r="R18" i="25"/>
  <c r="R16" i="25"/>
  <c r="R36" i="25"/>
  <c r="R33" i="25"/>
  <c r="R29" i="25"/>
  <c r="R25" i="25"/>
  <c r="R34" i="25"/>
  <c r="R31" i="25"/>
  <c r="R27" i="25"/>
  <c r="R15" i="25"/>
  <c r="P18" i="25"/>
  <c r="X13" i="28"/>
  <c r="X20" i="29"/>
  <c r="V36" i="25"/>
  <c r="V34" i="25"/>
  <c r="V33" i="25"/>
  <c r="V31" i="25"/>
  <c r="V29" i="25"/>
  <c r="V27" i="25"/>
  <c r="V25" i="25"/>
  <c r="V20" i="25"/>
  <c r="V18" i="25"/>
  <c r="V16" i="25"/>
  <c r="T18" i="25"/>
  <c r="V15" i="25"/>
  <c r="V22" i="25"/>
  <c r="V24" i="25"/>
  <c r="V21" i="25"/>
  <c r="Z12" i="25"/>
  <c r="N24" i="25"/>
  <c r="N15" i="26"/>
  <c r="L21" i="26"/>
  <c r="X25" i="28"/>
  <c r="X33" i="28"/>
  <c r="Z13" i="29"/>
  <c r="Z20" i="29"/>
  <c r="L16" i="19"/>
  <c r="L20" i="19"/>
  <c r="Z12" i="20"/>
  <c r="V24" i="20"/>
  <c r="V22" i="20"/>
  <c r="T18" i="20"/>
  <c r="V15" i="20"/>
  <c r="V34" i="20"/>
  <c r="V31" i="20"/>
  <c r="V27" i="20"/>
  <c r="V21" i="20"/>
  <c r="V18" i="20"/>
  <c r="V36" i="20"/>
  <c r="V33" i="20"/>
  <c r="V29" i="20"/>
  <c r="V25" i="20"/>
  <c r="V20" i="20"/>
  <c r="V16" i="20"/>
  <c r="L15" i="20"/>
  <c r="Z25" i="20"/>
  <c r="Z29" i="20"/>
  <c r="Z33" i="20"/>
  <c r="Z34" i="20"/>
  <c r="N16" i="22"/>
  <c r="N20" i="22"/>
  <c r="L22" i="22"/>
  <c r="L24" i="22"/>
  <c r="N15" i="23"/>
  <c r="L21" i="23"/>
  <c r="X20" i="25"/>
  <c r="L22" i="25"/>
  <c r="N21" i="26"/>
  <c r="L34" i="26"/>
  <c r="Z15" i="28"/>
  <c r="X21" i="28"/>
  <c r="L13" i="22"/>
  <c r="N21" i="22"/>
  <c r="L25" i="22"/>
  <c r="L29" i="22"/>
  <c r="L33" i="22"/>
  <c r="L34" i="22"/>
  <c r="N16" i="23"/>
  <c r="N20" i="23"/>
  <c r="L22" i="23"/>
  <c r="L24" i="23"/>
  <c r="L13" i="25"/>
  <c r="Z24" i="25"/>
  <c r="X15" i="26"/>
  <c r="N34" i="26"/>
  <c r="Z21" i="28"/>
  <c r="X34" i="28"/>
  <c r="L22" i="35"/>
  <c r="N16" i="19"/>
  <c r="N20" i="19"/>
  <c r="L22" i="19"/>
  <c r="L24" i="19"/>
  <c r="N15" i="20"/>
  <c r="L21" i="20"/>
  <c r="N13" i="22"/>
  <c r="N22" i="22"/>
  <c r="N24" i="22"/>
  <c r="L13" i="23"/>
  <c r="N21" i="23"/>
  <c r="L25" i="23"/>
  <c r="L29" i="23"/>
  <c r="L33" i="23"/>
  <c r="L34" i="23"/>
  <c r="N13" i="25"/>
  <c r="N22" i="25"/>
  <c r="Z21" i="26"/>
  <c r="X34" i="26"/>
  <c r="L16" i="28"/>
  <c r="Z34" i="29"/>
  <c r="Z21" i="32"/>
  <c r="X15" i="22"/>
  <c r="N25" i="22"/>
  <c r="N29" i="22"/>
  <c r="N33" i="22"/>
  <c r="N34" i="22"/>
  <c r="N13" i="23"/>
  <c r="N22" i="23"/>
  <c r="N24" i="23"/>
  <c r="L21" i="25"/>
  <c r="L16" i="26"/>
  <c r="L20" i="26"/>
  <c r="X16" i="29"/>
  <c r="X29" i="28"/>
  <c r="Z16" i="29"/>
  <c r="X22" i="29"/>
  <c r="X15" i="19"/>
  <c r="N25" i="19"/>
  <c r="N29" i="19"/>
  <c r="N33" i="19"/>
  <c r="N34" i="19"/>
  <c r="N13" i="20"/>
  <c r="N22" i="20"/>
  <c r="N24" i="20"/>
  <c r="N12" i="22"/>
  <c r="J24" i="22"/>
  <c r="J22" i="22"/>
  <c r="J21" i="22"/>
  <c r="J20" i="22"/>
  <c r="J18" i="22"/>
  <c r="J16" i="22"/>
  <c r="H18" i="22"/>
  <c r="J15" i="22"/>
  <c r="J36" i="22"/>
  <c r="J29" i="22"/>
  <c r="J34" i="22"/>
  <c r="J27" i="22"/>
  <c r="J33" i="22"/>
  <c r="J25" i="22"/>
  <c r="J31" i="22"/>
  <c r="X13" i="22"/>
  <c r="Z15" i="22"/>
  <c r="X21" i="22"/>
  <c r="L12" i="23"/>
  <c r="F36" i="23"/>
  <c r="F34" i="23"/>
  <c r="F33" i="23"/>
  <c r="F31" i="23"/>
  <c r="F29" i="23"/>
  <c r="F27" i="23"/>
  <c r="F25" i="23"/>
  <c r="F24" i="23"/>
  <c r="F22" i="23"/>
  <c r="F21" i="23"/>
  <c r="F20" i="23"/>
  <c r="F18" i="23"/>
  <c r="F16" i="23"/>
  <c r="F15" i="23"/>
  <c r="D18" i="23"/>
  <c r="X16" i="23"/>
  <c r="X20" i="23"/>
  <c r="N21" i="25"/>
  <c r="Z22" i="25"/>
  <c r="L25" i="25"/>
  <c r="L29" i="25"/>
  <c r="L33" i="25"/>
  <c r="N16" i="26"/>
  <c r="N20" i="26"/>
  <c r="L22" i="26"/>
  <c r="Z29" i="29"/>
  <c r="X29" i="32"/>
  <c r="L12" i="19"/>
  <c r="F21" i="19"/>
  <c r="D18" i="19"/>
  <c r="F15" i="19"/>
  <c r="F36" i="19"/>
  <c r="F33" i="19"/>
  <c r="F29" i="19"/>
  <c r="F25" i="19"/>
  <c r="F22" i="19"/>
  <c r="F20" i="19"/>
  <c r="F16" i="19"/>
  <c r="F34" i="19"/>
  <c r="F31" i="19"/>
  <c r="F27" i="19"/>
  <c r="F24" i="19"/>
  <c r="F18" i="19"/>
  <c r="X16" i="19"/>
  <c r="X20" i="19"/>
  <c r="X15" i="20"/>
  <c r="N25" i="20"/>
  <c r="N29" i="20"/>
  <c r="N33" i="20"/>
  <c r="N34" i="20"/>
  <c r="Z13" i="22"/>
  <c r="Z16" i="22"/>
  <c r="Z20" i="22"/>
  <c r="X22" i="22"/>
  <c r="X24" i="22"/>
  <c r="N12" i="23"/>
  <c r="J36" i="23"/>
  <c r="J34" i="23"/>
  <c r="J33" i="23"/>
  <c r="J31" i="23"/>
  <c r="J29" i="23"/>
  <c r="J27" i="23"/>
  <c r="J25" i="23"/>
  <c r="J21" i="23"/>
  <c r="J20" i="23"/>
  <c r="J18" i="23"/>
  <c r="J16" i="23"/>
  <c r="H18" i="23"/>
  <c r="J15" i="23"/>
  <c r="J22" i="23"/>
  <c r="J24" i="23"/>
  <c r="X13" i="23"/>
  <c r="Z15" i="23"/>
  <c r="X21" i="23"/>
  <c r="L15" i="25"/>
  <c r="L13" i="26"/>
  <c r="L25" i="26"/>
  <c r="L29" i="26"/>
  <c r="L33" i="26"/>
  <c r="J36" i="28"/>
  <c r="J34" i="28"/>
  <c r="J33" i="28"/>
  <c r="J31" i="28"/>
  <c r="J29" i="28"/>
  <c r="J27" i="28"/>
  <c r="J25" i="28"/>
  <c r="J24" i="28"/>
  <c r="J22" i="28"/>
  <c r="J21" i="28"/>
  <c r="J20" i="28"/>
  <c r="J18" i="28"/>
  <c r="J16" i="28"/>
  <c r="H18" i="28"/>
  <c r="J15" i="28"/>
  <c r="N12" i="28"/>
  <c r="F36" i="29"/>
  <c r="F34" i="29"/>
  <c r="F33" i="29"/>
  <c r="F31" i="29"/>
  <c r="F29" i="29"/>
  <c r="F27" i="29"/>
  <c r="F25" i="29"/>
  <c r="F24" i="29"/>
  <c r="F22" i="29"/>
  <c r="F21" i="29"/>
  <c r="F20" i="29"/>
  <c r="F18" i="29"/>
  <c r="F16" i="29"/>
  <c r="D18" i="29"/>
  <c r="F15" i="29"/>
  <c r="L12" i="29"/>
  <c r="X34" i="32"/>
  <c r="Z21" i="22"/>
  <c r="X25" i="22"/>
  <c r="X29" i="22"/>
  <c r="X33" i="22"/>
  <c r="X34" i="22"/>
  <c r="Z13" i="23"/>
  <c r="Z16" i="23"/>
  <c r="Z20" i="23"/>
  <c r="X22" i="23"/>
  <c r="X24" i="23"/>
  <c r="N15" i="25"/>
  <c r="N25" i="26"/>
  <c r="N29" i="26"/>
  <c r="N33" i="26"/>
  <c r="X24" i="29"/>
  <c r="Z22" i="31"/>
  <c r="Z13" i="19"/>
  <c r="Z16" i="19"/>
  <c r="Z20" i="19"/>
  <c r="X22" i="19"/>
  <c r="X24" i="19"/>
  <c r="J24" i="20"/>
  <c r="J22" i="20"/>
  <c r="J21" i="20"/>
  <c r="J36" i="20"/>
  <c r="J33" i="20"/>
  <c r="J29" i="20"/>
  <c r="J25" i="20"/>
  <c r="J20" i="20"/>
  <c r="J16" i="20"/>
  <c r="N12" i="20"/>
  <c r="J34" i="20"/>
  <c r="J31" i="20"/>
  <c r="J27" i="20"/>
  <c r="J18" i="20"/>
  <c r="H18" i="20"/>
  <c r="J15" i="20"/>
  <c r="X13" i="20"/>
  <c r="Z15" i="20"/>
  <c r="X21" i="20"/>
  <c r="R36" i="22"/>
  <c r="R34" i="22"/>
  <c r="R33" i="22"/>
  <c r="R31" i="22"/>
  <c r="R29" i="22"/>
  <c r="R27" i="22"/>
  <c r="R25" i="22"/>
  <c r="R24" i="22"/>
  <c r="R22" i="22"/>
  <c r="R21" i="22"/>
  <c r="R20" i="22"/>
  <c r="R18" i="22"/>
  <c r="R16" i="22"/>
  <c r="R15" i="22"/>
  <c r="X12" i="22"/>
  <c r="P18" i="22"/>
  <c r="Z22" i="22"/>
  <c r="Z24" i="22"/>
  <c r="Z21" i="23"/>
  <c r="X25" i="23"/>
  <c r="X29" i="23"/>
  <c r="X33" i="23"/>
  <c r="X34" i="23"/>
  <c r="D18" i="25"/>
  <c r="F15" i="25"/>
  <c r="L12" i="25"/>
  <c r="F20" i="25"/>
  <c r="F36" i="25"/>
  <c r="F33" i="25"/>
  <c r="F29" i="25"/>
  <c r="F25" i="25"/>
  <c r="F16" i="25"/>
  <c r="F22" i="25"/>
  <c r="F34" i="25"/>
  <c r="F31" i="25"/>
  <c r="F27" i="25"/>
  <c r="F24" i="25"/>
  <c r="F21" i="25"/>
  <c r="F18" i="25"/>
  <c r="X16" i="25"/>
  <c r="N20" i="25"/>
  <c r="L24" i="25"/>
  <c r="X25" i="26"/>
  <c r="X29" i="26"/>
  <c r="X33" i="26"/>
  <c r="L20" i="28"/>
  <c r="V21" i="29"/>
  <c r="V20" i="29"/>
  <c r="V18" i="29"/>
  <c r="V16" i="29"/>
  <c r="Z12" i="29"/>
  <c r="V36" i="29"/>
  <c r="V34" i="29"/>
  <c r="V33" i="29"/>
  <c r="V31" i="29"/>
  <c r="V29" i="29"/>
  <c r="V27" i="29"/>
  <c r="V25" i="29"/>
  <c r="V24" i="29"/>
  <c r="T18" i="29"/>
  <c r="V22" i="29"/>
  <c r="V15" i="29"/>
  <c r="L25" i="34"/>
  <c r="N12" i="25"/>
  <c r="J15" i="25"/>
  <c r="J36" i="25"/>
  <c r="J33" i="25"/>
  <c r="J29" i="25"/>
  <c r="J25" i="25"/>
  <c r="J21" i="25"/>
  <c r="J16" i="25"/>
  <c r="J22" i="25"/>
  <c r="J34" i="25"/>
  <c r="J31" i="25"/>
  <c r="J27" i="25"/>
  <c r="J18" i="25"/>
  <c r="H18" i="25"/>
  <c r="J20" i="25"/>
  <c r="J24" i="25"/>
  <c r="X13" i="25"/>
  <c r="Z15" i="25"/>
  <c r="X21" i="25"/>
  <c r="F36" i="26"/>
  <c r="F34" i="26"/>
  <c r="F33" i="26"/>
  <c r="F31" i="26"/>
  <c r="F29" i="26"/>
  <c r="F27" i="26"/>
  <c r="F25" i="26"/>
  <c r="L12" i="26"/>
  <c r="F22" i="26"/>
  <c r="F24" i="26"/>
  <c r="F18" i="26"/>
  <c r="D18" i="26"/>
  <c r="F15" i="26"/>
  <c r="F16" i="26"/>
  <c r="F21" i="26"/>
  <c r="F20" i="26"/>
  <c r="X16" i="26"/>
  <c r="X20" i="26"/>
  <c r="N15" i="28"/>
  <c r="L21" i="28"/>
  <c r="L16" i="29"/>
  <c r="L20" i="29"/>
  <c r="Z29" i="31"/>
  <c r="Z22" i="32"/>
  <c r="Z29" i="34"/>
  <c r="Z13" i="25"/>
  <c r="Z16" i="25"/>
  <c r="Z20" i="25"/>
  <c r="X22" i="25"/>
  <c r="X24" i="25"/>
  <c r="J21" i="26"/>
  <c r="J36" i="26"/>
  <c r="J34" i="26"/>
  <c r="J33" i="26"/>
  <c r="J31" i="26"/>
  <c r="J29" i="26"/>
  <c r="J27" i="26"/>
  <c r="J25" i="26"/>
  <c r="J22" i="26"/>
  <c r="J20" i="26"/>
  <c r="J16" i="26"/>
  <c r="N12" i="26"/>
  <c r="J24" i="26"/>
  <c r="J18" i="26"/>
  <c r="J15" i="26"/>
  <c r="H18" i="26"/>
  <c r="X13" i="26"/>
  <c r="Z15" i="26"/>
  <c r="X21" i="26"/>
  <c r="N16" i="28"/>
  <c r="N20" i="28"/>
  <c r="L22" i="28"/>
  <c r="L24" i="28"/>
  <c r="N15" i="29"/>
  <c r="L21" i="29"/>
  <c r="L24" i="31"/>
  <c r="L15" i="35"/>
  <c r="Z21" i="25"/>
  <c r="X25" i="25"/>
  <c r="X29" i="25"/>
  <c r="X33" i="25"/>
  <c r="X34" i="25"/>
  <c r="Z13" i="26"/>
  <c r="Z16" i="26"/>
  <c r="Z20" i="26"/>
  <c r="X22" i="26"/>
  <c r="X24" i="26"/>
  <c r="L13" i="28"/>
  <c r="N21" i="28"/>
  <c r="L25" i="28"/>
  <c r="L29" i="28"/>
  <c r="L33" i="28"/>
  <c r="L34" i="28"/>
  <c r="N16" i="29"/>
  <c r="N20" i="29"/>
  <c r="L22" i="29"/>
  <c r="L24" i="29"/>
  <c r="R24" i="31"/>
  <c r="R22" i="31"/>
  <c r="R21" i="31"/>
  <c r="R20" i="31"/>
  <c r="R18" i="31"/>
  <c r="R16" i="31"/>
  <c r="P18" i="31"/>
  <c r="R15" i="31"/>
  <c r="X12" i="31"/>
  <c r="R33" i="31"/>
  <c r="R25" i="31"/>
  <c r="R31" i="31"/>
  <c r="R27" i="31"/>
  <c r="R34" i="31"/>
  <c r="R29" i="31"/>
  <c r="R36" i="31"/>
  <c r="Z24" i="31"/>
  <c r="N21" i="34"/>
  <c r="X16" i="38"/>
  <c r="N13" i="28"/>
  <c r="N22" i="28"/>
  <c r="N24" i="28"/>
  <c r="L13" i="29"/>
  <c r="N21" i="29"/>
  <c r="L25" i="29"/>
  <c r="L29" i="29"/>
  <c r="L33" i="29"/>
  <c r="L34" i="29"/>
  <c r="V20" i="31"/>
  <c r="V18" i="31"/>
  <c r="V16" i="31"/>
  <c r="T18" i="31"/>
  <c r="V15" i="31"/>
  <c r="Z12" i="31"/>
  <c r="V36" i="31"/>
  <c r="V34" i="31"/>
  <c r="V33" i="31"/>
  <c r="V31" i="31"/>
  <c r="V29" i="31"/>
  <c r="V27" i="31"/>
  <c r="V25" i="31"/>
  <c r="V24" i="31"/>
  <c r="V22" i="31"/>
  <c r="V21" i="31"/>
  <c r="R21" i="32"/>
  <c r="R20" i="32"/>
  <c r="R18" i="32"/>
  <c r="R16" i="32"/>
  <c r="P18" i="32"/>
  <c r="R15" i="32"/>
  <c r="X12" i="32"/>
  <c r="R34" i="32"/>
  <c r="R27" i="32"/>
  <c r="R33" i="32"/>
  <c r="R25" i="32"/>
  <c r="R31" i="32"/>
  <c r="R24" i="32"/>
  <c r="R36" i="32"/>
  <c r="R29" i="32"/>
  <c r="R22" i="32"/>
  <c r="Z24" i="32"/>
  <c r="X13" i="34"/>
  <c r="L33" i="34"/>
  <c r="N16" i="35"/>
  <c r="Z25" i="25"/>
  <c r="Z29" i="25"/>
  <c r="Z33" i="25"/>
  <c r="Z34" i="25"/>
  <c r="R36" i="26"/>
  <c r="R34" i="26"/>
  <c r="R33" i="26"/>
  <c r="R31" i="26"/>
  <c r="R29" i="26"/>
  <c r="R27" i="26"/>
  <c r="R25" i="26"/>
  <c r="R21" i="26"/>
  <c r="R20" i="26"/>
  <c r="R18" i="26"/>
  <c r="R16" i="26"/>
  <c r="P18" i="26"/>
  <c r="R15" i="26"/>
  <c r="R22" i="26"/>
  <c r="X12" i="26"/>
  <c r="R24" i="26"/>
  <c r="Z22" i="26"/>
  <c r="Z24" i="26"/>
  <c r="X15" i="28"/>
  <c r="N25" i="28"/>
  <c r="N29" i="28"/>
  <c r="N33" i="28"/>
  <c r="N34" i="28"/>
  <c r="N13" i="29"/>
  <c r="N22" i="29"/>
  <c r="N24" i="29"/>
  <c r="N20" i="31"/>
  <c r="Z13" i="34"/>
  <c r="N33" i="34"/>
  <c r="X16" i="35"/>
  <c r="L24" i="38"/>
  <c r="L16" i="25"/>
  <c r="L20" i="25"/>
  <c r="V24" i="26"/>
  <c r="V22" i="26"/>
  <c r="V21" i="26"/>
  <c r="T18" i="26"/>
  <c r="V15" i="26"/>
  <c r="V20" i="26"/>
  <c r="V16" i="26"/>
  <c r="V34" i="26"/>
  <c r="V31" i="26"/>
  <c r="V27" i="26"/>
  <c r="V18" i="26"/>
  <c r="V36" i="26"/>
  <c r="V33" i="26"/>
  <c r="V29" i="26"/>
  <c r="V25" i="26"/>
  <c r="Z12" i="26"/>
  <c r="L15" i="26"/>
  <c r="Z25" i="26"/>
  <c r="Z29" i="26"/>
  <c r="Z33" i="26"/>
  <c r="Z34" i="26"/>
  <c r="L12" i="28"/>
  <c r="F36" i="28"/>
  <c r="F34" i="28"/>
  <c r="F33" i="28"/>
  <c r="F31" i="28"/>
  <c r="F29" i="28"/>
  <c r="F27" i="28"/>
  <c r="F25" i="28"/>
  <c r="F24" i="28"/>
  <c r="F22" i="28"/>
  <c r="F21" i="28"/>
  <c r="F20" i="28"/>
  <c r="F18" i="28"/>
  <c r="F16" i="28"/>
  <c r="D18" i="28"/>
  <c r="F15" i="28"/>
  <c r="X16" i="28"/>
  <c r="X20" i="28"/>
  <c r="X15" i="29"/>
  <c r="N25" i="29"/>
  <c r="N29" i="29"/>
  <c r="N33" i="29"/>
  <c r="N34" i="29"/>
  <c r="X25" i="32"/>
  <c r="X33" i="32"/>
  <c r="Z33" i="34"/>
  <c r="L15" i="31"/>
  <c r="Z25" i="31"/>
  <c r="Z33" i="31"/>
  <c r="Z34" i="34"/>
  <c r="L20" i="35"/>
  <c r="Z29" i="35"/>
  <c r="X33" i="38"/>
  <c r="Z13" i="28"/>
  <c r="Z16" i="28"/>
  <c r="Z20" i="28"/>
  <c r="X22" i="28"/>
  <c r="X24" i="28"/>
  <c r="N12" i="29"/>
  <c r="J24" i="29"/>
  <c r="J22" i="29"/>
  <c r="J21" i="29"/>
  <c r="J20" i="29"/>
  <c r="J18" i="29"/>
  <c r="J16" i="29"/>
  <c r="H18" i="29"/>
  <c r="J15" i="29"/>
  <c r="J31" i="29"/>
  <c r="J36" i="29"/>
  <c r="J29" i="29"/>
  <c r="J34" i="29"/>
  <c r="J27" i="29"/>
  <c r="J33" i="29"/>
  <c r="J25" i="29"/>
  <c r="X13" i="29"/>
  <c r="Z15" i="29"/>
  <c r="X21" i="29"/>
  <c r="N15" i="32"/>
  <c r="L21" i="32"/>
  <c r="L16" i="34"/>
  <c r="L29" i="44"/>
  <c r="R36" i="28"/>
  <c r="R34" i="28"/>
  <c r="R33" i="28"/>
  <c r="R31" i="28"/>
  <c r="R29" i="28"/>
  <c r="R27" i="28"/>
  <c r="R25" i="28"/>
  <c r="R21" i="28"/>
  <c r="P18" i="28"/>
  <c r="R15" i="28"/>
  <c r="X12" i="28"/>
  <c r="R24" i="28"/>
  <c r="R18" i="28"/>
  <c r="R22" i="28"/>
  <c r="R16" i="28"/>
  <c r="R20" i="28"/>
  <c r="Z22" i="28"/>
  <c r="Z24" i="28"/>
  <c r="Z21" i="29"/>
  <c r="X25" i="29"/>
  <c r="X29" i="29"/>
  <c r="X33" i="29"/>
  <c r="X34" i="29"/>
  <c r="Z34" i="31"/>
  <c r="X33" i="35"/>
  <c r="N25" i="25"/>
  <c r="N29" i="25"/>
  <c r="N33" i="25"/>
  <c r="N34" i="25"/>
  <c r="N13" i="26"/>
  <c r="N22" i="26"/>
  <c r="N24" i="26"/>
  <c r="V24" i="28"/>
  <c r="V22" i="28"/>
  <c r="V21" i="28"/>
  <c r="T18" i="28"/>
  <c r="V15" i="28"/>
  <c r="Z12" i="28"/>
  <c r="V31" i="28"/>
  <c r="V18" i="28"/>
  <c r="V36" i="28"/>
  <c r="V29" i="28"/>
  <c r="V16" i="28"/>
  <c r="V34" i="28"/>
  <c r="V27" i="28"/>
  <c r="V20" i="28"/>
  <c r="V33" i="28"/>
  <c r="V25" i="28"/>
  <c r="L15" i="28"/>
  <c r="Z25" i="28"/>
  <c r="Z29" i="28"/>
  <c r="Z33" i="28"/>
  <c r="Z34" i="28"/>
  <c r="R36" i="29"/>
  <c r="R34" i="29"/>
  <c r="R33" i="29"/>
  <c r="R31" i="29"/>
  <c r="R29" i="29"/>
  <c r="R27" i="29"/>
  <c r="R25" i="29"/>
  <c r="R24" i="29"/>
  <c r="R22" i="29"/>
  <c r="R20" i="29"/>
  <c r="R18" i="29"/>
  <c r="R16" i="29"/>
  <c r="X12" i="29"/>
  <c r="P18" i="29"/>
  <c r="R21" i="29"/>
  <c r="R15" i="29"/>
  <c r="Z22" i="29"/>
  <c r="Z24" i="29"/>
  <c r="N16" i="31"/>
  <c r="L22" i="31"/>
  <c r="X29" i="37"/>
  <c r="Z16" i="38"/>
  <c r="N24" i="38"/>
  <c r="Z22" i="41"/>
  <c r="L16" i="31"/>
  <c r="L20" i="31"/>
  <c r="T18" i="32"/>
  <c r="V15" i="32"/>
  <c r="V36" i="32"/>
  <c r="V34" i="32"/>
  <c r="V33" i="32"/>
  <c r="V31" i="32"/>
  <c r="V29" i="32"/>
  <c r="V27" i="32"/>
  <c r="V25" i="32"/>
  <c r="V24" i="32"/>
  <c r="V22" i="32"/>
  <c r="V21" i="32"/>
  <c r="V20" i="32"/>
  <c r="Z12" i="32"/>
  <c r="V18" i="32"/>
  <c r="V16" i="32"/>
  <c r="L15" i="32"/>
  <c r="Z25" i="32"/>
  <c r="Z29" i="32"/>
  <c r="Z33" i="32"/>
  <c r="Z34" i="32"/>
  <c r="L21" i="34"/>
  <c r="L12" i="35"/>
  <c r="F36" i="35"/>
  <c r="F34" i="35"/>
  <c r="F33" i="35"/>
  <c r="F31" i="35"/>
  <c r="F29" i="35"/>
  <c r="F27" i="35"/>
  <c r="F25" i="35"/>
  <c r="F24" i="35"/>
  <c r="F22" i="35"/>
  <c r="F16" i="35"/>
  <c r="F21" i="35"/>
  <c r="F18" i="35"/>
  <c r="D18" i="35"/>
  <c r="F15" i="35"/>
  <c r="F20" i="35"/>
  <c r="N20" i="35"/>
  <c r="Z24" i="35"/>
  <c r="Z33" i="35"/>
  <c r="Z22" i="37"/>
  <c r="X24" i="41"/>
  <c r="N24" i="44"/>
  <c r="N15" i="31"/>
  <c r="L21" i="31"/>
  <c r="L16" i="32"/>
  <c r="L20" i="32"/>
  <c r="N12" i="34"/>
  <c r="J36" i="34"/>
  <c r="J34" i="34"/>
  <c r="J33" i="34"/>
  <c r="J31" i="34"/>
  <c r="J29" i="34"/>
  <c r="J27" i="34"/>
  <c r="J25" i="34"/>
  <c r="J21" i="34"/>
  <c r="H18" i="34"/>
  <c r="J24" i="34"/>
  <c r="J20" i="34"/>
  <c r="J15" i="34"/>
  <c r="J18" i="34"/>
  <c r="J22" i="34"/>
  <c r="J16" i="34"/>
  <c r="L15" i="34"/>
  <c r="N16" i="34"/>
  <c r="Z22" i="34"/>
  <c r="N15" i="35"/>
  <c r="X20" i="35"/>
  <c r="J36" i="37"/>
  <c r="J34" i="37"/>
  <c r="J33" i="37"/>
  <c r="J31" i="37"/>
  <c r="J29" i="37"/>
  <c r="J27" i="37"/>
  <c r="J25" i="37"/>
  <c r="J24" i="37"/>
  <c r="J22" i="37"/>
  <c r="J21" i="37"/>
  <c r="J20" i="37"/>
  <c r="J18" i="37"/>
  <c r="J16" i="37"/>
  <c r="H18" i="37"/>
  <c r="J15" i="37"/>
  <c r="N12" i="37"/>
  <c r="F20" i="38"/>
  <c r="F25" i="38"/>
  <c r="F33" i="38"/>
  <c r="F27" i="38"/>
  <c r="F18" i="38"/>
  <c r="F16" i="38"/>
  <c r="D18" i="38"/>
  <c r="F15" i="38"/>
  <c r="F34" i="38"/>
  <c r="F29" i="38"/>
  <c r="F21" i="38"/>
  <c r="F36" i="38"/>
  <c r="F31" i="38"/>
  <c r="F24" i="38"/>
  <c r="F22" i="38"/>
  <c r="L12" i="38"/>
  <c r="N25" i="38"/>
  <c r="Z21" i="40"/>
  <c r="L13" i="31"/>
  <c r="N21" i="31"/>
  <c r="L25" i="31"/>
  <c r="L29" i="31"/>
  <c r="L33" i="31"/>
  <c r="L34" i="31"/>
  <c r="N16" i="32"/>
  <c r="N20" i="32"/>
  <c r="L22" i="32"/>
  <c r="L24" i="32"/>
  <c r="R24" i="34"/>
  <c r="R22" i="34"/>
  <c r="R21" i="34"/>
  <c r="P18" i="34"/>
  <c r="R15" i="34"/>
  <c r="R34" i="34"/>
  <c r="R29" i="34"/>
  <c r="R20" i="34"/>
  <c r="R36" i="34"/>
  <c r="R31" i="34"/>
  <c r="R25" i="34"/>
  <c r="X12" i="34"/>
  <c r="R16" i="34"/>
  <c r="R33" i="34"/>
  <c r="R27" i="34"/>
  <c r="R18" i="34"/>
  <c r="N15" i="34"/>
  <c r="L20" i="34"/>
  <c r="N25" i="34"/>
  <c r="T18" i="35"/>
  <c r="V15" i="35"/>
  <c r="V25" i="35"/>
  <c r="V34" i="35"/>
  <c r="V18" i="35"/>
  <c r="V31" i="35"/>
  <c r="V22" i="35"/>
  <c r="Z12" i="35"/>
  <c r="V27" i="35"/>
  <c r="V36" i="35"/>
  <c r="V33" i="35"/>
  <c r="V24" i="35"/>
  <c r="V16" i="35"/>
  <c r="V21" i="35"/>
  <c r="V29" i="35"/>
  <c r="V20" i="35"/>
  <c r="P18" i="37"/>
  <c r="R15" i="37"/>
  <c r="X12" i="37"/>
  <c r="R21" i="37"/>
  <c r="R34" i="37"/>
  <c r="R27" i="37"/>
  <c r="R33" i="37"/>
  <c r="R25" i="37"/>
  <c r="R20" i="37"/>
  <c r="R31" i="37"/>
  <c r="R18" i="37"/>
  <c r="R36" i="37"/>
  <c r="R29" i="37"/>
  <c r="R22" i="37"/>
  <c r="R24" i="37"/>
  <c r="R16" i="37"/>
  <c r="Z24" i="37"/>
  <c r="X25" i="38"/>
  <c r="N13" i="31"/>
  <c r="N22" i="31"/>
  <c r="N24" i="31"/>
  <c r="L13" i="32"/>
  <c r="N21" i="32"/>
  <c r="L25" i="32"/>
  <c r="L29" i="32"/>
  <c r="L33" i="32"/>
  <c r="L34" i="32"/>
  <c r="V20" i="34"/>
  <c r="V18" i="34"/>
  <c r="V16" i="34"/>
  <c r="T18" i="34"/>
  <c r="V15" i="34"/>
  <c r="V36" i="34"/>
  <c r="V31" i="34"/>
  <c r="V25" i="34"/>
  <c r="Z12" i="34"/>
  <c r="V21" i="34"/>
  <c r="V33" i="34"/>
  <c r="V27" i="34"/>
  <c r="V34" i="34"/>
  <c r="V24" i="34"/>
  <c r="V22" i="34"/>
  <c r="V29" i="34"/>
  <c r="X21" i="34"/>
  <c r="X13" i="37"/>
  <c r="Z20" i="38"/>
  <c r="X15" i="31"/>
  <c r="N25" i="31"/>
  <c r="N29" i="31"/>
  <c r="N33" i="31"/>
  <c r="N34" i="31"/>
  <c r="N13" i="32"/>
  <c r="N22" i="32"/>
  <c r="N24" i="32"/>
  <c r="N20" i="34"/>
  <c r="L24" i="34"/>
  <c r="Z22" i="35"/>
  <c r="X34" i="35"/>
  <c r="X25" i="37"/>
  <c r="X33" i="37"/>
  <c r="Z13" i="38"/>
  <c r="Z29" i="40"/>
  <c r="L12" i="31"/>
  <c r="F36" i="31"/>
  <c r="F34" i="31"/>
  <c r="F33" i="31"/>
  <c r="F31" i="31"/>
  <c r="F29" i="31"/>
  <c r="F27" i="31"/>
  <c r="F25" i="31"/>
  <c r="F24" i="31"/>
  <c r="F22" i="31"/>
  <c r="F20" i="31"/>
  <c r="F18" i="31"/>
  <c r="F16" i="31"/>
  <c r="D18" i="31"/>
  <c r="F15" i="31"/>
  <c r="F21" i="31"/>
  <c r="X16" i="31"/>
  <c r="X20" i="31"/>
  <c r="X15" i="32"/>
  <c r="N25" i="32"/>
  <c r="N29" i="32"/>
  <c r="N33" i="32"/>
  <c r="N34" i="32"/>
  <c r="X15" i="34"/>
  <c r="Z25" i="34"/>
  <c r="L29" i="34"/>
  <c r="L34" i="34"/>
  <c r="L21" i="35"/>
  <c r="X25" i="35"/>
  <c r="N12" i="31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J15" i="31"/>
  <c r="H18" i="31"/>
  <c r="X13" i="31"/>
  <c r="Z15" i="31"/>
  <c r="X21" i="31"/>
  <c r="L12" i="32"/>
  <c r="F36" i="32"/>
  <c r="F34" i="32"/>
  <c r="F33" i="32"/>
  <c r="F31" i="32"/>
  <c r="F29" i="32"/>
  <c r="F27" i="32"/>
  <c r="F25" i="32"/>
  <c r="F24" i="32"/>
  <c r="F22" i="32"/>
  <c r="F21" i="32"/>
  <c r="D18" i="32"/>
  <c r="F15" i="32"/>
  <c r="F16" i="32"/>
  <c r="F20" i="32"/>
  <c r="F18" i="32"/>
  <c r="X16" i="32"/>
  <c r="X20" i="32"/>
  <c r="Z15" i="34"/>
  <c r="N29" i="34"/>
  <c r="N34" i="34"/>
  <c r="N13" i="35"/>
  <c r="Z34" i="35"/>
  <c r="Z15" i="37"/>
  <c r="X21" i="37"/>
  <c r="R20" i="41"/>
  <c r="R18" i="41"/>
  <c r="R16" i="41"/>
  <c r="P18" i="41"/>
  <c r="R15" i="41"/>
  <c r="X12" i="41"/>
  <c r="R24" i="41"/>
  <c r="R22" i="41"/>
  <c r="R21" i="41"/>
  <c r="R29" i="41"/>
  <c r="R27" i="41"/>
  <c r="R36" i="41"/>
  <c r="R25" i="41"/>
  <c r="R34" i="41"/>
  <c r="R31" i="41"/>
  <c r="R33" i="41"/>
  <c r="Z13" i="31"/>
  <c r="Z16" i="31"/>
  <c r="Z20" i="31"/>
  <c r="X22" i="31"/>
  <c r="X24" i="31"/>
  <c r="J36" i="32"/>
  <c r="J34" i="32"/>
  <c r="J33" i="32"/>
  <c r="J31" i="32"/>
  <c r="J29" i="32"/>
  <c r="J27" i="32"/>
  <c r="J25" i="32"/>
  <c r="J24" i="32"/>
  <c r="J22" i="32"/>
  <c r="J21" i="32"/>
  <c r="J20" i="32"/>
  <c r="J18" i="32"/>
  <c r="J16" i="32"/>
  <c r="H18" i="32"/>
  <c r="J15" i="32"/>
  <c r="N12" i="32"/>
  <c r="X13" i="32"/>
  <c r="Z15" i="32"/>
  <c r="X21" i="32"/>
  <c r="L13" i="34"/>
  <c r="L16" i="35"/>
  <c r="Z25" i="35"/>
  <c r="X29" i="35"/>
  <c r="Z21" i="37"/>
  <c r="X34" i="37"/>
  <c r="L22" i="38"/>
  <c r="Z21" i="31"/>
  <c r="X25" i="31"/>
  <c r="X29" i="31"/>
  <c r="X33" i="31"/>
  <c r="X34" i="31"/>
  <c r="Z13" i="32"/>
  <c r="Z16" i="32"/>
  <c r="Z20" i="32"/>
  <c r="X22" i="32"/>
  <c r="X24" i="32"/>
  <c r="L22" i="34"/>
  <c r="Z24" i="34"/>
  <c r="Z21" i="35"/>
  <c r="L24" i="35"/>
  <c r="Z13" i="37"/>
  <c r="Z16" i="37"/>
  <c r="Z20" i="37"/>
  <c r="X22" i="37"/>
  <c r="X24" i="37"/>
  <c r="J36" i="38"/>
  <c r="J34" i="38"/>
  <c r="J33" i="38"/>
  <c r="J31" i="38"/>
  <c r="J29" i="38"/>
  <c r="J27" i="38"/>
  <c r="J18" i="38"/>
  <c r="J16" i="38"/>
  <c r="H18" i="38"/>
  <c r="J15" i="38"/>
  <c r="J20" i="38"/>
  <c r="J21" i="38"/>
  <c r="J22" i="38"/>
  <c r="J25" i="38"/>
  <c r="N12" i="38"/>
  <c r="J24" i="38"/>
  <c r="X13" i="38"/>
  <c r="Z15" i="38"/>
  <c r="X29" i="40"/>
  <c r="Z13" i="41"/>
  <c r="X22" i="41"/>
  <c r="Z24" i="44"/>
  <c r="Z12" i="37"/>
  <c r="V36" i="37"/>
  <c r="V34" i="37"/>
  <c r="V33" i="37"/>
  <c r="V31" i="37"/>
  <c r="V29" i="37"/>
  <c r="V27" i="37"/>
  <c r="V25" i="37"/>
  <c r="V24" i="37"/>
  <c r="V22" i="37"/>
  <c r="T18" i="37"/>
  <c r="V15" i="37"/>
  <c r="V21" i="37"/>
  <c r="V20" i="37"/>
  <c r="V16" i="37"/>
  <c r="V18" i="37"/>
  <c r="L15" i="37"/>
  <c r="Z25" i="37"/>
  <c r="Z29" i="37"/>
  <c r="Z33" i="37"/>
  <c r="Z34" i="37"/>
  <c r="R20" i="38"/>
  <c r="R21" i="38"/>
  <c r="R34" i="38"/>
  <c r="R29" i="38"/>
  <c r="R22" i="38"/>
  <c r="R24" i="38"/>
  <c r="X12" i="38"/>
  <c r="R36" i="38"/>
  <c r="R31" i="38"/>
  <c r="R25" i="38"/>
  <c r="R33" i="38"/>
  <c r="R27" i="38"/>
  <c r="R18" i="38"/>
  <c r="R16" i="38"/>
  <c r="R15" i="38"/>
  <c r="P18" i="38"/>
  <c r="N22" i="38"/>
  <c r="L29" i="38"/>
  <c r="L34" i="38"/>
  <c r="Z24" i="41"/>
  <c r="Z34" i="43"/>
  <c r="L33" i="44"/>
  <c r="X15" i="46"/>
  <c r="L16" i="37"/>
  <c r="L20" i="37"/>
  <c r="V24" i="38"/>
  <c r="V22" i="38"/>
  <c r="V34" i="38"/>
  <c r="V29" i="38"/>
  <c r="Z12" i="38"/>
  <c r="V36" i="38"/>
  <c r="V31" i="38"/>
  <c r="V25" i="38"/>
  <c r="V20" i="38"/>
  <c r="V15" i="38"/>
  <c r="V21" i="38"/>
  <c r="V27" i="38"/>
  <c r="V18" i="38"/>
  <c r="V16" i="38"/>
  <c r="V33" i="38"/>
  <c r="T18" i="38"/>
  <c r="L15" i="38"/>
  <c r="L20" i="38"/>
  <c r="N21" i="38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H18" i="40"/>
  <c r="J15" i="40"/>
  <c r="N12" i="40"/>
  <c r="X33" i="40"/>
  <c r="Z16" i="41"/>
  <c r="T18" i="43"/>
  <c r="V15" i="43"/>
  <c r="Z12" i="43"/>
  <c r="V21" i="43"/>
  <c r="V29" i="43"/>
  <c r="V18" i="43"/>
  <c r="V33" i="43"/>
  <c r="V36" i="43"/>
  <c r="V24" i="43"/>
  <c r="V27" i="43"/>
  <c r="V16" i="43"/>
  <c r="V31" i="43"/>
  <c r="V34" i="43"/>
  <c r="V22" i="43"/>
  <c r="V20" i="43"/>
  <c r="V25" i="43"/>
  <c r="N13" i="34"/>
  <c r="N22" i="34"/>
  <c r="N24" i="34"/>
  <c r="L13" i="35"/>
  <c r="N21" i="35"/>
  <c r="L25" i="35"/>
  <c r="L29" i="35"/>
  <c r="L33" i="35"/>
  <c r="L34" i="35"/>
  <c r="N15" i="37"/>
  <c r="L21" i="37"/>
  <c r="L16" i="38"/>
  <c r="N20" i="38"/>
  <c r="N29" i="38"/>
  <c r="N34" i="38"/>
  <c r="Z33" i="40"/>
  <c r="L13" i="44"/>
  <c r="N22" i="35"/>
  <c r="N24" i="35"/>
  <c r="N16" i="37"/>
  <c r="N20" i="37"/>
  <c r="L22" i="37"/>
  <c r="L24" i="37"/>
  <c r="N15" i="38"/>
  <c r="Z24" i="38"/>
  <c r="T18" i="40"/>
  <c r="V15" i="40"/>
  <c r="Z12" i="40"/>
  <c r="V36" i="40"/>
  <c r="V34" i="40"/>
  <c r="V33" i="40"/>
  <c r="V31" i="40"/>
  <c r="V29" i="40"/>
  <c r="V27" i="40"/>
  <c r="V25" i="40"/>
  <c r="V21" i="40"/>
  <c r="V20" i="40"/>
  <c r="V24" i="40"/>
  <c r="V18" i="40"/>
  <c r="V22" i="40"/>
  <c r="V16" i="40"/>
  <c r="X34" i="40"/>
  <c r="Z13" i="44"/>
  <c r="F36" i="34"/>
  <c r="F34" i="34"/>
  <c r="F33" i="34"/>
  <c r="F31" i="34"/>
  <c r="F29" i="34"/>
  <c r="F27" i="34"/>
  <c r="F25" i="34"/>
  <c r="F18" i="34"/>
  <c r="D18" i="34"/>
  <c r="F24" i="34"/>
  <c r="F20" i="34"/>
  <c r="F21" i="34"/>
  <c r="F16" i="34"/>
  <c r="F15" i="34"/>
  <c r="F22" i="34"/>
  <c r="L12" i="34"/>
  <c r="X16" i="34"/>
  <c r="X20" i="34"/>
  <c r="X15" i="35"/>
  <c r="N25" i="35"/>
  <c r="N29" i="35"/>
  <c r="N33" i="35"/>
  <c r="N34" i="35"/>
  <c r="L13" i="37"/>
  <c r="N21" i="37"/>
  <c r="L25" i="37"/>
  <c r="L29" i="37"/>
  <c r="L33" i="37"/>
  <c r="L34" i="37"/>
  <c r="N16" i="38"/>
  <c r="X22" i="38"/>
  <c r="X29" i="38"/>
  <c r="L33" i="38"/>
  <c r="X34" i="38"/>
  <c r="X13" i="40"/>
  <c r="Z34" i="40"/>
  <c r="Z16" i="44"/>
  <c r="R20" i="47"/>
  <c r="X12" i="47"/>
  <c r="R24" i="47"/>
  <c r="R22" i="47"/>
  <c r="R29" i="47"/>
  <c r="R18" i="47"/>
  <c r="R33" i="47"/>
  <c r="R21" i="47"/>
  <c r="P18" i="47"/>
  <c r="R15" i="47"/>
  <c r="R36" i="47"/>
  <c r="R27" i="47"/>
  <c r="R31" i="47"/>
  <c r="R16" i="47"/>
  <c r="R25" i="47"/>
  <c r="R34" i="47"/>
  <c r="N13" i="37"/>
  <c r="N22" i="37"/>
  <c r="N24" i="37"/>
  <c r="L13" i="38"/>
  <c r="X21" i="38"/>
  <c r="X25" i="40"/>
  <c r="Z20" i="41"/>
  <c r="Z16" i="34"/>
  <c r="Z20" i="34"/>
  <c r="X22" i="34"/>
  <c r="X24" i="34"/>
  <c r="J24" i="35"/>
  <c r="J22" i="35"/>
  <c r="J21" i="35"/>
  <c r="J20" i="35"/>
  <c r="J18" i="35"/>
  <c r="J16" i="35"/>
  <c r="J33" i="35"/>
  <c r="J29" i="35"/>
  <c r="J25" i="35"/>
  <c r="H18" i="35"/>
  <c r="J34" i="35"/>
  <c r="N12" i="35"/>
  <c r="J27" i="35"/>
  <c r="J15" i="35"/>
  <c r="J36" i="35"/>
  <c r="J31" i="35"/>
  <c r="X13" i="35"/>
  <c r="Z15" i="35"/>
  <c r="X21" i="35"/>
  <c r="X15" i="37"/>
  <c r="N25" i="37"/>
  <c r="N29" i="37"/>
  <c r="N33" i="37"/>
  <c r="N34" i="37"/>
  <c r="N13" i="38"/>
  <c r="X20" i="38"/>
  <c r="Z22" i="38"/>
  <c r="L25" i="38"/>
  <c r="N33" i="38"/>
  <c r="L15" i="40"/>
  <c r="Z25" i="40"/>
  <c r="L15" i="50"/>
  <c r="Z21" i="34"/>
  <c r="X25" i="34"/>
  <c r="X29" i="34"/>
  <c r="X33" i="34"/>
  <c r="X34" i="34"/>
  <c r="Z13" i="35"/>
  <c r="Z16" i="35"/>
  <c r="Z20" i="35"/>
  <c r="X22" i="35"/>
  <c r="X24" i="35"/>
  <c r="F36" i="37"/>
  <c r="F34" i="37"/>
  <c r="F33" i="37"/>
  <c r="F31" i="37"/>
  <c r="F29" i="37"/>
  <c r="F27" i="37"/>
  <c r="F25" i="37"/>
  <c r="F24" i="37"/>
  <c r="F22" i="37"/>
  <c r="F21" i="37"/>
  <c r="F20" i="37"/>
  <c r="F18" i="37"/>
  <c r="F16" i="37"/>
  <c r="D18" i="37"/>
  <c r="F15" i="37"/>
  <c r="L12" i="37"/>
  <c r="X16" i="37"/>
  <c r="X20" i="37"/>
  <c r="X15" i="38"/>
  <c r="Z21" i="38"/>
  <c r="Z15" i="40"/>
  <c r="X21" i="40"/>
  <c r="X24" i="38"/>
  <c r="R21" i="40"/>
  <c r="P18" i="40"/>
  <c r="R15" i="40"/>
  <c r="X12" i="40"/>
  <c r="R36" i="40"/>
  <c r="R34" i="40"/>
  <c r="R33" i="40"/>
  <c r="R31" i="40"/>
  <c r="R29" i="40"/>
  <c r="R27" i="40"/>
  <c r="R25" i="40"/>
  <c r="R20" i="40"/>
  <c r="R24" i="40"/>
  <c r="R18" i="40"/>
  <c r="R22" i="40"/>
  <c r="R16" i="40"/>
  <c r="Z22" i="40"/>
  <c r="Z24" i="40"/>
  <c r="Z21" i="41"/>
  <c r="X25" i="41"/>
  <c r="X29" i="41"/>
  <c r="X33" i="41"/>
  <c r="X34" i="41"/>
  <c r="L16" i="43"/>
  <c r="N13" i="44"/>
  <c r="N21" i="44"/>
  <c r="X24" i="44"/>
  <c r="N25" i="46"/>
  <c r="N13" i="47"/>
  <c r="Z25" i="47"/>
  <c r="X21" i="49"/>
  <c r="L16" i="40"/>
  <c r="L20" i="40"/>
  <c r="Z12" i="41"/>
  <c r="V36" i="41"/>
  <c r="V34" i="41"/>
  <c r="V33" i="41"/>
  <c r="V31" i="41"/>
  <c r="V29" i="41"/>
  <c r="V27" i="41"/>
  <c r="V25" i="41"/>
  <c r="V24" i="41"/>
  <c r="V22" i="41"/>
  <c r="V20" i="41"/>
  <c r="V18" i="41"/>
  <c r="V16" i="41"/>
  <c r="T18" i="41"/>
  <c r="V15" i="41"/>
  <c r="V21" i="41"/>
  <c r="L15" i="41"/>
  <c r="Z25" i="41"/>
  <c r="Z29" i="41"/>
  <c r="Z33" i="41"/>
  <c r="Z34" i="41"/>
  <c r="N24" i="43"/>
  <c r="Z29" i="47"/>
  <c r="Z25" i="38"/>
  <c r="Z29" i="38"/>
  <c r="Z33" i="38"/>
  <c r="Z34" i="38"/>
  <c r="N15" i="40"/>
  <c r="L21" i="40"/>
  <c r="L16" i="41"/>
  <c r="L20" i="41"/>
  <c r="N13" i="43"/>
  <c r="L15" i="44"/>
  <c r="L25" i="44"/>
  <c r="Z33" i="44"/>
  <c r="N29" i="46"/>
  <c r="X20" i="50"/>
  <c r="N16" i="40"/>
  <c r="N20" i="40"/>
  <c r="L22" i="40"/>
  <c r="L24" i="40"/>
  <c r="N15" i="41"/>
  <c r="L21" i="41"/>
  <c r="N33" i="43"/>
  <c r="L34" i="44"/>
  <c r="X16" i="47"/>
  <c r="X29" i="49"/>
  <c r="X22" i="50"/>
  <c r="L21" i="38"/>
  <c r="L13" i="40"/>
  <c r="N21" i="40"/>
  <c r="L25" i="40"/>
  <c r="L29" i="40"/>
  <c r="L33" i="40"/>
  <c r="L34" i="40"/>
  <c r="N16" i="41"/>
  <c r="N20" i="41"/>
  <c r="L22" i="41"/>
  <c r="L24" i="41"/>
  <c r="X33" i="43"/>
  <c r="Z29" i="44"/>
  <c r="N13" i="40"/>
  <c r="N22" i="40"/>
  <c r="N24" i="40"/>
  <c r="L13" i="41"/>
  <c r="N21" i="41"/>
  <c r="L25" i="41"/>
  <c r="L29" i="41"/>
  <c r="L33" i="41"/>
  <c r="L34" i="41"/>
  <c r="L15" i="43"/>
  <c r="Z21" i="43"/>
  <c r="N29" i="43"/>
  <c r="Z33" i="43"/>
  <c r="N22" i="44"/>
  <c r="N33" i="46"/>
  <c r="J36" i="49"/>
  <c r="J34" i="49"/>
  <c r="J33" i="49"/>
  <c r="J31" i="49"/>
  <c r="J29" i="49"/>
  <c r="J27" i="49"/>
  <c r="J25" i="49"/>
  <c r="J24" i="49"/>
  <c r="J22" i="49"/>
  <c r="J21" i="49"/>
  <c r="J20" i="49"/>
  <c r="J18" i="49"/>
  <c r="J16" i="49"/>
  <c r="H18" i="49"/>
  <c r="J15" i="49"/>
  <c r="N12" i="49"/>
  <c r="X24" i="50"/>
  <c r="X15" i="40"/>
  <c r="N25" i="40"/>
  <c r="N29" i="40"/>
  <c r="N33" i="40"/>
  <c r="N34" i="40"/>
  <c r="N13" i="41"/>
  <c r="N22" i="41"/>
  <c r="N24" i="41"/>
  <c r="X29" i="43"/>
  <c r="X22" i="44"/>
  <c r="Z25" i="44"/>
  <c r="X20" i="47"/>
  <c r="Z34" i="47"/>
  <c r="X34" i="49"/>
  <c r="X20" i="52"/>
  <c r="L12" i="40"/>
  <c r="F36" i="40"/>
  <c r="F34" i="40"/>
  <c r="F33" i="40"/>
  <c r="F31" i="40"/>
  <c r="F29" i="40"/>
  <c r="F27" i="40"/>
  <c r="F25" i="40"/>
  <c r="F24" i="40"/>
  <c r="F22" i="40"/>
  <c r="F21" i="40"/>
  <c r="F20" i="40"/>
  <c r="F18" i="40"/>
  <c r="F16" i="40"/>
  <c r="D18" i="40"/>
  <c r="F15" i="40"/>
  <c r="X16" i="40"/>
  <c r="X20" i="40"/>
  <c r="X15" i="41"/>
  <c r="N25" i="41"/>
  <c r="N29" i="41"/>
  <c r="N33" i="41"/>
  <c r="N34" i="41"/>
  <c r="N25" i="43"/>
  <c r="Z29" i="43"/>
  <c r="Z22" i="44"/>
  <c r="Z34" i="44"/>
  <c r="Z12" i="46"/>
  <c r="V21" i="46"/>
  <c r="V16" i="46"/>
  <c r="V36" i="46"/>
  <c r="V33" i="46"/>
  <c r="V29" i="46"/>
  <c r="V25" i="46"/>
  <c r="V18" i="46"/>
  <c r="T18" i="46"/>
  <c r="V22" i="46"/>
  <c r="V34" i="46"/>
  <c r="V31" i="46"/>
  <c r="V27" i="46"/>
  <c r="V20" i="46"/>
  <c r="V15" i="46"/>
  <c r="V24" i="46"/>
  <c r="L22" i="46"/>
  <c r="Z34" i="46"/>
  <c r="N22" i="47"/>
  <c r="L16" i="49"/>
  <c r="Z29" i="50"/>
  <c r="F36" i="41"/>
  <c r="F34" i="41"/>
  <c r="F33" i="41"/>
  <c r="F31" i="41"/>
  <c r="F29" i="41"/>
  <c r="F27" i="41"/>
  <c r="F25" i="41"/>
  <c r="F24" i="41"/>
  <c r="F22" i="41"/>
  <c r="F21" i="41"/>
  <c r="F20" i="41"/>
  <c r="F18" i="41"/>
  <c r="F16" i="41"/>
  <c r="D18" i="41"/>
  <c r="F15" i="41"/>
  <c r="L12" i="41"/>
  <c r="X16" i="41"/>
  <c r="X20" i="41"/>
  <c r="X15" i="43"/>
  <c r="N22" i="43"/>
  <c r="X25" i="43"/>
  <c r="N34" i="43"/>
  <c r="R20" i="44"/>
  <c r="R18" i="44"/>
  <c r="R16" i="44"/>
  <c r="P18" i="44"/>
  <c r="R15" i="44"/>
  <c r="X12" i="44"/>
  <c r="R24" i="44"/>
  <c r="R22" i="44"/>
  <c r="R31" i="44"/>
  <c r="R34" i="44"/>
  <c r="R25" i="44"/>
  <c r="R29" i="44"/>
  <c r="R33" i="44"/>
  <c r="R21" i="44"/>
  <c r="R36" i="44"/>
  <c r="R27" i="44"/>
  <c r="Z20" i="44"/>
  <c r="X22" i="47"/>
  <c r="Z13" i="40"/>
  <c r="Z16" i="40"/>
  <c r="Z20" i="40"/>
  <c r="X22" i="40"/>
  <c r="X24" i="40"/>
  <c r="J36" i="41"/>
  <c r="J34" i="41"/>
  <c r="J33" i="41"/>
  <c r="J31" i="41"/>
  <c r="J29" i="41"/>
  <c r="J27" i="41"/>
  <c r="J25" i="41"/>
  <c r="J24" i="41"/>
  <c r="J22" i="41"/>
  <c r="J21" i="41"/>
  <c r="J20" i="41"/>
  <c r="J18" i="41"/>
  <c r="J16" i="41"/>
  <c r="H18" i="41"/>
  <c r="J15" i="41"/>
  <c r="N12" i="41"/>
  <c r="X13" i="41"/>
  <c r="Z15" i="41"/>
  <c r="X21" i="41"/>
  <c r="L20" i="43"/>
  <c r="Z25" i="43"/>
  <c r="X34" i="43"/>
  <c r="Z12" i="44"/>
  <c r="V36" i="44"/>
  <c r="V34" i="44"/>
  <c r="V33" i="44"/>
  <c r="V31" i="44"/>
  <c r="V29" i="44"/>
  <c r="V27" i="44"/>
  <c r="V25" i="44"/>
  <c r="V20" i="44"/>
  <c r="V18" i="44"/>
  <c r="V16" i="44"/>
  <c r="V22" i="44"/>
  <c r="V15" i="44"/>
  <c r="T18" i="44"/>
  <c r="V21" i="44"/>
  <c r="V24" i="44"/>
  <c r="N13" i="46"/>
  <c r="X22" i="46"/>
  <c r="Z22" i="47"/>
  <c r="Z13" i="50"/>
  <c r="L33" i="52"/>
  <c r="R21" i="43"/>
  <c r="R20" i="43"/>
  <c r="R18" i="43"/>
  <c r="R16" i="43"/>
  <c r="P18" i="43"/>
  <c r="R15" i="43"/>
  <c r="R36" i="43"/>
  <c r="R34" i="43"/>
  <c r="R33" i="43"/>
  <c r="R31" i="43"/>
  <c r="R29" i="43"/>
  <c r="R27" i="43"/>
  <c r="R25" i="43"/>
  <c r="R24" i="43"/>
  <c r="X12" i="43"/>
  <c r="R22" i="43"/>
  <c r="Z22" i="43"/>
  <c r="Z24" i="43"/>
  <c r="Z21" i="44"/>
  <c r="X25" i="44"/>
  <c r="X29" i="44"/>
  <c r="X33" i="44"/>
  <c r="X34" i="44"/>
  <c r="Z15" i="46"/>
  <c r="Z20" i="46"/>
  <c r="Z12" i="47"/>
  <c r="V36" i="47"/>
  <c r="V34" i="47"/>
  <c r="V33" i="47"/>
  <c r="V31" i="47"/>
  <c r="V29" i="47"/>
  <c r="V27" i="47"/>
  <c r="V25" i="47"/>
  <c r="V20" i="47"/>
  <c r="V18" i="47"/>
  <c r="V16" i="47"/>
  <c r="T18" i="47"/>
  <c r="V15" i="47"/>
  <c r="V21" i="47"/>
  <c r="V24" i="47"/>
  <c r="V22" i="47"/>
  <c r="Z29" i="49"/>
  <c r="Z34" i="49"/>
  <c r="Z22" i="50"/>
  <c r="N15" i="43"/>
  <c r="L21" i="43"/>
  <c r="L16" i="44"/>
  <c r="L20" i="44"/>
  <c r="X13" i="47"/>
  <c r="Z20" i="47"/>
  <c r="Z21" i="49"/>
  <c r="X25" i="49"/>
  <c r="Z20" i="50"/>
  <c r="Z24" i="50"/>
  <c r="L13" i="52"/>
  <c r="N24" i="53"/>
  <c r="N16" i="43"/>
  <c r="N20" i="43"/>
  <c r="L22" i="43"/>
  <c r="L24" i="43"/>
  <c r="N15" i="44"/>
  <c r="L21" i="44"/>
  <c r="X13" i="46"/>
  <c r="L16" i="46"/>
  <c r="X25" i="46"/>
  <c r="X29" i="46"/>
  <c r="X33" i="46"/>
  <c r="Z13" i="47"/>
  <c r="Z16" i="47"/>
  <c r="N24" i="47"/>
  <c r="T18" i="49"/>
  <c r="V15" i="49"/>
  <c r="Z12" i="49"/>
  <c r="V21" i="49"/>
  <c r="V33" i="49"/>
  <c r="V27" i="49"/>
  <c r="V22" i="49"/>
  <c r="V18" i="49"/>
  <c r="V36" i="49"/>
  <c r="V31" i="49"/>
  <c r="V25" i="49"/>
  <c r="V16" i="49"/>
  <c r="V24" i="49"/>
  <c r="V20" i="49"/>
  <c r="V34" i="49"/>
  <c r="V29" i="49"/>
  <c r="Z25" i="49"/>
  <c r="N13" i="52"/>
  <c r="N22" i="52"/>
  <c r="L13" i="43"/>
  <c r="N21" i="43"/>
  <c r="L25" i="43"/>
  <c r="L29" i="43"/>
  <c r="L33" i="43"/>
  <c r="L34" i="43"/>
  <c r="N16" i="44"/>
  <c r="N20" i="44"/>
  <c r="L22" i="44"/>
  <c r="L24" i="44"/>
  <c r="Z13" i="46"/>
  <c r="N16" i="46"/>
  <c r="Z25" i="46"/>
  <c r="Z29" i="46"/>
  <c r="Z33" i="46"/>
  <c r="J20" i="53"/>
  <c r="J18" i="53"/>
  <c r="J16" i="53"/>
  <c r="N12" i="53"/>
  <c r="J36" i="53"/>
  <c r="J34" i="53"/>
  <c r="J33" i="53"/>
  <c r="J31" i="53"/>
  <c r="J29" i="53"/>
  <c r="J27" i="53"/>
  <c r="J25" i="53"/>
  <c r="J22" i="53"/>
  <c r="J15" i="53"/>
  <c r="H18" i="53"/>
  <c r="J21" i="53"/>
  <c r="J24" i="53"/>
  <c r="X21" i="46"/>
  <c r="L24" i="46"/>
  <c r="L15" i="47"/>
  <c r="X24" i="47"/>
  <c r="X13" i="49"/>
  <c r="F36" i="50"/>
  <c r="F34" i="50"/>
  <c r="F33" i="50"/>
  <c r="F31" i="50"/>
  <c r="F29" i="50"/>
  <c r="F27" i="50"/>
  <c r="F25" i="50"/>
  <c r="F24" i="50"/>
  <c r="F22" i="50"/>
  <c r="F21" i="50"/>
  <c r="F20" i="50"/>
  <c r="F18" i="50"/>
  <c r="F16" i="50"/>
  <c r="D18" i="50"/>
  <c r="F15" i="50"/>
  <c r="L12" i="50"/>
  <c r="X16" i="50"/>
  <c r="X15" i="52"/>
  <c r="L15" i="46"/>
  <c r="N34" i="46"/>
  <c r="Z24" i="47"/>
  <c r="X33" i="49"/>
  <c r="Z16" i="50"/>
  <c r="Z25" i="50"/>
  <c r="Z33" i="50"/>
  <c r="L25" i="52"/>
  <c r="N13" i="53"/>
  <c r="L12" i="43"/>
  <c r="F24" i="43"/>
  <c r="F22" i="43"/>
  <c r="F21" i="43"/>
  <c r="F20" i="43"/>
  <c r="F18" i="43"/>
  <c r="F16" i="43"/>
  <c r="F31" i="43"/>
  <c r="F34" i="43"/>
  <c r="F25" i="43"/>
  <c r="F15" i="43"/>
  <c r="F29" i="43"/>
  <c r="D18" i="43"/>
  <c r="F33" i="43"/>
  <c r="F27" i="43"/>
  <c r="F36" i="43"/>
  <c r="X16" i="43"/>
  <c r="X20" i="43"/>
  <c r="X15" i="44"/>
  <c r="N25" i="44"/>
  <c r="N29" i="44"/>
  <c r="N33" i="44"/>
  <c r="N34" i="44"/>
  <c r="J36" i="46"/>
  <c r="J34" i="46"/>
  <c r="J33" i="46"/>
  <c r="J31" i="46"/>
  <c r="J29" i="46"/>
  <c r="J27" i="46"/>
  <c r="J25" i="46"/>
  <c r="J21" i="46"/>
  <c r="J20" i="46"/>
  <c r="J18" i="46"/>
  <c r="J16" i="46"/>
  <c r="N12" i="46"/>
  <c r="J15" i="46"/>
  <c r="J24" i="46"/>
  <c r="J22" i="46"/>
  <c r="H18" i="46"/>
  <c r="L20" i="46"/>
  <c r="Z21" i="46"/>
  <c r="F24" i="47"/>
  <c r="F22" i="47"/>
  <c r="F21" i="47"/>
  <c r="F20" i="47"/>
  <c r="F18" i="47"/>
  <c r="F16" i="47"/>
  <c r="D18" i="47"/>
  <c r="F15" i="47"/>
  <c r="F34" i="47"/>
  <c r="L12" i="47"/>
  <c r="F25" i="47"/>
  <c r="F29" i="47"/>
  <c r="F33" i="47"/>
  <c r="F36" i="47"/>
  <c r="F31" i="47"/>
  <c r="F27" i="47"/>
  <c r="L15" i="49"/>
  <c r="Z33" i="49"/>
  <c r="R20" i="50"/>
  <c r="R18" i="50"/>
  <c r="R16" i="50"/>
  <c r="X12" i="50"/>
  <c r="R24" i="50"/>
  <c r="R22" i="50"/>
  <c r="P18" i="50"/>
  <c r="R34" i="50"/>
  <c r="R27" i="50"/>
  <c r="R21" i="50"/>
  <c r="R33" i="50"/>
  <c r="R25" i="50"/>
  <c r="R31" i="50"/>
  <c r="R36" i="50"/>
  <c r="R29" i="50"/>
  <c r="R15" i="50"/>
  <c r="X16" i="52"/>
  <c r="N16" i="53"/>
  <c r="J36" i="43"/>
  <c r="J34" i="43"/>
  <c r="J33" i="43"/>
  <c r="J31" i="43"/>
  <c r="J29" i="43"/>
  <c r="J27" i="43"/>
  <c r="J25" i="43"/>
  <c r="J20" i="43"/>
  <c r="J18" i="43"/>
  <c r="J16" i="43"/>
  <c r="H18" i="43"/>
  <c r="J15" i="43"/>
  <c r="J22" i="43"/>
  <c r="J21" i="43"/>
  <c r="J24" i="43"/>
  <c r="N12" i="43"/>
  <c r="X13" i="43"/>
  <c r="Z15" i="43"/>
  <c r="X21" i="43"/>
  <c r="F21" i="44"/>
  <c r="F20" i="44"/>
  <c r="F18" i="44"/>
  <c r="F16" i="44"/>
  <c r="D18" i="44"/>
  <c r="F15" i="44"/>
  <c r="F36" i="44"/>
  <c r="F24" i="44"/>
  <c r="F27" i="44"/>
  <c r="L12" i="44"/>
  <c r="F31" i="44"/>
  <c r="F34" i="44"/>
  <c r="F22" i="44"/>
  <c r="F25" i="44"/>
  <c r="F29" i="44"/>
  <c r="F33" i="44"/>
  <c r="X16" i="44"/>
  <c r="X20" i="44"/>
  <c r="Z16" i="46"/>
  <c r="N20" i="46"/>
  <c r="X24" i="46"/>
  <c r="J24" i="47"/>
  <c r="J22" i="47"/>
  <c r="J20" i="47"/>
  <c r="J18" i="47"/>
  <c r="J16" i="47"/>
  <c r="H18" i="47"/>
  <c r="J15" i="47"/>
  <c r="N12" i="47"/>
  <c r="J25" i="47"/>
  <c r="J29" i="47"/>
  <c r="J33" i="47"/>
  <c r="J21" i="47"/>
  <c r="J36" i="47"/>
  <c r="J27" i="47"/>
  <c r="J34" i="47"/>
  <c r="J31" i="47"/>
  <c r="Z15" i="47"/>
  <c r="Z33" i="47"/>
  <c r="L20" i="49"/>
  <c r="Z12" i="50"/>
  <c r="V36" i="50"/>
  <c r="V34" i="50"/>
  <c r="V33" i="50"/>
  <c r="V31" i="50"/>
  <c r="V29" i="50"/>
  <c r="V27" i="50"/>
  <c r="V25" i="50"/>
  <c r="V20" i="50"/>
  <c r="V18" i="50"/>
  <c r="V16" i="50"/>
  <c r="V21" i="50"/>
  <c r="V24" i="50"/>
  <c r="V15" i="50"/>
  <c r="V22" i="50"/>
  <c r="T18" i="50"/>
  <c r="Z13" i="43"/>
  <c r="Z16" i="43"/>
  <c r="Z20" i="43"/>
  <c r="X22" i="43"/>
  <c r="X24" i="43"/>
  <c r="J36" i="44"/>
  <c r="J34" i="44"/>
  <c r="J33" i="44"/>
  <c r="J31" i="44"/>
  <c r="J29" i="44"/>
  <c r="J27" i="44"/>
  <c r="J25" i="44"/>
  <c r="J24" i="44"/>
  <c r="J22" i="44"/>
  <c r="H18" i="44"/>
  <c r="J15" i="44"/>
  <c r="N12" i="44"/>
  <c r="J16" i="44"/>
  <c r="J20" i="44"/>
  <c r="J18" i="44"/>
  <c r="J21" i="44"/>
  <c r="X13" i="44"/>
  <c r="Z15" i="44"/>
  <c r="X21" i="44"/>
  <c r="X34" i="46"/>
  <c r="Z15" i="49"/>
  <c r="Z34" i="50"/>
  <c r="L29" i="52"/>
  <c r="P18" i="46"/>
  <c r="R15" i="46"/>
  <c r="R36" i="46"/>
  <c r="R34" i="46"/>
  <c r="R33" i="46"/>
  <c r="R31" i="46"/>
  <c r="R29" i="46"/>
  <c r="R27" i="46"/>
  <c r="R25" i="46"/>
  <c r="R24" i="46"/>
  <c r="R16" i="46"/>
  <c r="R21" i="46"/>
  <c r="R18" i="46"/>
  <c r="R22" i="46"/>
  <c r="X12" i="46"/>
  <c r="R20" i="46"/>
  <c r="Z22" i="46"/>
  <c r="Z24" i="46"/>
  <c r="Z21" i="47"/>
  <c r="X25" i="47"/>
  <c r="X29" i="47"/>
  <c r="X33" i="47"/>
  <c r="X34" i="47"/>
  <c r="R21" i="49"/>
  <c r="P18" i="49"/>
  <c r="R15" i="49"/>
  <c r="R36" i="49"/>
  <c r="R34" i="49"/>
  <c r="R33" i="49"/>
  <c r="R31" i="49"/>
  <c r="R29" i="49"/>
  <c r="R27" i="49"/>
  <c r="R25" i="49"/>
  <c r="R20" i="49"/>
  <c r="R22" i="49"/>
  <c r="R18" i="49"/>
  <c r="X12" i="49"/>
  <c r="R16" i="49"/>
  <c r="R24" i="49"/>
  <c r="Z22" i="49"/>
  <c r="Z24" i="49"/>
  <c r="Z21" i="50"/>
  <c r="X25" i="50"/>
  <c r="X29" i="50"/>
  <c r="X33" i="50"/>
  <c r="X34" i="50"/>
  <c r="Z16" i="52"/>
  <c r="L22" i="52"/>
  <c r="X24" i="52"/>
  <c r="Z12" i="53"/>
  <c r="V36" i="53"/>
  <c r="V34" i="53"/>
  <c r="V33" i="53"/>
  <c r="V31" i="53"/>
  <c r="V29" i="53"/>
  <c r="V27" i="53"/>
  <c r="V25" i="53"/>
  <c r="V21" i="53"/>
  <c r="V20" i="53"/>
  <c r="V18" i="53"/>
  <c r="V16" i="53"/>
  <c r="T18" i="53"/>
  <c r="V15" i="53"/>
  <c r="V24" i="53"/>
  <c r="V22" i="53"/>
  <c r="L24" i="53"/>
  <c r="N15" i="46"/>
  <c r="L21" i="46"/>
  <c r="L16" i="47"/>
  <c r="L20" i="47"/>
  <c r="N15" i="49"/>
  <c r="L21" i="49"/>
  <c r="L16" i="50"/>
  <c r="L20" i="50"/>
  <c r="Z20" i="52"/>
  <c r="N33" i="53"/>
  <c r="N15" i="47"/>
  <c r="L21" i="47"/>
  <c r="N16" i="49"/>
  <c r="N20" i="49"/>
  <c r="L22" i="49"/>
  <c r="L24" i="49"/>
  <c r="N15" i="50"/>
  <c r="L21" i="50"/>
  <c r="N25" i="52"/>
  <c r="N29" i="52"/>
  <c r="N33" i="52"/>
  <c r="X13" i="53"/>
  <c r="L13" i="46"/>
  <c r="N21" i="46"/>
  <c r="L25" i="46"/>
  <c r="L29" i="46"/>
  <c r="L33" i="46"/>
  <c r="L34" i="46"/>
  <c r="N16" i="47"/>
  <c r="N20" i="47"/>
  <c r="L22" i="47"/>
  <c r="L24" i="47"/>
  <c r="L13" i="49"/>
  <c r="N21" i="49"/>
  <c r="L25" i="49"/>
  <c r="L29" i="49"/>
  <c r="L33" i="49"/>
  <c r="L34" i="49"/>
  <c r="N16" i="50"/>
  <c r="N20" i="50"/>
  <c r="L22" i="50"/>
  <c r="L24" i="50"/>
  <c r="Z13" i="52"/>
  <c r="X22" i="52"/>
  <c r="L15" i="53"/>
  <c r="X21" i="53"/>
  <c r="N29" i="53"/>
  <c r="Z33" i="53"/>
  <c r="N22" i="46"/>
  <c r="N24" i="46"/>
  <c r="L13" i="47"/>
  <c r="N21" i="47"/>
  <c r="L25" i="47"/>
  <c r="L29" i="47"/>
  <c r="L33" i="47"/>
  <c r="L34" i="47"/>
  <c r="N13" i="49"/>
  <c r="N22" i="49"/>
  <c r="N24" i="49"/>
  <c r="L13" i="50"/>
  <c r="N21" i="50"/>
  <c r="L25" i="50"/>
  <c r="L29" i="50"/>
  <c r="L33" i="50"/>
  <c r="L34" i="50"/>
  <c r="F20" i="52"/>
  <c r="F18" i="52"/>
  <c r="F16" i="52"/>
  <c r="F34" i="52"/>
  <c r="F31" i="52"/>
  <c r="F27" i="52"/>
  <c r="F15" i="52"/>
  <c r="F24" i="52"/>
  <c r="L12" i="52"/>
  <c r="F21" i="52"/>
  <c r="F36" i="52"/>
  <c r="F33" i="52"/>
  <c r="F29" i="52"/>
  <c r="F25" i="52"/>
  <c r="D18" i="52"/>
  <c r="F22" i="52"/>
  <c r="L16" i="52"/>
  <c r="N21" i="52"/>
  <c r="X15" i="49"/>
  <c r="N25" i="49"/>
  <c r="N29" i="49"/>
  <c r="N33" i="49"/>
  <c r="N34" i="49"/>
  <c r="N13" i="50"/>
  <c r="N22" i="50"/>
  <c r="N24" i="50"/>
  <c r="N16" i="52"/>
  <c r="L24" i="52"/>
  <c r="L22" i="53"/>
  <c r="N25" i="53"/>
  <c r="Z29" i="53"/>
  <c r="F36" i="46"/>
  <c r="F34" i="46"/>
  <c r="F33" i="46"/>
  <c r="F31" i="46"/>
  <c r="F29" i="46"/>
  <c r="F27" i="46"/>
  <c r="F25" i="46"/>
  <c r="F24" i="46"/>
  <c r="F22" i="46"/>
  <c r="F20" i="46"/>
  <c r="F18" i="46"/>
  <c r="F16" i="46"/>
  <c r="L12" i="46"/>
  <c r="F15" i="46"/>
  <c r="F21" i="46"/>
  <c r="D18" i="46"/>
  <c r="X16" i="46"/>
  <c r="X20" i="46"/>
  <c r="X15" i="47"/>
  <c r="N25" i="47"/>
  <c r="N29" i="47"/>
  <c r="N33" i="47"/>
  <c r="N34" i="47"/>
  <c r="L12" i="49"/>
  <c r="F36" i="49"/>
  <c r="F34" i="49"/>
  <c r="F33" i="49"/>
  <c r="F31" i="49"/>
  <c r="F29" i="49"/>
  <c r="F27" i="49"/>
  <c r="F25" i="49"/>
  <c r="F24" i="49"/>
  <c r="F22" i="49"/>
  <c r="F21" i="49"/>
  <c r="F20" i="49"/>
  <c r="F18" i="49"/>
  <c r="F16" i="49"/>
  <c r="F15" i="49"/>
  <c r="D18" i="49"/>
  <c r="X16" i="49"/>
  <c r="X20" i="49"/>
  <c r="X15" i="50"/>
  <c r="N25" i="50"/>
  <c r="N29" i="50"/>
  <c r="N33" i="50"/>
  <c r="N34" i="50"/>
  <c r="L15" i="52"/>
  <c r="L34" i="52"/>
  <c r="X15" i="53"/>
  <c r="N22" i="53"/>
  <c r="N34" i="53"/>
  <c r="R36" i="52"/>
  <c r="R34" i="52"/>
  <c r="R33" i="52"/>
  <c r="R31" i="52"/>
  <c r="R29" i="52"/>
  <c r="R27" i="52"/>
  <c r="R25" i="52"/>
  <c r="R24" i="52"/>
  <c r="R22" i="52"/>
  <c r="R20" i="52"/>
  <c r="R18" i="52"/>
  <c r="R16" i="52"/>
  <c r="R21" i="52"/>
  <c r="P18" i="52"/>
  <c r="R15" i="52"/>
  <c r="X12" i="52"/>
  <c r="L20" i="52"/>
  <c r="N24" i="52"/>
  <c r="Z15" i="53"/>
  <c r="N20" i="53"/>
  <c r="Z25" i="53"/>
  <c r="X21" i="47"/>
  <c r="Z13" i="49"/>
  <c r="Z16" i="49"/>
  <c r="Z20" i="49"/>
  <c r="X22" i="49"/>
  <c r="X24" i="49"/>
  <c r="J36" i="50"/>
  <c r="J34" i="50"/>
  <c r="J33" i="50"/>
  <c r="J31" i="50"/>
  <c r="J29" i="50"/>
  <c r="J27" i="50"/>
  <c r="J25" i="50"/>
  <c r="J24" i="50"/>
  <c r="J22" i="50"/>
  <c r="J21" i="50"/>
  <c r="J20" i="50"/>
  <c r="J18" i="50"/>
  <c r="J16" i="50"/>
  <c r="H18" i="50"/>
  <c r="J15" i="50"/>
  <c r="N12" i="50"/>
  <c r="X13" i="50"/>
  <c r="Z15" i="50"/>
  <c r="X21" i="50"/>
  <c r="Z12" i="52"/>
  <c r="V24" i="52"/>
  <c r="V22" i="52"/>
  <c r="V21" i="52"/>
  <c r="V20" i="52"/>
  <c r="V18" i="52"/>
  <c r="V16" i="52"/>
  <c r="T18" i="52"/>
  <c r="V36" i="52"/>
  <c r="V33" i="52"/>
  <c r="V29" i="52"/>
  <c r="V25" i="52"/>
  <c r="V15" i="52"/>
  <c r="V27" i="52"/>
  <c r="V34" i="52"/>
  <c r="V31" i="52"/>
  <c r="N20" i="52"/>
  <c r="N34" i="52"/>
  <c r="Z34" i="53"/>
  <c r="J24" i="52"/>
  <c r="J15" i="52"/>
  <c r="J16" i="52"/>
  <c r="N12" i="52"/>
  <c r="J21" i="52"/>
  <c r="J36" i="52"/>
  <c r="J33" i="52"/>
  <c r="J29" i="52"/>
  <c r="J25" i="52"/>
  <c r="J18" i="52"/>
  <c r="J22" i="52"/>
  <c r="H18" i="52"/>
  <c r="J27" i="52"/>
  <c r="J31" i="52"/>
  <c r="J20" i="52"/>
  <c r="J34" i="52"/>
  <c r="X13" i="52"/>
  <c r="Z15" i="52"/>
  <c r="X21" i="52"/>
  <c r="F24" i="53"/>
  <c r="F22" i="53"/>
  <c r="F20" i="53"/>
  <c r="F18" i="53"/>
  <c r="F16" i="53"/>
  <c r="D18" i="53"/>
  <c r="F15" i="53"/>
  <c r="L12" i="53"/>
  <c r="F31" i="53"/>
  <c r="F34" i="53"/>
  <c r="F25" i="53"/>
  <c r="F29" i="53"/>
  <c r="F36" i="53"/>
  <c r="F33" i="53"/>
  <c r="F27" i="53"/>
  <c r="F21" i="53"/>
  <c r="X16" i="53"/>
  <c r="X20" i="53"/>
  <c r="Z21" i="52"/>
  <c r="X25" i="52"/>
  <c r="X29" i="52"/>
  <c r="X33" i="52"/>
  <c r="X34" i="52"/>
  <c r="Z13" i="53"/>
  <c r="Z16" i="53"/>
  <c r="Z20" i="53"/>
  <c r="X22" i="53"/>
  <c r="X24" i="53"/>
  <c r="Z22" i="52"/>
  <c r="Z24" i="52"/>
  <c r="Z21" i="53"/>
  <c r="X25" i="53"/>
  <c r="X29" i="53"/>
  <c r="X33" i="53"/>
  <c r="X34" i="53"/>
  <c r="Z25" i="52"/>
  <c r="Z29" i="52"/>
  <c r="Z33" i="52"/>
  <c r="Z34" i="52"/>
  <c r="X12" i="53"/>
  <c r="R36" i="53"/>
  <c r="R34" i="53"/>
  <c r="R33" i="53"/>
  <c r="R31" i="53"/>
  <c r="R29" i="53"/>
  <c r="R27" i="53"/>
  <c r="R25" i="53"/>
  <c r="R24" i="53"/>
  <c r="R22" i="53"/>
  <c r="R21" i="53"/>
  <c r="P18" i="53"/>
  <c r="R15" i="53"/>
  <c r="R18" i="53"/>
  <c r="R20" i="53"/>
  <c r="R16" i="53"/>
  <c r="Z22" i="53"/>
  <c r="Z24" i="53"/>
  <c r="N15" i="52"/>
  <c r="L21" i="52"/>
  <c r="L16" i="53"/>
  <c r="L20" i="53"/>
  <c r="N15" i="53"/>
  <c r="L21" i="53"/>
  <c r="L13" i="53"/>
  <c r="N21" i="53"/>
  <c r="L25" i="53"/>
  <c r="L29" i="53"/>
  <c r="L33" i="53"/>
  <c r="L34" i="53"/>
  <c r="X15" i="98"/>
  <c r="N16" i="98"/>
  <c r="L33" i="98"/>
  <c r="N25" i="99"/>
  <c r="N29" i="99"/>
  <c r="Z20" i="98"/>
  <c r="N33" i="99"/>
  <c r="L25" i="100"/>
  <c r="L29" i="100"/>
  <c r="V21" i="100"/>
  <c r="V20" i="100"/>
  <c r="V18" i="100"/>
  <c r="V16" i="100"/>
  <c r="T18" i="100"/>
  <c r="V15" i="100"/>
  <c r="V36" i="100"/>
  <c r="V33" i="100"/>
  <c r="V29" i="100"/>
  <c r="V25" i="100"/>
  <c r="V22" i="100"/>
  <c r="Z12" i="100"/>
  <c r="V34" i="100"/>
  <c r="V31" i="100"/>
  <c r="V27" i="100"/>
  <c r="V24" i="100"/>
  <c r="L13" i="100"/>
  <c r="L33" i="100"/>
  <c r="N12" i="98"/>
  <c r="J22" i="98"/>
  <c r="H18" i="98"/>
  <c r="J34" i="98"/>
  <c r="J31" i="98"/>
  <c r="J27" i="98"/>
  <c r="J15" i="98"/>
  <c r="J20" i="98"/>
  <c r="J24" i="98"/>
  <c r="J16" i="98"/>
  <c r="J36" i="98"/>
  <c r="J33" i="98"/>
  <c r="J29" i="98"/>
  <c r="J21" i="98"/>
  <c r="J25" i="98"/>
  <c r="J18" i="98"/>
  <c r="L29" i="98"/>
  <c r="Z34" i="100"/>
  <c r="N13" i="98"/>
  <c r="N25" i="98"/>
  <c r="N16" i="99"/>
  <c r="N20" i="99"/>
  <c r="L22" i="99"/>
  <c r="L16" i="100"/>
  <c r="L20" i="100"/>
  <c r="Z15" i="98"/>
  <c r="N21" i="98"/>
  <c r="X22" i="98"/>
  <c r="N29" i="98"/>
  <c r="N33" i="98"/>
  <c r="L13" i="99"/>
  <c r="L25" i="99"/>
  <c r="L29" i="99"/>
  <c r="L33" i="99"/>
  <c r="L13" i="98"/>
  <c r="L24" i="98"/>
  <c r="N13" i="99"/>
  <c r="N22" i="99"/>
  <c r="N16" i="100"/>
  <c r="N20" i="100"/>
  <c r="L22" i="100"/>
  <c r="N24" i="98"/>
  <c r="X16" i="99"/>
  <c r="X20" i="99"/>
  <c r="N13" i="100"/>
  <c r="N22" i="100"/>
  <c r="N20" i="98"/>
  <c r="X21" i="98"/>
  <c r="L34" i="98"/>
  <c r="N15" i="99"/>
  <c r="L21" i="99"/>
  <c r="L15" i="100"/>
  <c r="Z25" i="100"/>
  <c r="Z29" i="100"/>
  <c r="Z33" i="100"/>
  <c r="X13" i="98"/>
  <c r="L24" i="99"/>
  <c r="Z13" i="98"/>
  <c r="X16" i="98"/>
  <c r="L22" i="98"/>
  <c r="N34" i="98"/>
  <c r="N21" i="99"/>
  <c r="L34" i="99"/>
  <c r="N15" i="100"/>
  <c r="L21" i="100"/>
  <c r="X24" i="98"/>
  <c r="N24" i="99"/>
  <c r="L24" i="100"/>
  <c r="Z16" i="98"/>
  <c r="X20" i="98"/>
  <c r="N22" i="98"/>
  <c r="X15" i="99"/>
  <c r="N34" i="99"/>
  <c r="N21" i="100"/>
  <c r="L34" i="100"/>
  <c r="F20" i="98"/>
  <c r="F18" i="98"/>
  <c r="F16" i="98"/>
  <c r="D18" i="98"/>
  <c r="F15" i="98"/>
  <c r="F22" i="98"/>
  <c r="F34" i="98"/>
  <c r="F31" i="98"/>
  <c r="F27" i="98"/>
  <c r="F36" i="98"/>
  <c r="F33" i="98"/>
  <c r="F29" i="98"/>
  <c r="F21" i="98"/>
  <c r="L12" i="98"/>
  <c r="F25" i="98"/>
  <c r="F24" i="98"/>
  <c r="L25" i="98"/>
  <c r="D18" i="99"/>
  <c r="F15" i="99"/>
  <c r="L12" i="99"/>
  <c r="F34" i="99"/>
  <c r="F31" i="99"/>
  <c r="F27" i="99"/>
  <c r="F24" i="99"/>
  <c r="F21" i="99"/>
  <c r="F18" i="99"/>
  <c r="F36" i="99"/>
  <c r="F33" i="99"/>
  <c r="F29" i="99"/>
  <c r="F25" i="99"/>
  <c r="F22" i="99"/>
  <c r="F20" i="99"/>
  <c r="F16" i="99"/>
  <c r="N24" i="100"/>
  <c r="Z21" i="98"/>
  <c r="X25" i="98"/>
  <c r="X29" i="98"/>
  <c r="X33" i="98"/>
  <c r="X34" i="98"/>
  <c r="N12" i="99"/>
  <c r="J34" i="99"/>
  <c r="J31" i="99"/>
  <c r="J27" i="99"/>
  <c r="J24" i="99"/>
  <c r="J21" i="99"/>
  <c r="J18" i="99"/>
  <c r="H18" i="99"/>
  <c r="J15" i="99"/>
  <c r="J36" i="99"/>
  <c r="J33" i="99"/>
  <c r="J29" i="99"/>
  <c r="J25" i="99"/>
  <c r="J20" i="99"/>
  <c r="J16" i="99"/>
  <c r="J22" i="99"/>
  <c r="X13" i="99"/>
  <c r="Z15" i="99"/>
  <c r="X21" i="99"/>
  <c r="X15" i="100"/>
  <c r="N25" i="100"/>
  <c r="N29" i="100"/>
  <c r="N33" i="100"/>
  <c r="N34" i="100"/>
  <c r="X12" i="98"/>
  <c r="R36" i="98"/>
  <c r="R34" i="98"/>
  <c r="R33" i="98"/>
  <c r="R31" i="98"/>
  <c r="R29" i="98"/>
  <c r="R27" i="98"/>
  <c r="R25" i="98"/>
  <c r="R24" i="98"/>
  <c r="R22" i="98"/>
  <c r="R20" i="98"/>
  <c r="R16" i="98"/>
  <c r="R21" i="98"/>
  <c r="P18" i="98"/>
  <c r="R15" i="98"/>
  <c r="R18" i="98"/>
  <c r="Z22" i="98"/>
  <c r="Z24" i="98"/>
  <c r="Z13" i="99"/>
  <c r="Z16" i="99"/>
  <c r="Z20" i="99"/>
  <c r="X22" i="99"/>
  <c r="X24" i="99"/>
  <c r="L12" i="100"/>
  <c r="F34" i="100"/>
  <c r="F31" i="100"/>
  <c r="F27" i="100"/>
  <c r="F24" i="100"/>
  <c r="F21" i="100"/>
  <c r="F18" i="100"/>
  <c r="D18" i="100"/>
  <c r="F15" i="100"/>
  <c r="F36" i="100"/>
  <c r="F33" i="100"/>
  <c r="F29" i="100"/>
  <c r="F25" i="100"/>
  <c r="F20" i="100"/>
  <c r="F16" i="100"/>
  <c r="F22" i="100"/>
  <c r="X16" i="100"/>
  <c r="X20" i="100"/>
  <c r="Z12" i="98"/>
  <c r="V36" i="98"/>
  <c r="V34" i="98"/>
  <c r="V33" i="98"/>
  <c r="V31" i="98"/>
  <c r="V29" i="98"/>
  <c r="V27" i="98"/>
  <c r="V25" i="98"/>
  <c r="V24" i="98"/>
  <c r="V22" i="98"/>
  <c r="V21" i="98"/>
  <c r="V20" i="98"/>
  <c r="V18" i="98"/>
  <c r="V16" i="98"/>
  <c r="T18" i="98"/>
  <c r="V15" i="98"/>
  <c r="L15" i="98"/>
  <c r="Z25" i="98"/>
  <c r="Z29" i="98"/>
  <c r="Z33" i="98"/>
  <c r="Z34" i="98"/>
  <c r="Z21" i="99"/>
  <c r="X25" i="99"/>
  <c r="X29" i="99"/>
  <c r="X33" i="99"/>
  <c r="X34" i="99"/>
  <c r="N12" i="100"/>
  <c r="J36" i="100"/>
  <c r="J34" i="100"/>
  <c r="J33" i="100"/>
  <c r="J31" i="100"/>
  <c r="J29" i="100"/>
  <c r="J27" i="100"/>
  <c r="J25" i="100"/>
  <c r="J24" i="100"/>
  <c r="J22" i="100"/>
  <c r="J21" i="100"/>
  <c r="J18" i="100"/>
  <c r="H18" i="100"/>
  <c r="J15" i="100"/>
  <c r="J16" i="100"/>
  <c r="J20" i="100"/>
  <c r="X13" i="100"/>
  <c r="Z15" i="100"/>
  <c r="X21" i="100"/>
  <c r="L16" i="98"/>
  <c r="L20" i="98"/>
  <c r="X12" i="99"/>
  <c r="R36" i="99"/>
  <c r="R34" i="99"/>
  <c r="R33" i="99"/>
  <c r="R31" i="99"/>
  <c r="R29" i="99"/>
  <c r="R27" i="99"/>
  <c r="R25" i="99"/>
  <c r="R24" i="99"/>
  <c r="R22" i="99"/>
  <c r="R21" i="99"/>
  <c r="R20" i="99"/>
  <c r="R18" i="99"/>
  <c r="R16" i="99"/>
  <c r="P18" i="99"/>
  <c r="R15" i="99"/>
  <c r="Z22" i="99"/>
  <c r="Z24" i="99"/>
  <c r="Z13" i="100"/>
  <c r="Z16" i="100"/>
  <c r="Z20" i="100"/>
  <c r="X22" i="100"/>
  <c r="X24" i="100"/>
  <c r="N15" i="98"/>
  <c r="L21" i="98"/>
  <c r="V36" i="99"/>
  <c r="V34" i="99"/>
  <c r="V33" i="99"/>
  <c r="V31" i="99"/>
  <c r="V29" i="99"/>
  <c r="V27" i="99"/>
  <c r="V25" i="99"/>
  <c r="V24" i="99"/>
  <c r="V22" i="99"/>
  <c r="V21" i="99"/>
  <c r="V20" i="99"/>
  <c r="V18" i="99"/>
  <c r="V16" i="99"/>
  <c r="T18" i="99"/>
  <c r="V15" i="99"/>
  <c r="Z12" i="99"/>
  <c r="L15" i="99"/>
  <c r="Z25" i="99"/>
  <c r="Z29" i="99"/>
  <c r="Z33" i="99"/>
  <c r="Z34" i="99"/>
  <c r="Z21" i="100"/>
  <c r="X25" i="100"/>
  <c r="X29" i="100"/>
  <c r="X33" i="100"/>
  <c r="X34" i="100"/>
  <c r="L16" i="99"/>
  <c r="L20" i="99"/>
  <c r="R36" i="100"/>
  <c r="R34" i="100"/>
  <c r="R33" i="100"/>
  <c r="R31" i="100"/>
  <c r="R29" i="100"/>
  <c r="R27" i="100"/>
  <c r="R25" i="100"/>
  <c r="R24" i="100"/>
  <c r="R22" i="100"/>
  <c r="R21" i="100"/>
  <c r="R20" i="100"/>
  <c r="R18" i="100"/>
  <c r="R16" i="100"/>
  <c r="P18" i="100"/>
  <c r="R15" i="100"/>
  <c r="X12" i="100"/>
  <c r="Z22" i="100"/>
  <c r="Z24" i="100"/>
  <c r="Z212" i="3"/>
  <c r="Z237" i="3"/>
  <c r="Z255" i="3"/>
  <c r="F260" i="3"/>
  <c r="F248" i="3"/>
  <c r="F244" i="3"/>
  <c r="F228" i="3"/>
  <c r="F196" i="3"/>
  <c r="F176" i="3"/>
  <c r="F172" i="3"/>
  <c r="F239" i="3"/>
  <c r="F223" i="3"/>
  <c r="F183" i="3"/>
  <c r="F182" i="3"/>
  <c r="F167" i="3"/>
  <c r="F163" i="3"/>
  <c r="F159" i="3"/>
  <c r="F158" i="3"/>
  <c r="F276" i="3"/>
  <c r="F262" i="3"/>
  <c r="F261" i="3"/>
  <c r="F254" i="3"/>
  <c r="F234" i="3"/>
  <c r="F214" i="3"/>
  <c r="F206" i="3"/>
  <c r="F198" i="3"/>
  <c r="F197" i="3"/>
  <c r="F190" i="3"/>
  <c r="F157" i="3"/>
  <c r="F150" i="3"/>
  <c r="F146" i="3"/>
  <c r="F142" i="3"/>
  <c r="F138" i="3"/>
  <c r="F134" i="3"/>
  <c r="F130" i="3"/>
  <c r="F126" i="3"/>
  <c r="F122" i="3"/>
  <c r="F118" i="3"/>
  <c r="F114" i="3"/>
  <c r="F110" i="3"/>
  <c r="F106" i="3"/>
  <c r="L12" i="3"/>
  <c r="F249" i="3"/>
  <c r="F245" i="3"/>
  <c r="F241" i="3"/>
  <c r="F240" i="3"/>
  <c r="F229" i="3"/>
  <c r="F177" i="3"/>
  <c r="F173" i="3"/>
  <c r="D155" i="3"/>
  <c r="F155" i="3" s="1"/>
  <c r="F265" i="3"/>
  <c r="F256" i="3"/>
  <c r="F255" i="3"/>
  <c r="F224" i="3"/>
  <c r="F216" i="3"/>
  <c r="F215" i="3"/>
  <c r="F200" i="3"/>
  <c r="F199" i="3"/>
  <c r="F192" i="3"/>
  <c r="F191" i="3"/>
  <c r="F184" i="3"/>
  <c r="F168" i="3"/>
  <c r="F164" i="3"/>
  <c r="F160" i="3"/>
  <c r="F259" i="3"/>
  <c r="F226" i="3"/>
  <c r="F210" i="3"/>
  <c r="F175" i="3"/>
  <c r="F171" i="3"/>
  <c r="F281" i="3"/>
  <c r="F280" i="3"/>
  <c r="F266" i="3"/>
  <c r="F264" i="3"/>
  <c r="F235" i="3"/>
  <c r="F207" i="3"/>
  <c r="F151" i="3"/>
  <c r="F147" i="3"/>
  <c r="F143" i="3"/>
  <c r="F139" i="3"/>
  <c r="F135" i="3"/>
  <c r="F131" i="3"/>
  <c r="F127" i="3"/>
  <c r="F123" i="3"/>
  <c r="F119" i="3"/>
  <c r="F115" i="3"/>
  <c r="F111" i="3"/>
  <c r="F107" i="3"/>
  <c r="F270" i="3"/>
  <c r="F267" i="3"/>
  <c r="F258" i="3"/>
  <c r="F257" i="3"/>
  <c r="F250" i="3"/>
  <c r="F246" i="3"/>
  <c r="F242" i="3"/>
  <c r="F230" i="3"/>
  <c r="F218" i="3"/>
  <c r="F217" i="3"/>
  <c r="F202" i="3"/>
  <c r="F201" i="3"/>
  <c r="F186" i="3"/>
  <c r="F185" i="3"/>
  <c r="F178" i="3"/>
  <c r="F174" i="3"/>
  <c r="F170" i="3"/>
  <c r="F169" i="3"/>
  <c r="F211" i="3"/>
  <c r="F194" i="3"/>
  <c r="F179" i="3"/>
  <c r="F268" i="3"/>
  <c r="F225" i="3"/>
  <c r="F209" i="3"/>
  <c r="F208" i="3"/>
  <c r="F193" i="3"/>
  <c r="F165" i="3"/>
  <c r="F161" i="3"/>
  <c r="F269" i="3"/>
  <c r="F236" i="3"/>
  <c r="F232" i="3"/>
  <c r="F231" i="3"/>
  <c r="F220" i="3"/>
  <c r="F219" i="3"/>
  <c r="F188" i="3"/>
  <c r="F187" i="3"/>
  <c r="F152" i="3"/>
  <c r="F148" i="3"/>
  <c r="F144" i="3"/>
  <c r="F140" i="3"/>
  <c r="F136" i="3"/>
  <c r="F132" i="3"/>
  <c r="F128" i="3"/>
  <c r="F124" i="3"/>
  <c r="F120" i="3"/>
  <c r="F116" i="3"/>
  <c r="F112" i="3"/>
  <c r="F108" i="3"/>
  <c r="F104" i="3"/>
  <c r="F103" i="3"/>
  <c r="F251" i="3"/>
  <c r="F247" i="3"/>
  <c r="F243" i="3"/>
  <c r="F227" i="3"/>
  <c r="F203" i="3"/>
  <c r="F195" i="3"/>
  <c r="F271" i="3"/>
  <c r="F238" i="3"/>
  <c r="F237" i="3"/>
  <c r="F222" i="3"/>
  <c r="F221" i="3"/>
  <c r="F166" i="3"/>
  <c r="F162" i="3"/>
  <c r="F272" i="3"/>
  <c r="F253" i="3"/>
  <c r="F252" i="3"/>
  <c r="F233" i="3"/>
  <c r="F213" i="3"/>
  <c r="F212" i="3"/>
  <c r="F204" i="3"/>
  <c r="F181" i="3"/>
  <c r="F180" i="3"/>
  <c r="F153" i="3"/>
  <c r="F149" i="3"/>
  <c r="F141" i="3"/>
  <c r="F121" i="3"/>
  <c r="F117" i="3"/>
  <c r="F109" i="3"/>
  <c r="F205" i="3"/>
  <c r="F189" i="3"/>
  <c r="F145" i="3"/>
  <c r="F137" i="3"/>
  <c r="F133" i="3"/>
  <c r="F129" i="3"/>
  <c r="F125" i="3"/>
  <c r="F113" i="3"/>
  <c r="F105" i="3"/>
  <c r="Z215" i="3"/>
  <c r="N28" i="6"/>
  <c r="N19" i="9"/>
  <c r="N80" i="9"/>
  <c r="N103" i="3"/>
  <c r="N199" i="3"/>
  <c r="Z19" i="9"/>
  <c r="N231" i="3"/>
  <c r="Z28" i="6"/>
  <c r="F100" i="9"/>
  <c r="F98" i="9"/>
  <c r="F101" i="9"/>
  <c r="F68" i="9"/>
  <c r="F67" i="9"/>
  <c r="F105" i="9"/>
  <c r="F93" i="9"/>
  <c r="F92" i="9"/>
  <c r="F81" i="9"/>
  <c r="F80" i="9"/>
  <c r="F69" i="9"/>
  <c r="F61" i="9"/>
  <c r="F53" i="9"/>
  <c r="F52" i="9"/>
  <c r="F95" i="9"/>
  <c r="F94" i="9"/>
  <c r="F87" i="9"/>
  <c r="F75" i="9"/>
  <c r="F63" i="9"/>
  <c r="F62" i="9"/>
  <c r="F110" i="9"/>
  <c r="F107" i="9"/>
  <c r="F82" i="9"/>
  <c r="F70" i="9"/>
  <c r="F71" i="9"/>
  <c r="F77" i="9"/>
  <c r="F56" i="9"/>
  <c r="F55" i="9"/>
  <c r="F51" i="9"/>
  <c r="F37" i="9"/>
  <c r="F28" i="9"/>
  <c r="F24" i="9"/>
  <c r="F90" i="9"/>
  <c r="F65" i="9"/>
  <c r="F46" i="9"/>
  <c r="F41" i="9"/>
  <c r="F103" i="9"/>
  <c r="F34" i="9"/>
  <c r="F78" i="9"/>
  <c r="F72" i="9"/>
  <c r="F58" i="9"/>
  <c r="F57" i="9"/>
  <c r="F38" i="9"/>
  <c r="F29" i="9"/>
  <c r="F25" i="9"/>
  <c r="F21" i="9"/>
  <c r="F20" i="9"/>
  <c r="F85" i="9"/>
  <c r="F48" i="9"/>
  <c r="F47" i="9"/>
  <c r="F42" i="9"/>
  <c r="F19" i="9"/>
  <c r="F17" i="9"/>
  <c r="F15" i="9"/>
  <c r="F35" i="9"/>
  <c r="D17" i="9"/>
  <c r="F40" i="9"/>
  <c r="F23" i="9"/>
  <c r="F88" i="9"/>
  <c r="F83" i="9"/>
  <c r="F73" i="9"/>
  <c r="F39" i="9"/>
  <c r="F30" i="9"/>
  <c r="F26" i="9"/>
  <c r="F22" i="9"/>
  <c r="L12" i="9"/>
  <c r="F27" i="9"/>
  <c r="F66" i="9"/>
  <c r="F50" i="9"/>
  <c r="F49" i="9"/>
  <c r="F44" i="9"/>
  <c r="F43" i="9"/>
  <c r="F99" i="9"/>
  <c r="F91" i="9"/>
  <c r="F86" i="9"/>
  <c r="F76" i="9"/>
  <c r="F59" i="9"/>
  <c r="F36" i="9"/>
  <c r="F54" i="9"/>
  <c r="F31" i="9"/>
  <c r="F96" i="9"/>
  <c r="F89" i="9"/>
  <c r="F84" i="9"/>
  <c r="F79" i="9"/>
  <c r="F74" i="9"/>
  <c r="F64" i="9"/>
  <c r="F60" i="9"/>
  <c r="F45" i="9"/>
  <c r="F33" i="9"/>
  <c r="F32" i="9"/>
  <c r="Z199" i="3"/>
  <c r="N47" i="9"/>
  <c r="R105" i="9"/>
  <c r="R94" i="9"/>
  <c r="R93" i="9"/>
  <c r="R110" i="9"/>
  <c r="R107" i="9"/>
  <c r="R65" i="9"/>
  <c r="R96" i="9"/>
  <c r="R89" i="9"/>
  <c r="R88" i="9"/>
  <c r="R84" i="9"/>
  <c r="R77" i="9"/>
  <c r="R76" i="9"/>
  <c r="R99" i="9"/>
  <c r="R98" i="9"/>
  <c r="R72" i="9"/>
  <c r="R71" i="9"/>
  <c r="R100" i="9"/>
  <c r="R90" i="9"/>
  <c r="R78" i="9"/>
  <c r="R67" i="9"/>
  <c r="R66" i="9"/>
  <c r="R92" i="9"/>
  <c r="R91" i="9"/>
  <c r="R80" i="9"/>
  <c r="R79" i="9"/>
  <c r="R52" i="9"/>
  <c r="R51" i="9"/>
  <c r="R85" i="9"/>
  <c r="R82" i="9"/>
  <c r="R75" i="9"/>
  <c r="R62" i="9"/>
  <c r="R58" i="9"/>
  <c r="R48" i="9"/>
  <c r="R42" i="9"/>
  <c r="R49" i="9"/>
  <c r="R43" i="9"/>
  <c r="R35" i="9"/>
  <c r="R95" i="9"/>
  <c r="R73" i="9"/>
  <c r="R70" i="9"/>
  <c r="R68" i="9"/>
  <c r="R53" i="9"/>
  <c r="R39" i="9"/>
  <c r="R30" i="9"/>
  <c r="R26" i="9"/>
  <c r="R22" i="9"/>
  <c r="X12" i="9"/>
  <c r="R83" i="9"/>
  <c r="R59" i="9"/>
  <c r="R101" i="9"/>
  <c r="R86" i="9"/>
  <c r="R63" i="9"/>
  <c r="R50" i="9"/>
  <c r="R44" i="9"/>
  <c r="R36" i="9"/>
  <c r="R20" i="9"/>
  <c r="R40" i="9"/>
  <c r="R32" i="9"/>
  <c r="R31" i="9"/>
  <c r="R27" i="9"/>
  <c r="R23" i="9"/>
  <c r="R57" i="9"/>
  <c r="R81" i="9"/>
  <c r="R74" i="9"/>
  <c r="R64" i="9"/>
  <c r="R60" i="9"/>
  <c r="R55" i="9"/>
  <c r="R54" i="9"/>
  <c r="R45" i="9"/>
  <c r="R41" i="9"/>
  <c r="R33" i="9"/>
  <c r="R69" i="9"/>
  <c r="R56" i="9"/>
  <c r="R37" i="9"/>
  <c r="R28" i="9"/>
  <c r="R24" i="9"/>
  <c r="R87" i="9"/>
  <c r="R61" i="9"/>
  <c r="R47" i="9"/>
  <c r="R46" i="9"/>
  <c r="R34" i="9"/>
  <c r="R19" i="9"/>
  <c r="R17" i="9"/>
  <c r="R15" i="9"/>
  <c r="R103" i="9"/>
  <c r="R38" i="9"/>
  <c r="R29" i="9"/>
  <c r="R25" i="9"/>
  <c r="R21" i="9"/>
  <c r="P17" i="9"/>
  <c r="Z47" i="9"/>
  <c r="R266" i="3"/>
  <c r="R257" i="3"/>
  <c r="R256" i="3"/>
  <c r="R224" i="3"/>
  <c r="R217" i="3"/>
  <c r="R216" i="3"/>
  <c r="R201" i="3"/>
  <c r="R200" i="3"/>
  <c r="R192" i="3"/>
  <c r="R185" i="3"/>
  <c r="R184" i="3"/>
  <c r="R169" i="3"/>
  <c r="R168" i="3"/>
  <c r="R164" i="3"/>
  <c r="R160" i="3"/>
  <c r="R267" i="3"/>
  <c r="R235" i="3"/>
  <c r="R208" i="3"/>
  <c r="R207" i="3"/>
  <c r="R151" i="3"/>
  <c r="R147" i="3"/>
  <c r="R143" i="3"/>
  <c r="R139" i="3"/>
  <c r="R135" i="3"/>
  <c r="R131" i="3"/>
  <c r="R127" i="3"/>
  <c r="R123" i="3"/>
  <c r="R119" i="3"/>
  <c r="R115" i="3"/>
  <c r="R111" i="3"/>
  <c r="R107" i="3"/>
  <c r="R268" i="3"/>
  <c r="R258" i="3"/>
  <c r="R250" i="3"/>
  <c r="R246" i="3"/>
  <c r="R242" i="3"/>
  <c r="R231" i="3"/>
  <c r="R230" i="3"/>
  <c r="R219" i="3"/>
  <c r="R218" i="3"/>
  <c r="R202" i="3"/>
  <c r="R187" i="3"/>
  <c r="R186" i="3"/>
  <c r="R178" i="3"/>
  <c r="R174" i="3"/>
  <c r="R170" i="3"/>
  <c r="R103" i="3"/>
  <c r="R269" i="3"/>
  <c r="R226" i="3"/>
  <c r="R225" i="3"/>
  <c r="R210" i="3"/>
  <c r="R209" i="3"/>
  <c r="R194" i="3"/>
  <c r="R193" i="3"/>
  <c r="R165" i="3"/>
  <c r="R161" i="3"/>
  <c r="R270" i="3"/>
  <c r="R237" i="3"/>
  <c r="R236" i="3"/>
  <c r="R232" i="3"/>
  <c r="R221" i="3"/>
  <c r="R220" i="3"/>
  <c r="R188" i="3"/>
  <c r="R152" i="3"/>
  <c r="R148" i="3"/>
  <c r="R144" i="3"/>
  <c r="R140" i="3"/>
  <c r="R136" i="3"/>
  <c r="R132" i="3"/>
  <c r="R128" i="3"/>
  <c r="R124" i="3"/>
  <c r="R120" i="3"/>
  <c r="R116" i="3"/>
  <c r="R112" i="3"/>
  <c r="R108" i="3"/>
  <c r="R104" i="3"/>
  <c r="R239" i="3"/>
  <c r="R167" i="3"/>
  <c r="R159" i="3"/>
  <c r="P155" i="3"/>
  <c r="R271" i="3"/>
  <c r="R259" i="3"/>
  <c r="R252" i="3"/>
  <c r="R251" i="3"/>
  <c r="R247" i="3"/>
  <c r="R243" i="3"/>
  <c r="R227" i="3"/>
  <c r="R212" i="3"/>
  <c r="R211" i="3"/>
  <c r="R204" i="3"/>
  <c r="R203" i="3"/>
  <c r="R195" i="3"/>
  <c r="R180" i="3"/>
  <c r="R179" i="3"/>
  <c r="R175" i="3"/>
  <c r="R171" i="3"/>
  <c r="R223" i="3"/>
  <c r="R163" i="3"/>
  <c r="R272" i="3"/>
  <c r="R238" i="3"/>
  <c r="R222" i="3"/>
  <c r="R166" i="3"/>
  <c r="R162" i="3"/>
  <c r="R240" i="3"/>
  <c r="R183" i="3"/>
  <c r="R253" i="3"/>
  <c r="R233" i="3"/>
  <c r="R213" i="3"/>
  <c r="R205" i="3"/>
  <c r="R189" i="3"/>
  <c r="R182" i="3"/>
  <c r="R181" i="3"/>
  <c r="R158" i="3"/>
  <c r="R153" i="3"/>
  <c r="R149" i="3"/>
  <c r="R145" i="3"/>
  <c r="R141" i="3"/>
  <c r="R137" i="3"/>
  <c r="R133" i="3"/>
  <c r="R129" i="3"/>
  <c r="R125" i="3"/>
  <c r="R121" i="3"/>
  <c r="R117" i="3"/>
  <c r="R113" i="3"/>
  <c r="R109" i="3"/>
  <c r="R105" i="3"/>
  <c r="R261" i="3"/>
  <c r="R260" i="3"/>
  <c r="R248" i="3"/>
  <c r="R244" i="3"/>
  <c r="R228" i="3"/>
  <c r="R197" i="3"/>
  <c r="R196" i="3"/>
  <c r="R176" i="3"/>
  <c r="R172" i="3"/>
  <c r="R157" i="3"/>
  <c r="R155" i="3"/>
  <c r="R276" i="3"/>
  <c r="R262" i="3"/>
  <c r="R255" i="3"/>
  <c r="R254" i="3"/>
  <c r="R234" i="3"/>
  <c r="R215" i="3"/>
  <c r="R214" i="3"/>
  <c r="R206" i="3"/>
  <c r="R199" i="3"/>
  <c r="R198" i="3"/>
  <c r="R191" i="3"/>
  <c r="R190" i="3"/>
  <c r="R150" i="3"/>
  <c r="R146" i="3"/>
  <c r="R142" i="3"/>
  <c r="R138" i="3"/>
  <c r="R134" i="3"/>
  <c r="R130" i="3"/>
  <c r="R126" i="3"/>
  <c r="R122" i="3"/>
  <c r="R118" i="3"/>
  <c r="R114" i="3"/>
  <c r="R110" i="3"/>
  <c r="R106" i="3"/>
  <c r="X12" i="3"/>
  <c r="Z12" i="3" s="1"/>
  <c r="R281" i="3"/>
  <c r="R280" i="3"/>
  <c r="R265" i="3"/>
  <c r="R264" i="3"/>
  <c r="R249" i="3"/>
  <c r="R245" i="3"/>
  <c r="R241" i="3"/>
  <c r="R229" i="3"/>
  <c r="R177" i="3"/>
  <c r="R173" i="3"/>
  <c r="V164" i="3"/>
  <c r="V168" i="3"/>
  <c r="V192" i="3"/>
  <c r="T16" i="6"/>
  <c r="Z80" i="9"/>
  <c r="X100" i="9"/>
  <c r="P98" i="9"/>
  <c r="X98" i="9" s="1"/>
  <c r="V160" i="3"/>
  <c r="V184" i="3"/>
  <c r="V200" i="3"/>
  <c r="V208" i="3"/>
  <c r="V216" i="3"/>
  <c r="V224" i="3"/>
  <c r="V256" i="3"/>
  <c r="V266" i="3"/>
  <c r="J105" i="3"/>
  <c r="J109" i="3"/>
  <c r="J113" i="3"/>
  <c r="J117" i="3"/>
  <c r="J121" i="3"/>
  <c r="J125" i="3"/>
  <c r="J129" i="3"/>
  <c r="J133" i="3"/>
  <c r="J137" i="3"/>
  <c r="J141" i="3"/>
  <c r="J145" i="3"/>
  <c r="J149" i="3"/>
  <c r="J153" i="3"/>
  <c r="V169" i="3"/>
  <c r="V173" i="3"/>
  <c r="V177" i="3"/>
  <c r="J181" i="3"/>
  <c r="V185" i="3"/>
  <c r="J189" i="3"/>
  <c r="V201" i="3"/>
  <c r="J205" i="3"/>
  <c r="J213" i="3"/>
  <c r="V217" i="3"/>
  <c r="V229" i="3"/>
  <c r="J233" i="3"/>
  <c r="V241" i="3"/>
  <c r="V245" i="3"/>
  <c r="V249" i="3"/>
  <c r="J253" i="3"/>
  <c r="V257" i="3"/>
  <c r="V265" i="3"/>
  <c r="X266" i="3"/>
  <c r="J272" i="3"/>
  <c r="V14" i="6"/>
  <c r="V16" i="6"/>
  <c r="V18" i="6"/>
  <c r="V20" i="6"/>
  <c r="V22" i="6"/>
  <c r="F26" i="6"/>
  <c r="F28" i="6"/>
  <c r="F29" i="6"/>
  <c r="F31" i="6"/>
  <c r="L13" i="9"/>
  <c r="V21" i="9"/>
  <c r="V25" i="9"/>
  <c r="V29" i="9"/>
  <c r="J33" i="9"/>
  <c r="V38" i="9"/>
  <c r="J55" i="9"/>
  <c r="V65" i="9"/>
  <c r="J69" i="9"/>
  <c r="J77" i="9"/>
  <c r="V80" i="9"/>
  <c r="Z92" i="9"/>
  <c r="Z168" i="12"/>
  <c r="X168" i="12"/>
  <c r="L220" i="12"/>
  <c r="T17" i="9"/>
  <c r="X14" i="3"/>
  <c r="V159" i="3"/>
  <c r="V163" i="3"/>
  <c r="V167" i="3"/>
  <c r="J171" i="3"/>
  <c r="J175" i="3"/>
  <c r="J179" i="3"/>
  <c r="V183" i="3"/>
  <c r="V191" i="3"/>
  <c r="J195" i="3"/>
  <c r="V199" i="3"/>
  <c r="J203" i="3"/>
  <c r="J211" i="3"/>
  <c r="V215" i="3"/>
  <c r="J221" i="3"/>
  <c r="V223" i="3"/>
  <c r="J227" i="3"/>
  <c r="J237" i="3"/>
  <c r="V239" i="3"/>
  <c r="J243" i="3"/>
  <c r="J247" i="3"/>
  <c r="J251" i="3"/>
  <c r="V255" i="3"/>
  <c r="J259" i="3"/>
  <c r="J270" i="3"/>
  <c r="V15" i="9"/>
  <c r="V17" i="9"/>
  <c r="V19" i="9"/>
  <c r="V41" i="9"/>
  <c r="V47" i="9"/>
  <c r="V51" i="9"/>
  <c r="V67" i="9"/>
  <c r="J81" i="9"/>
  <c r="N207" i="12"/>
  <c r="L207" i="12"/>
  <c r="N80" i="15"/>
  <c r="L80" i="15"/>
  <c r="J104" i="3"/>
  <c r="J108" i="3"/>
  <c r="J112" i="3"/>
  <c r="J116" i="3"/>
  <c r="J120" i="3"/>
  <c r="J124" i="3"/>
  <c r="J128" i="3"/>
  <c r="J132" i="3"/>
  <c r="J136" i="3"/>
  <c r="J140" i="3"/>
  <c r="J144" i="3"/>
  <c r="J148" i="3"/>
  <c r="J152" i="3"/>
  <c r="T155" i="3"/>
  <c r="V172" i="3"/>
  <c r="V176" i="3"/>
  <c r="J188" i="3"/>
  <c r="J194" i="3"/>
  <c r="V196" i="3"/>
  <c r="J210" i="3"/>
  <c r="J220" i="3"/>
  <c r="J226" i="3"/>
  <c r="V228" i="3"/>
  <c r="J232" i="3"/>
  <c r="J236" i="3"/>
  <c r="V240" i="3"/>
  <c r="V244" i="3"/>
  <c r="V248" i="3"/>
  <c r="V260" i="3"/>
  <c r="J269" i="3"/>
  <c r="D16" i="6"/>
  <c r="F24" i="6"/>
  <c r="J101" i="9"/>
  <c r="J103" i="9"/>
  <c r="J91" i="9"/>
  <c r="J79" i="9"/>
  <c r="J94" i="9"/>
  <c r="J62" i="9"/>
  <c r="J44" i="9"/>
  <c r="J110" i="9"/>
  <c r="J107" i="9"/>
  <c r="J95" i="9"/>
  <c r="J87" i="9"/>
  <c r="J75" i="9"/>
  <c r="J82" i="9"/>
  <c r="J70" i="9"/>
  <c r="J64" i="9"/>
  <c r="J83" i="9"/>
  <c r="J65" i="9"/>
  <c r="J99" i="9"/>
  <c r="J98" i="9"/>
  <c r="J90" i="9"/>
  <c r="J78" i="9"/>
  <c r="J72" i="9"/>
  <c r="J66" i="9"/>
  <c r="J58" i="9"/>
  <c r="J50" i="9"/>
  <c r="X13" i="9"/>
  <c r="V20" i="9"/>
  <c r="V24" i="9"/>
  <c r="V28" i="9"/>
  <c r="J36" i="9"/>
  <c r="V37" i="9"/>
  <c r="X45" i="9"/>
  <c r="Z45" i="9" s="1"/>
  <c r="X47" i="9"/>
  <c r="V57" i="9"/>
  <c r="J63" i="9"/>
  <c r="V69" i="9"/>
  <c r="J76" i="9"/>
  <c r="V79" i="9"/>
  <c r="J86" i="9"/>
  <c r="J93" i="9"/>
  <c r="X94" i="9"/>
  <c r="Z94" i="9" s="1"/>
  <c r="V110" i="9"/>
  <c r="N128" i="12"/>
  <c r="N64" i="9"/>
  <c r="L13" i="3"/>
  <c r="N13" i="3" s="1"/>
  <c r="J103" i="3"/>
  <c r="V105" i="3"/>
  <c r="V109" i="3"/>
  <c r="V113" i="3"/>
  <c r="V117" i="3"/>
  <c r="V121" i="3"/>
  <c r="V125" i="3"/>
  <c r="V129" i="3"/>
  <c r="V133" i="3"/>
  <c r="V137" i="3"/>
  <c r="V141" i="3"/>
  <c r="V145" i="3"/>
  <c r="V149" i="3"/>
  <c r="V153" i="3"/>
  <c r="V155" i="3"/>
  <c r="V157" i="3"/>
  <c r="J161" i="3"/>
  <c r="J165" i="3"/>
  <c r="V181" i="3"/>
  <c r="J187" i="3"/>
  <c r="V189" i="3"/>
  <c r="J193" i="3"/>
  <c r="V197" i="3"/>
  <c r="V205" i="3"/>
  <c r="J209" i="3"/>
  <c r="V213" i="3"/>
  <c r="J219" i="3"/>
  <c r="J225" i="3"/>
  <c r="J231" i="3"/>
  <c r="V233" i="3"/>
  <c r="V253" i="3"/>
  <c r="V261" i="3"/>
  <c r="D264" i="3"/>
  <c r="L264" i="3" s="1"/>
  <c r="N264" i="3" s="1"/>
  <c r="J268" i="3"/>
  <c r="F14" i="6"/>
  <c r="F16" i="6"/>
  <c r="F18" i="6"/>
  <c r="F20" i="6"/>
  <c r="F22" i="6"/>
  <c r="V33" i="9"/>
  <c r="V77" i="9"/>
  <c r="V105" i="9"/>
  <c r="V158" i="3"/>
  <c r="V162" i="3"/>
  <c r="V166" i="3"/>
  <c r="J170" i="3"/>
  <c r="J174" i="3"/>
  <c r="J178" i="3"/>
  <c r="V182" i="3"/>
  <c r="J186" i="3"/>
  <c r="J202" i="3"/>
  <c r="J208" i="3"/>
  <c r="J218" i="3"/>
  <c r="V222" i="3"/>
  <c r="J230" i="3"/>
  <c r="V238" i="3"/>
  <c r="J242" i="3"/>
  <c r="J246" i="3"/>
  <c r="J250" i="3"/>
  <c r="J258" i="3"/>
  <c r="J267" i="3"/>
  <c r="V272" i="3"/>
  <c r="H16" i="6"/>
  <c r="V54" i="9"/>
  <c r="V60" i="9"/>
  <c r="Z64" i="9"/>
  <c r="V81" i="9"/>
  <c r="L83" i="9"/>
  <c r="N83" i="9" s="1"/>
  <c r="V91" i="9"/>
  <c r="V93" i="9"/>
  <c r="L198" i="12"/>
  <c r="N198" i="12" s="1"/>
  <c r="L193" i="18"/>
  <c r="N193" i="18" s="1"/>
  <c r="J107" i="3"/>
  <c r="J111" i="3"/>
  <c r="J115" i="3"/>
  <c r="J119" i="3"/>
  <c r="J123" i="3"/>
  <c r="J127" i="3"/>
  <c r="J131" i="3"/>
  <c r="J135" i="3"/>
  <c r="J139" i="3"/>
  <c r="J143" i="3"/>
  <c r="J147" i="3"/>
  <c r="J151" i="3"/>
  <c r="J169" i="3"/>
  <c r="V171" i="3"/>
  <c r="V175" i="3"/>
  <c r="V179" i="3"/>
  <c r="J185" i="3"/>
  <c r="V195" i="3"/>
  <c r="J201" i="3"/>
  <c r="V203" i="3"/>
  <c r="J207" i="3"/>
  <c r="V211" i="3"/>
  <c r="J217" i="3"/>
  <c r="V227" i="3"/>
  <c r="J235" i="3"/>
  <c r="V243" i="3"/>
  <c r="V247" i="3"/>
  <c r="V251" i="3"/>
  <c r="J257" i="3"/>
  <c r="V259" i="3"/>
  <c r="J266" i="3"/>
  <c r="V271" i="3"/>
  <c r="J14" i="6"/>
  <c r="J16" i="6"/>
  <c r="J18" i="6"/>
  <c r="J20" i="6"/>
  <c r="J22" i="6"/>
  <c r="R26" i="6"/>
  <c r="R28" i="6"/>
  <c r="R29" i="6"/>
  <c r="R31" i="6"/>
  <c r="V23" i="9"/>
  <c r="V27" i="9"/>
  <c r="V31" i="9"/>
  <c r="J35" i="9"/>
  <c r="V45" i="9"/>
  <c r="V55" i="9"/>
  <c r="V64" i="9"/>
  <c r="L80" i="9"/>
  <c r="Z128" i="12"/>
  <c r="V104" i="3"/>
  <c r="V108" i="3"/>
  <c r="V112" i="3"/>
  <c r="V116" i="3"/>
  <c r="V120" i="3"/>
  <c r="V124" i="3"/>
  <c r="V128" i="3"/>
  <c r="V132" i="3"/>
  <c r="V136" i="3"/>
  <c r="V140" i="3"/>
  <c r="V144" i="3"/>
  <c r="V148" i="3"/>
  <c r="V152" i="3"/>
  <c r="J160" i="3"/>
  <c r="J164" i="3"/>
  <c r="J168" i="3"/>
  <c r="V180" i="3"/>
  <c r="J184" i="3"/>
  <c r="V188" i="3"/>
  <c r="J192" i="3"/>
  <c r="J200" i="3"/>
  <c r="V204" i="3"/>
  <c r="V212" i="3"/>
  <c r="J216" i="3"/>
  <c r="V220" i="3"/>
  <c r="J224" i="3"/>
  <c r="V232" i="3"/>
  <c r="V236" i="3"/>
  <c r="V252" i="3"/>
  <c r="J256" i="3"/>
  <c r="J264" i="3"/>
  <c r="J265" i="3"/>
  <c r="V270" i="3"/>
  <c r="J280" i="3"/>
  <c r="J281" i="3"/>
  <c r="R24" i="6"/>
  <c r="V95" i="9"/>
  <c r="V87" i="9"/>
  <c r="V83" i="9"/>
  <c r="V75" i="9"/>
  <c r="V98" i="9"/>
  <c r="V96" i="9"/>
  <c r="V88" i="9"/>
  <c r="V84" i="9"/>
  <c r="V76" i="9"/>
  <c r="V72" i="9"/>
  <c r="V56" i="9"/>
  <c r="V48" i="9"/>
  <c r="V40" i="9"/>
  <c r="V36" i="9"/>
  <c r="V99" i="9"/>
  <c r="V71" i="9"/>
  <c r="V100" i="9"/>
  <c r="V90" i="9"/>
  <c r="V78" i="9"/>
  <c r="V66" i="9"/>
  <c r="V58" i="9"/>
  <c r="V103" i="9"/>
  <c r="V101" i="9"/>
  <c r="V85" i="9"/>
  <c r="V73" i="9"/>
  <c r="V94" i="9"/>
  <c r="V86" i="9"/>
  <c r="V74" i="9"/>
  <c r="V62" i="9"/>
  <c r="V42" i="9"/>
  <c r="H17" i="9"/>
  <c r="V32" i="9"/>
  <c r="V44" i="9"/>
  <c r="V50" i="9"/>
  <c r="V63" i="9"/>
  <c r="X198" i="12"/>
  <c r="Z198" i="12" s="1"/>
  <c r="L226" i="12"/>
  <c r="N226" i="12" s="1"/>
  <c r="T254" i="18"/>
  <c r="V161" i="3"/>
  <c r="V165" i="3"/>
  <c r="J173" i="3"/>
  <c r="J177" i="3"/>
  <c r="J191" i="3"/>
  <c r="V193" i="3"/>
  <c r="J199" i="3"/>
  <c r="V209" i="3"/>
  <c r="J215" i="3"/>
  <c r="V221" i="3"/>
  <c r="V225" i="3"/>
  <c r="J229" i="3"/>
  <c r="V237" i="3"/>
  <c r="J241" i="3"/>
  <c r="J245" i="3"/>
  <c r="J249" i="3"/>
  <c r="J255" i="3"/>
  <c r="V269" i="3"/>
  <c r="V24" i="6"/>
  <c r="V26" i="6"/>
  <c r="V28" i="6"/>
  <c r="V29" i="6"/>
  <c r="J15" i="9"/>
  <c r="J17" i="9"/>
  <c r="J19" i="9"/>
  <c r="J21" i="9"/>
  <c r="J25" i="9"/>
  <c r="J29" i="9"/>
  <c r="J38" i="9"/>
  <c r="J47" i="9"/>
  <c r="J52" i="9"/>
  <c r="L67" i="9"/>
  <c r="N67" i="9" s="1"/>
  <c r="J80" i="9"/>
  <c r="L92" i="9"/>
  <c r="D12" i="12"/>
  <c r="L13" i="12"/>
  <c r="N13" i="12" s="1"/>
  <c r="H125" i="12"/>
  <c r="N82" i="12"/>
  <c r="N12" i="3"/>
  <c r="J106" i="3"/>
  <c r="J110" i="3"/>
  <c r="J114" i="3"/>
  <c r="J118" i="3"/>
  <c r="J122" i="3"/>
  <c r="J126" i="3"/>
  <c r="J130" i="3"/>
  <c r="J134" i="3"/>
  <c r="J138" i="3"/>
  <c r="J142" i="3"/>
  <c r="J146" i="3"/>
  <c r="J150" i="3"/>
  <c r="H155" i="3"/>
  <c r="V170" i="3"/>
  <c r="V174" i="3"/>
  <c r="V178" i="3"/>
  <c r="V186" i="3"/>
  <c r="J190" i="3"/>
  <c r="V194" i="3"/>
  <c r="J198" i="3"/>
  <c r="V202" i="3"/>
  <c r="J206" i="3"/>
  <c r="V210" i="3"/>
  <c r="J214" i="3"/>
  <c r="V218" i="3"/>
  <c r="V226" i="3"/>
  <c r="V230" i="3"/>
  <c r="J234" i="3"/>
  <c r="J240" i="3"/>
  <c r="V242" i="3"/>
  <c r="V246" i="3"/>
  <c r="V250" i="3"/>
  <c r="J254" i="3"/>
  <c r="V258" i="3"/>
  <c r="J262" i="3"/>
  <c r="V268" i="3"/>
  <c r="J276" i="3"/>
  <c r="P16" i="6"/>
  <c r="Z12" i="9"/>
  <c r="V22" i="9"/>
  <c r="V26" i="9"/>
  <c r="V30" i="9"/>
  <c r="V39" i="9"/>
  <c r="L47" i="9"/>
  <c r="L52" i="9"/>
  <c r="N52" i="9" s="1"/>
  <c r="V53" i="9"/>
  <c r="J57" i="9"/>
  <c r="V59" i="9"/>
  <c r="J61" i="9"/>
  <c r="V68" i="9"/>
  <c r="V70" i="9"/>
  <c r="N92" i="9"/>
  <c r="J100" i="9"/>
  <c r="P12" i="12"/>
  <c r="L166" i="12"/>
  <c r="N166" i="12" s="1"/>
  <c r="N173" i="12"/>
  <c r="Z186" i="12"/>
  <c r="X186" i="12"/>
  <c r="X226" i="12"/>
  <c r="Z226" i="12" s="1"/>
  <c r="L234" i="18"/>
  <c r="N234" i="18" s="1"/>
  <c r="V103" i="3"/>
  <c r="V107" i="3"/>
  <c r="V111" i="3"/>
  <c r="V115" i="3"/>
  <c r="V119" i="3"/>
  <c r="V123" i="3"/>
  <c r="V127" i="3"/>
  <c r="V131" i="3"/>
  <c r="V135" i="3"/>
  <c r="V139" i="3"/>
  <c r="V143" i="3"/>
  <c r="V147" i="3"/>
  <c r="V151" i="3"/>
  <c r="J155" i="3"/>
  <c r="J157" i="3"/>
  <c r="J159" i="3"/>
  <c r="J163" i="3"/>
  <c r="J167" i="3"/>
  <c r="J183" i="3"/>
  <c r="V187" i="3"/>
  <c r="J197" i="3"/>
  <c r="V207" i="3"/>
  <c r="V219" i="3"/>
  <c r="J223" i="3"/>
  <c r="V231" i="3"/>
  <c r="V235" i="3"/>
  <c r="J239" i="3"/>
  <c r="R14" i="6"/>
  <c r="R16" i="6"/>
  <c r="R18" i="6"/>
  <c r="R20" i="6"/>
  <c r="V35" i="9"/>
  <c r="J41" i="9"/>
  <c r="L45" i="9"/>
  <c r="N45" i="9" s="1"/>
  <c r="J46" i="9"/>
  <c r="J67" i="9"/>
  <c r="X80" i="9"/>
  <c r="J92" i="9"/>
  <c r="V107" i="9"/>
  <c r="L150" i="12"/>
  <c r="N150" i="12" s="1"/>
  <c r="N152" i="12"/>
  <c r="N160" i="12"/>
  <c r="P12" i="15"/>
  <c r="T229" i="15"/>
  <c r="J82" i="12"/>
  <c r="V84" i="12"/>
  <c r="V88" i="12"/>
  <c r="V92" i="12"/>
  <c r="V96" i="12"/>
  <c r="V100" i="12"/>
  <c r="V104" i="12"/>
  <c r="V108" i="12"/>
  <c r="V112" i="12"/>
  <c r="V116" i="12"/>
  <c r="V120" i="12"/>
  <c r="J132" i="12"/>
  <c r="J136" i="12"/>
  <c r="J150" i="12"/>
  <c r="J166" i="12"/>
  <c r="V168" i="12"/>
  <c r="V192" i="12"/>
  <c r="V198" i="12"/>
  <c r="J207" i="12"/>
  <c r="J212" i="12"/>
  <c r="V215" i="12"/>
  <c r="V226" i="12"/>
  <c r="V218" i="15"/>
  <c r="V206" i="15"/>
  <c r="V202" i="15"/>
  <c r="V190" i="15"/>
  <c r="V178" i="15"/>
  <c r="V170" i="15"/>
  <c r="V162" i="15"/>
  <c r="V154" i="15"/>
  <c r="V146" i="15"/>
  <c r="V118" i="15"/>
  <c r="V114" i="15"/>
  <c r="V110" i="15"/>
  <c r="V106" i="15"/>
  <c r="V102" i="15"/>
  <c r="V98" i="15"/>
  <c r="V94" i="15"/>
  <c r="V90" i="15"/>
  <c r="V86" i="15"/>
  <c r="V82" i="15"/>
  <c r="V222" i="15"/>
  <c r="V220" i="15"/>
  <c r="V212" i="15"/>
  <c r="V196" i="15"/>
  <c r="V192" i="15"/>
  <c r="V180" i="15"/>
  <c r="V164" i="15"/>
  <c r="V156" i="15"/>
  <c r="V148" i="15"/>
  <c r="V132" i="15"/>
  <c r="V128" i="15"/>
  <c r="V124" i="15"/>
  <c r="V223" i="15"/>
  <c r="V215" i="15"/>
  <c r="V207" i="15"/>
  <c r="V203" i="15"/>
  <c r="V191" i="15"/>
  <c r="V187" i="15"/>
  <c r="V179" i="15"/>
  <c r="V171" i="15"/>
  <c r="V163" i="15"/>
  <c r="V155" i="15"/>
  <c r="V147" i="15"/>
  <c r="V123" i="15"/>
  <c r="V121" i="15"/>
  <c r="V119" i="15"/>
  <c r="V115" i="15"/>
  <c r="V111" i="15"/>
  <c r="V107" i="15"/>
  <c r="V103" i="15"/>
  <c r="V99" i="15"/>
  <c r="V95" i="15"/>
  <c r="V91" i="15"/>
  <c r="V87" i="15"/>
  <c r="V83" i="15"/>
  <c r="V224" i="15"/>
  <c r="V214" i="15"/>
  <c r="V198" i="15"/>
  <c r="V186" i="15"/>
  <c r="V182" i="15"/>
  <c r="V166" i="15"/>
  <c r="V225" i="15"/>
  <c r="V193" i="15"/>
  <c r="V181" i="15"/>
  <c r="V173" i="15"/>
  <c r="V165" i="15"/>
  <c r="V157" i="15"/>
  <c r="V149" i="15"/>
  <c r="V133" i="15"/>
  <c r="V129" i="15"/>
  <c r="V125" i="15"/>
  <c r="V226" i="15"/>
  <c r="V216" i="15"/>
  <c r="V208" i="15"/>
  <c r="V204" i="15"/>
  <c r="V200" i="15"/>
  <c r="V188" i="15"/>
  <c r="V172" i="15"/>
  <c r="V116" i="15"/>
  <c r="V112" i="15"/>
  <c r="V108" i="15"/>
  <c r="V104" i="15"/>
  <c r="V229" i="15"/>
  <c r="V227" i="15"/>
  <c r="V199" i="15"/>
  <c r="V183" i="15"/>
  <c r="V175" i="15"/>
  <c r="V167" i="15"/>
  <c r="V159" i="15"/>
  <c r="V151" i="15"/>
  <c r="V143" i="15"/>
  <c r="V139" i="15"/>
  <c r="V135" i="15"/>
  <c r="V210" i="15"/>
  <c r="V194" i="15"/>
  <c r="V174" i="15"/>
  <c r="V158" i="15"/>
  <c r="V150" i="15"/>
  <c r="V134" i="15"/>
  <c r="V130" i="15"/>
  <c r="V126" i="15"/>
  <c r="V217" i="15"/>
  <c r="V209" i="15"/>
  <c r="V205" i="15"/>
  <c r="V201" i="15"/>
  <c r="V189" i="15"/>
  <c r="V169" i="15"/>
  <c r="V153" i="15"/>
  <c r="V117" i="15"/>
  <c r="V113" i="15"/>
  <c r="V109" i="15"/>
  <c r="V105" i="15"/>
  <c r="V101" i="15"/>
  <c r="V97" i="15"/>
  <c r="V93" i="15"/>
  <c r="V89" i="15"/>
  <c r="V85" i="15"/>
  <c r="V81" i="15"/>
  <c r="J106" i="15"/>
  <c r="Z135" i="15"/>
  <c r="V176" i="15"/>
  <c r="J182" i="15"/>
  <c r="V195" i="15"/>
  <c r="N183" i="18"/>
  <c r="Z197" i="18"/>
  <c r="V223" i="12"/>
  <c r="N79" i="21"/>
  <c r="L79" i="21"/>
  <c r="J79" i="21"/>
  <c r="T125" i="12"/>
  <c r="V142" i="12"/>
  <c r="V146" i="12"/>
  <c r="J158" i="12"/>
  <c r="J189" i="12"/>
  <c r="V197" i="12"/>
  <c r="N204" i="12"/>
  <c r="V225" i="12"/>
  <c r="J89" i="15"/>
  <c r="J101" i="15"/>
  <c r="J108" i="15"/>
  <c r="J117" i="15"/>
  <c r="X146" i="15"/>
  <c r="Z146" i="15" s="1"/>
  <c r="X162" i="15"/>
  <c r="Z162" i="15" s="1"/>
  <c r="J167" i="15"/>
  <c r="Z182" i="15"/>
  <c r="N187" i="15"/>
  <c r="L187" i="15"/>
  <c r="J189" i="15"/>
  <c r="N215" i="15"/>
  <c r="L215" i="15"/>
  <c r="J217" i="15"/>
  <c r="D222" i="15"/>
  <c r="L222" i="15" s="1"/>
  <c r="N222" i="15" s="1"/>
  <c r="L177" i="18"/>
  <c r="N177" i="18" s="1"/>
  <c r="V83" i="12"/>
  <c r="V87" i="12"/>
  <c r="V91" i="12"/>
  <c r="V95" i="12"/>
  <c r="V99" i="12"/>
  <c r="V103" i="12"/>
  <c r="V107" i="12"/>
  <c r="V111" i="12"/>
  <c r="V115" i="12"/>
  <c r="V119" i="12"/>
  <c r="V123" i="12"/>
  <c r="V125" i="12"/>
  <c r="V127" i="12"/>
  <c r="J131" i="12"/>
  <c r="J135" i="12"/>
  <c r="V151" i="12"/>
  <c r="J157" i="12"/>
  <c r="V159" i="12"/>
  <c r="J173" i="12"/>
  <c r="L179" i="12"/>
  <c r="N179" i="12" s="1"/>
  <c r="J180" i="12"/>
  <c r="Z184" i="12"/>
  <c r="N186" i="12"/>
  <c r="J199" i="12"/>
  <c r="J209" i="12"/>
  <c r="V220" i="12"/>
  <c r="N222" i="12"/>
  <c r="J227" i="12"/>
  <c r="J234" i="12"/>
  <c r="J84" i="15"/>
  <c r="J96" i="15"/>
  <c r="J110" i="15"/>
  <c r="L123" i="15"/>
  <c r="N123" i="15" s="1"/>
  <c r="J173" i="15"/>
  <c r="X178" i="15"/>
  <c r="Z178" i="15" s="1"/>
  <c r="J209" i="15"/>
  <c r="Z221" i="18"/>
  <c r="L247" i="18"/>
  <c r="D246" i="18"/>
  <c r="L246" i="18" s="1"/>
  <c r="Z68" i="24"/>
  <c r="X127" i="12"/>
  <c r="Z127" i="12" s="1"/>
  <c r="V128" i="12"/>
  <c r="V132" i="12"/>
  <c r="V136" i="12"/>
  <c r="J140" i="12"/>
  <c r="J144" i="12"/>
  <c r="J148" i="12"/>
  <c r="V152" i="12"/>
  <c r="J156" i="12"/>
  <c r="L157" i="12"/>
  <c r="N157" i="12" s="1"/>
  <c r="V160" i="12"/>
  <c r="J164" i="12"/>
  <c r="J169" i="12"/>
  <c r="L173" i="12"/>
  <c r="V202" i="12"/>
  <c r="J216" i="12"/>
  <c r="J219" i="12"/>
  <c r="D12" i="15"/>
  <c r="X123" i="15"/>
  <c r="Z123" i="15" s="1"/>
  <c r="J143" i="15"/>
  <c r="J183" i="15"/>
  <c r="V185" i="15"/>
  <c r="J205" i="15"/>
  <c r="V22" i="21"/>
  <c r="X22" i="21"/>
  <c r="T27" i="21"/>
  <c r="Z22" i="21"/>
  <c r="X29" i="21"/>
  <c r="J85" i="12"/>
  <c r="J89" i="12"/>
  <c r="J93" i="12"/>
  <c r="J97" i="12"/>
  <c r="J101" i="12"/>
  <c r="J105" i="12"/>
  <c r="J109" i="12"/>
  <c r="J113" i="12"/>
  <c r="J117" i="12"/>
  <c r="J121" i="12"/>
  <c r="J139" i="12"/>
  <c r="V141" i="12"/>
  <c r="V145" i="12"/>
  <c r="V149" i="12"/>
  <c r="J155" i="12"/>
  <c r="J163" i="12"/>
  <c r="V165" i="12"/>
  <c r="Z166" i="12"/>
  <c r="V177" i="12"/>
  <c r="V181" i="12"/>
  <c r="V189" i="12"/>
  <c r="J196" i="12"/>
  <c r="J201" i="12"/>
  <c r="J206" i="12"/>
  <c r="J211" i="12"/>
  <c r="X231" i="12"/>
  <c r="Z231" i="12" s="1"/>
  <c r="P229" i="12"/>
  <c r="X229" i="12" s="1"/>
  <c r="Z229" i="12" s="1"/>
  <c r="J86" i="15"/>
  <c r="J98" i="15"/>
  <c r="J105" i="15"/>
  <c r="J112" i="15"/>
  <c r="J159" i="15"/>
  <c r="Z169" i="15"/>
  <c r="X169" i="15"/>
  <c r="J175" i="15"/>
  <c r="P12" i="18"/>
  <c r="Z29" i="21"/>
  <c r="V29" i="21"/>
  <c r="J217" i="12"/>
  <c r="J191" i="12"/>
  <c r="J183" i="12"/>
  <c r="J175" i="12"/>
  <c r="J167" i="12"/>
  <c r="J238" i="12"/>
  <c r="J218" i="12"/>
  <c r="J202" i="12"/>
  <c r="J184" i="12"/>
  <c r="J226" i="12"/>
  <c r="J198" i="12"/>
  <c r="J192" i="12"/>
  <c r="J186" i="12"/>
  <c r="J176" i="12"/>
  <c r="J170" i="12"/>
  <c r="J220" i="12"/>
  <c r="J214" i="12"/>
  <c r="J210" i="12"/>
  <c r="J204" i="12"/>
  <c r="J194" i="12"/>
  <c r="J188" i="12"/>
  <c r="J178" i="12"/>
  <c r="J231" i="12"/>
  <c r="J222" i="12"/>
  <c r="J200" i="12"/>
  <c r="X13" i="12"/>
  <c r="Z13" i="12" s="1"/>
  <c r="V82" i="12"/>
  <c r="V86" i="12"/>
  <c r="V90" i="12"/>
  <c r="V94" i="12"/>
  <c r="V98" i="12"/>
  <c r="V102" i="12"/>
  <c r="V106" i="12"/>
  <c r="V110" i="12"/>
  <c r="V114" i="12"/>
  <c r="V118" i="12"/>
  <c r="V122" i="12"/>
  <c r="J130" i="12"/>
  <c r="J134" i="12"/>
  <c r="J138" i="12"/>
  <c r="V150" i="12"/>
  <c r="J154" i="12"/>
  <c r="V158" i="12"/>
  <c r="J162" i="12"/>
  <c r="V166" i="12"/>
  <c r="V170" i="12"/>
  <c r="J172" i="12"/>
  <c r="V176" i="12"/>
  <c r="J179" i="12"/>
  <c r="V183" i="12"/>
  <c r="J185" i="12"/>
  <c r="N188" i="12"/>
  <c r="V191" i="12"/>
  <c r="V204" i="12"/>
  <c r="V207" i="12"/>
  <c r="V209" i="12"/>
  <c r="J213" i="12"/>
  <c r="V217" i="12"/>
  <c r="V231" i="12"/>
  <c r="J233" i="12"/>
  <c r="V84" i="15"/>
  <c r="J93" i="15"/>
  <c r="V96" i="15"/>
  <c r="J114" i="15"/>
  <c r="J151" i="15"/>
  <c r="V161" i="15"/>
  <c r="J172" i="15"/>
  <c r="V177" i="15"/>
  <c r="J199" i="15"/>
  <c r="J201" i="15"/>
  <c r="V211" i="15"/>
  <c r="N159" i="18"/>
  <c r="X206" i="18"/>
  <c r="Z206" i="18" s="1"/>
  <c r="X66" i="21"/>
  <c r="Z66" i="21" s="1"/>
  <c r="V140" i="12"/>
  <c r="V144" i="12"/>
  <c r="V148" i="12"/>
  <c r="V156" i="12"/>
  <c r="V164" i="12"/>
  <c r="V186" i="12"/>
  <c r="V201" i="12"/>
  <c r="V211" i="12"/>
  <c r="J109" i="15"/>
  <c r="J116" i="15"/>
  <c r="Z159" i="15"/>
  <c r="Z175" i="15"/>
  <c r="J188" i="15"/>
  <c r="N197" i="15"/>
  <c r="J216" i="15"/>
  <c r="J225" i="15"/>
  <c r="Z95" i="18"/>
  <c r="X95" i="18"/>
  <c r="X147" i="18"/>
  <c r="Z147" i="18" s="1"/>
  <c r="Z190" i="18"/>
  <c r="V206" i="18"/>
  <c r="L13" i="21"/>
  <c r="N13" i="21" s="1"/>
  <c r="D12" i="21"/>
  <c r="V85" i="12"/>
  <c r="V89" i="12"/>
  <c r="V93" i="12"/>
  <c r="V97" i="12"/>
  <c r="V101" i="12"/>
  <c r="V105" i="12"/>
  <c r="V109" i="12"/>
  <c r="V113" i="12"/>
  <c r="V117" i="12"/>
  <c r="V121" i="12"/>
  <c r="J125" i="12"/>
  <c r="J127" i="12"/>
  <c r="J129" i="12"/>
  <c r="J133" i="12"/>
  <c r="J137" i="12"/>
  <c r="J153" i="12"/>
  <c r="V157" i="12"/>
  <c r="J161" i="12"/>
  <c r="V173" i="12"/>
  <c r="J182" i="12"/>
  <c r="J190" i="12"/>
  <c r="J208" i="12"/>
  <c r="J215" i="12"/>
  <c r="J90" i="15"/>
  <c r="J102" i="15"/>
  <c r="J118" i="15"/>
  <c r="J135" i="15"/>
  <c r="Z151" i="15"/>
  <c r="N166" i="15"/>
  <c r="V229" i="12"/>
  <c r="V227" i="12"/>
  <c r="V219" i="12"/>
  <c r="V203" i="12"/>
  <c r="V199" i="12"/>
  <c r="V187" i="12"/>
  <c r="V179" i="12"/>
  <c r="V171" i="12"/>
  <c r="V230" i="12"/>
  <c r="V222" i="12"/>
  <c r="V214" i="12"/>
  <c r="V210" i="12"/>
  <c r="V194" i="12"/>
  <c r="V178" i="12"/>
  <c r="V232" i="12"/>
  <c r="V200" i="12"/>
  <c r="V180" i="12"/>
  <c r="V172" i="12"/>
  <c r="V234" i="12"/>
  <c r="V206" i="12"/>
  <c r="V190" i="12"/>
  <c r="V182" i="12"/>
  <c r="V174" i="12"/>
  <c r="V224" i="12"/>
  <c r="V216" i="12"/>
  <c r="V212" i="12"/>
  <c r="V208" i="12"/>
  <c r="V196" i="12"/>
  <c r="V184" i="12"/>
  <c r="J128" i="12"/>
  <c r="V130" i="12"/>
  <c r="V134" i="12"/>
  <c r="V138" i="12"/>
  <c r="J142" i="12"/>
  <c r="J146" i="12"/>
  <c r="J152" i="12"/>
  <c r="V154" i="12"/>
  <c r="J160" i="12"/>
  <c r="V162" i="12"/>
  <c r="J171" i="12"/>
  <c r="L184" i="12"/>
  <c r="V185" i="12"/>
  <c r="V188" i="12"/>
  <c r="J195" i="12"/>
  <c r="J205" i="12"/>
  <c r="V213" i="12"/>
  <c r="V221" i="12"/>
  <c r="J223" i="12"/>
  <c r="J232" i="12"/>
  <c r="V233" i="12"/>
  <c r="J227" i="15"/>
  <c r="J200" i="15"/>
  <c r="J194" i="15"/>
  <c r="J174" i="15"/>
  <c r="J158" i="15"/>
  <c r="J150" i="15"/>
  <c r="J134" i="15"/>
  <c r="J130" i="15"/>
  <c r="J126" i="15"/>
  <c r="J80" i="15"/>
  <c r="J210" i="15"/>
  <c r="J184" i="15"/>
  <c r="J176" i="15"/>
  <c r="J168" i="15"/>
  <c r="J160" i="15"/>
  <c r="J152" i="15"/>
  <c r="J144" i="15"/>
  <c r="J140" i="15"/>
  <c r="J136" i="15"/>
  <c r="J231" i="15"/>
  <c r="J211" i="15"/>
  <c r="J195" i="15"/>
  <c r="J169" i="15"/>
  <c r="J153" i="15"/>
  <c r="J131" i="15"/>
  <c r="J127" i="15"/>
  <c r="J218" i="15"/>
  <c r="J206" i="15"/>
  <c r="J202" i="15"/>
  <c r="J190" i="15"/>
  <c r="J170" i="15"/>
  <c r="J154" i="15"/>
  <c r="J219" i="15"/>
  <c r="J185" i="15"/>
  <c r="J177" i="15"/>
  <c r="J161" i="15"/>
  <c r="J145" i="15"/>
  <c r="J141" i="15"/>
  <c r="J137" i="15"/>
  <c r="J220" i="15"/>
  <c r="J212" i="15"/>
  <c r="J196" i="15"/>
  <c r="J178" i="15"/>
  <c r="J162" i="15"/>
  <c r="J146" i="15"/>
  <c r="J132" i="15"/>
  <c r="J128" i="15"/>
  <c r="J213" i="15"/>
  <c r="J207" i="15"/>
  <c r="J203" i="15"/>
  <c r="J197" i="15"/>
  <c r="J191" i="15"/>
  <c r="J179" i="15"/>
  <c r="J171" i="15"/>
  <c r="J163" i="15"/>
  <c r="J155" i="15"/>
  <c r="J147" i="15"/>
  <c r="J119" i="15"/>
  <c r="J115" i="15"/>
  <c r="J111" i="15"/>
  <c r="J107" i="15"/>
  <c r="J103" i="15"/>
  <c r="J99" i="15"/>
  <c r="J95" i="15"/>
  <c r="J91" i="15"/>
  <c r="J87" i="15"/>
  <c r="J83" i="15"/>
  <c r="J223" i="15"/>
  <c r="J222" i="15"/>
  <c r="J214" i="15"/>
  <c r="J198" i="15"/>
  <c r="J192" i="15"/>
  <c r="J186" i="15"/>
  <c r="J180" i="15"/>
  <c r="J164" i="15"/>
  <c r="J156" i="15"/>
  <c r="J148" i="15"/>
  <c r="J142" i="15"/>
  <c r="J138" i="15"/>
  <c r="J124" i="15"/>
  <c r="J224" i="15"/>
  <c r="J215" i="15"/>
  <c r="J193" i="15"/>
  <c r="J187" i="15"/>
  <c r="J181" i="15"/>
  <c r="J165" i="15"/>
  <c r="J157" i="15"/>
  <c r="J149" i="15"/>
  <c r="J133" i="15"/>
  <c r="J129" i="15"/>
  <c r="J125" i="15"/>
  <c r="J123" i="15"/>
  <c r="J85" i="15"/>
  <c r="J97" i="15"/>
  <c r="H121" i="15"/>
  <c r="X153" i="15"/>
  <c r="Z153" i="15" s="1"/>
  <c r="J166" i="15"/>
  <c r="L182" i="15"/>
  <c r="N182" i="15" s="1"/>
  <c r="J204" i="15"/>
  <c r="D12" i="18"/>
  <c r="Z211" i="18"/>
  <c r="X211" i="18"/>
  <c r="N246" i="18"/>
  <c r="V95" i="18"/>
  <c r="V99" i="18"/>
  <c r="V103" i="18"/>
  <c r="V107" i="18"/>
  <c r="V111" i="18"/>
  <c r="V115" i="18"/>
  <c r="V119" i="18"/>
  <c r="V123" i="18"/>
  <c r="V127" i="18"/>
  <c r="V131" i="18"/>
  <c r="V135" i="18"/>
  <c r="V139" i="18"/>
  <c r="V143" i="18"/>
  <c r="V145" i="18"/>
  <c r="V147" i="18"/>
  <c r="J151" i="18"/>
  <c r="J155" i="18"/>
  <c r="V171" i="18"/>
  <c r="J177" i="18"/>
  <c r="V179" i="18"/>
  <c r="V187" i="18"/>
  <c r="J193" i="18"/>
  <c r="V195" i="18"/>
  <c r="V203" i="18"/>
  <c r="V211" i="18"/>
  <c r="V215" i="18"/>
  <c r="J219" i="18"/>
  <c r="V227" i="18"/>
  <c r="V231" i="18"/>
  <c r="J234" i="18"/>
  <c r="N239" i="18"/>
  <c r="V240" i="18"/>
  <c r="J242" i="18"/>
  <c r="X82" i="21"/>
  <c r="Z82" i="21" s="1"/>
  <c r="N89" i="21"/>
  <c r="F38" i="24"/>
  <c r="F55" i="24"/>
  <c r="V61" i="24"/>
  <c r="R78" i="24"/>
  <c r="V148" i="18"/>
  <c r="V152" i="18"/>
  <c r="V156" i="18"/>
  <c r="J160" i="18"/>
  <c r="J164" i="18"/>
  <c r="J168" i="18"/>
  <c r="V172" i="18"/>
  <c r="J176" i="18"/>
  <c r="V180" i="18"/>
  <c r="J184" i="18"/>
  <c r="V188" i="18"/>
  <c r="J192" i="18"/>
  <c r="J200" i="18"/>
  <c r="V204" i="18"/>
  <c r="J208" i="18"/>
  <c r="V216" i="18"/>
  <c r="V220" i="18"/>
  <c r="J239" i="18"/>
  <c r="V248" i="18"/>
  <c r="H109" i="21"/>
  <c r="X28" i="24"/>
  <c r="Z28" i="24" s="1"/>
  <c r="T38" i="24"/>
  <c r="F71" i="24"/>
  <c r="J80" i="27"/>
  <c r="N80" i="27"/>
  <c r="L80" i="27"/>
  <c r="L13" i="15"/>
  <c r="N13" i="15" s="1"/>
  <c r="L13" i="18"/>
  <c r="N13" i="18" s="1"/>
  <c r="J97" i="18"/>
  <c r="J101" i="18"/>
  <c r="J105" i="18"/>
  <c r="J109" i="18"/>
  <c r="J113" i="18"/>
  <c r="J117" i="18"/>
  <c r="J121" i="18"/>
  <c r="J125" i="18"/>
  <c r="J129" i="18"/>
  <c r="J133" i="18"/>
  <c r="J137" i="18"/>
  <c r="J141" i="18"/>
  <c r="J159" i="18"/>
  <c r="V161" i="18"/>
  <c r="V165" i="18"/>
  <c r="V169" i="18"/>
  <c r="J175" i="18"/>
  <c r="J183" i="18"/>
  <c r="V185" i="18"/>
  <c r="J199" i="18"/>
  <c r="V201" i="18"/>
  <c r="V209" i="18"/>
  <c r="J213" i="18"/>
  <c r="V221" i="18"/>
  <c r="J225" i="18"/>
  <c r="J229" i="18"/>
  <c r="J233" i="18"/>
  <c r="V235" i="18"/>
  <c r="J238" i="18"/>
  <c r="V243" i="18"/>
  <c r="N64" i="21"/>
  <c r="Z79" i="21"/>
  <c r="Z89" i="21"/>
  <c r="X89" i="21"/>
  <c r="V87" i="24"/>
  <c r="V83" i="24"/>
  <c r="V75" i="24"/>
  <c r="V63" i="24"/>
  <c r="V84" i="24"/>
  <c r="V76" i="24"/>
  <c r="V68" i="24"/>
  <c r="V90" i="24"/>
  <c r="V78" i="24"/>
  <c r="V50" i="24"/>
  <c r="V86" i="24"/>
  <c r="V82" i="24"/>
  <c r="V74" i="24"/>
  <c r="V79" i="24"/>
  <c r="V65" i="24"/>
  <c r="V60" i="24"/>
  <c r="V57" i="24"/>
  <c r="V54" i="24"/>
  <c r="V51" i="24"/>
  <c r="V47" i="24"/>
  <c r="V43" i="24"/>
  <c r="V80" i="24"/>
  <c r="V71" i="24"/>
  <c r="V70" i="24"/>
  <c r="V66" i="24"/>
  <c r="V34" i="24"/>
  <c r="V30" i="24"/>
  <c r="V91" i="24"/>
  <c r="V58" i="24"/>
  <c r="V55" i="24"/>
  <c r="V52" i="24"/>
  <c r="V48" i="24"/>
  <c r="V35" i="24"/>
  <c r="V31" i="24"/>
  <c r="V88" i="24"/>
  <c r="V81" i="24"/>
  <c r="V72" i="24"/>
  <c r="V67" i="24"/>
  <c r="V45" i="24"/>
  <c r="V41" i="24"/>
  <c r="V92" i="24"/>
  <c r="V73" i="24"/>
  <c r="V49" i="24"/>
  <c r="V40" i="24"/>
  <c r="V38" i="24"/>
  <c r="V36" i="24"/>
  <c r="V32" i="24"/>
  <c r="V28" i="24"/>
  <c r="Z12" i="24"/>
  <c r="V89" i="24"/>
  <c r="V46" i="24"/>
  <c r="V42" i="24"/>
  <c r="V94" i="24"/>
  <c r="V69" i="24"/>
  <c r="V33" i="24"/>
  <c r="V29" i="24"/>
  <c r="F33" i="24"/>
  <c r="V44" i="24"/>
  <c r="V85" i="24"/>
  <c r="V98" i="18"/>
  <c r="V102" i="18"/>
  <c r="V106" i="18"/>
  <c r="V110" i="18"/>
  <c r="V114" i="18"/>
  <c r="V118" i="18"/>
  <c r="V122" i="18"/>
  <c r="V126" i="18"/>
  <c r="V130" i="18"/>
  <c r="V134" i="18"/>
  <c r="V138" i="18"/>
  <c r="V142" i="18"/>
  <c r="J150" i="18"/>
  <c r="J154" i="18"/>
  <c r="J158" i="18"/>
  <c r="V170" i="18"/>
  <c r="J174" i="18"/>
  <c r="V178" i="18"/>
  <c r="J182" i="18"/>
  <c r="V186" i="18"/>
  <c r="V194" i="18"/>
  <c r="J198" i="18"/>
  <c r="V202" i="18"/>
  <c r="V214" i="18"/>
  <c r="J218" i="18"/>
  <c r="J224" i="18"/>
  <c r="V226" i="18"/>
  <c r="V230" i="18"/>
  <c r="X234" i="18"/>
  <c r="Z234" i="18" s="1"/>
  <c r="V242" i="18"/>
  <c r="N104" i="21"/>
  <c r="L104" i="21"/>
  <c r="R98" i="24"/>
  <c r="R73" i="24"/>
  <c r="R72" i="24"/>
  <c r="R48" i="24"/>
  <c r="R89" i="24"/>
  <c r="R66" i="24"/>
  <c r="R65" i="24"/>
  <c r="R68" i="24"/>
  <c r="R67" i="24"/>
  <c r="R59" i="24"/>
  <c r="R55" i="24"/>
  <c r="R69" i="24"/>
  <c r="R33" i="24"/>
  <c r="R29" i="24"/>
  <c r="R94" i="24"/>
  <c r="R86" i="24"/>
  <c r="R82" i="24"/>
  <c r="R74" i="24"/>
  <c r="R50" i="24"/>
  <c r="R83" i="24"/>
  <c r="R79" i="24"/>
  <c r="R75" i="24"/>
  <c r="R60" i="24"/>
  <c r="R57" i="24"/>
  <c r="R54" i="24"/>
  <c r="R47" i="24"/>
  <c r="R43" i="24"/>
  <c r="R90" i="24"/>
  <c r="R70" i="24"/>
  <c r="R51" i="24"/>
  <c r="R34" i="24"/>
  <c r="R30" i="24"/>
  <c r="R91" i="24"/>
  <c r="R87" i="24"/>
  <c r="R76" i="24"/>
  <c r="R61" i="24"/>
  <c r="R44" i="24"/>
  <c r="R84" i="24"/>
  <c r="R77" i="24"/>
  <c r="R62" i="24"/>
  <c r="R58" i="24"/>
  <c r="R52" i="24"/>
  <c r="R35" i="24"/>
  <c r="R31" i="24"/>
  <c r="R88" i="24"/>
  <c r="R81" i="24"/>
  <c r="R45" i="24"/>
  <c r="R85" i="24"/>
  <c r="R56" i="24"/>
  <c r="R53" i="24"/>
  <c r="R40" i="24"/>
  <c r="R28" i="24"/>
  <c r="R64" i="24"/>
  <c r="R46" i="24"/>
  <c r="R42" i="24"/>
  <c r="P38" i="24"/>
  <c r="P222" i="15"/>
  <c r="X222" i="15" s="1"/>
  <c r="Z222" i="15" s="1"/>
  <c r="V151" i="18"/>
  <c r="V155" i="18"/>
  <c r="J163" i="18"/>
  <c r="J167" i="18"/>
  <c r="J191" i="18"/>
  <c r="J197" i="18"/>
  <c r="J207" i="18"/>
  <c r="V219" i="18"/>
  <c r="Z239" i="18"/>
  <c r="V247" i="18"/>
  <c r="J237" i="18"/>
  <c r="J247" i="18"/>
  <c r="J246" i="18"/>
  <c r="J250" i="18"/>
  <c r="J252" i="18"/>
  <c r="J241" i="18"/>
  <c r="J96" i="18"/>
  <c r="J100" i="18"/>
  <c r="J104" i="18"/>
  <c r="J108" i="18"/>
  <c r="J112" i="18"/>
  <c r="J116" i="18"/>
  <c r="J120" i="18"/>
  <c r="J124" i="18"/>
  <c r="J128" i="18"/>
  <c r="J132" i="18"/>
  <c r="J136" i="18"/>
  <c r="J140" i="18"/>
  <c r="H145" i="18"/>
  <c r="V160" i="18"/>
  <c r="V164" i="18"/>
  <c r="V168" i="18"/>
  <c r="V176" i="18"/>
  <c r="V184" i="18"/>
  <c r="J190" i="18"/>
  <c r="V192" i="18"/>
  <c r="J196" i="18"/>
  <c r="V200" i="18"/>
  <c r="J206" i="18"/>
  <c r="V208" i="18"/>
  <c r="J212" i="18"/>
  <c r="J228" i="18"/>
  <c r="J232" i="18"/>
  <c r="V239" i="18"/>
  <c r="F92" i="24"/>
  <c r="F91" i="24"/>
  <c r="F60" i="24"/>
  <c r="F56" i="24"/>
  <c r="F52" i="24"/>
  <c r="F51" i="24"/>
  <c r="F96" i="24"/>
  <c r="F94" i="24"/>
  <c r="F81" i="24"/>
  <c r="F80" i="24"/>
  <c r="F87" i="24"/>
  <c r="F63" i="24"/>
  <c r="F62" i="24"/>
  <c r="F98" i="24"/>
  <c r="F88" i="24"/>
  <c r="F77" i="24"/>
  <c r="F45" i="24"/>
  <c r="F78" i="24"/>
  <c r="F59" i="24"/>
  <c r="F49" i="24"/>
  <c r="F36" i="24"/>
  <c r="F32" i="24"/>
  <c r="L12" i="24"/>
  <c r="N12" i="24" s="1"/>
  <c r="F89" i="24"/>
  <c r="F85" i="24"/>
  <c r="F73" i="24"/>
  <c r="F68" i="24"/>
  <c r="F53" i="24"/>
  <c r="F82" i="24"/>
  <c r="F46" i="24"/>
  <c r="F42" i="24"/>
  <c r="F41" i="24"/>
  <c r="F100" i="24"/>
  <c r="F86" i="24"/>
  <c r="F79" i="24"/>
  <c r="F65" i="24"/>
  <c r="F54" i="24"/>
  <c r="F50" i="24"/>
  <c r="D38" i="24"/>
  <c r="F57" i="24"/>
  <c r="F47" i="24"/>
  <c r="F43" i="24"/>
  <c r="F90" i="24"/>
  <c r="F83" i="24"/>
  <c r="F75" i="24"/>
  <c r="F70" i="24"/>
  <c r="F34" i="24"/>
  <c r="F30" i="24"/>
  <c r="F66" i="24"/>
  <c r="F72" i="24"/>
  <c r="F35" i="24"/>
  <c r="F31" i="24"/>
  <c r="F67" i="24"/>
  <c r="R49" i="24"/>
  <c r="J95" i="18"/>
  <c r="V97" i="18"/>
  <c r="V101" i="18"/>
  <c r="V105" i="18"/>
  <c r="V109" i="18"/>
  <c r="V113" i="18"/>
  <c r="V117" i="18"/>
  <c r="V121" i="18"/>
  <c r="V125" i="18"/>
  <c r="V129" i="18"/>
  <c r="V133" i="18"/>
  <c r="V137" i="18"/>
  <c r="V141" i="18"/>
  <c r="J145" i="18"/>
  <c r="J147" i="18"/>
  <c r="J149" i="18"/>
  <c r="J153" i="18"/>
  <c r="J157" i="18"/>
  <c r="J173" i="18"/>
  <c r="V177" i="18"/>
  <c r="J181" i="18"/>
  <c r="J189" i="18"/>
  <c r="V193" i="18"/>
  <c r="J205" i="18"/>
  <c r="J211" i="18"/>
  <c r="V213" i="18"/>
  <c r="J217" i="18"/>
  <c r="V225" i="18"/>
  <c r="V229" i="18"/>
  <c r="V233" i="18"/>
  <c r="V234" i="18"/>
  <c r="J236" i="18"/>
  <c r="V238" i="18"/>
  <c r="J244" i="18"/>
  <c r="J249" i="18"/>
  <c r="V250" i="18"/>
  <c r="L29" i="21"/>
  <c r="N29" i="21" s="1"/>
  <c r="V56" i="24"/>
  <c r="R71" i="24"/>
  <c r="Z73" i="24"/>
  <c r="F84" i="24"/>
  <c r="R92" i="24"/>
  <c r="V98" i="24"/>
  <c r="H55" i="27"/>
  <c r="J55" i="27" s="1"/>
  <c r="J148" i="18"/>
  <c r="V150" i="18"/>
  <c r="V154" i="18"/>
  <c r="V158" i="18"/>
  <c r="J162" i="18"/>
  <c r="J166" i="18"/>
  <c r="J172" i="18"/>
  <c r="V174" i="18"/>
  <c r="J180" i="18"/>
  <c r="V182" i="18"/>
  <c r="J188" i="18"/>
  <c r="V198" i="18"/>
  <c r="J204" i="18"/>
  <c r="J210" i="18"/>
  <c r="J216" i="18"/>
  <c r="J222" i="18"/>
  <c r="J256" i="18"/>
  <c r="P12" i="21"/>
  <c r="Z97" i="21"/>
  <c r="X40" i="24"/>
  <c r="Z40" i="24" s="1"/>
  <c r="F64" i="24"/>
  <c r="V77" i="24"/>
  <c r="L33" i="30"/>
  <c r="D12" i="30"/>
  <c r="J171" i="18"/>
  <c r="J179" i="18"/>
  <c r="J187" i="18"/>
  <c r="J195" i="18"/>
  <c r="J203" i="18"/>
  <c r="J215" i="18"/>
  <c r="J221" i="18"/>
  <c r="J227" i="18"/>
  <c r="J231" i="18"/>
  <c r="V55" i="27"/>
  <c r="T121" i="27"/>
  <c r="V249" i="18"/>
  <c r="V251" i="18"/>
  <c r="V254" i="18"/>
  <c r="V252" i="18"/>
  <c r="V237" i="18"/>
  <c r="V96" i="18"/>
  <c r="V100" i="18"/>
  <c r="V104" i="18"/>
  <c r="V108" i="18"/>
  <c r="V112" i="18"/>
  <c r="V116" i="18"/>
  <c r="V120" i="18"/>
  <c r="V124" i="18"/>
  <c r="V128" i="18"/>
  <c r="V132" i="18"/>
  <c r="V136" i="18"/>
  <c r="V140" i="18"/>
  <c r="J152" i="18"/>
  <c r="J156" i="18"/>
  <c r="J170" i="18"/>
  <c r="J186" i="18"/>
  <c r="V196" i="18"/>
  <c r="J202" i="18"/>
  <c r="V212" i="18"/>
  <c r="J220" i="18"/>
  <c r="V224" i="18"/>
  <c r="V228" i="18"/>
  <c r="V232" i="18"/>
  <c r="J240" i="18"/>
  <c r="J243" i="18"/>
  <c r="Z30" i="21"/>
  <c r="L60" i="21"/>
  <c r="Z74" i="21"/>
  <c r="R36" i="24"/>
  <c r="F61" i="24"/>
  <c r="Z62" i="24"/>
  <c r="F76" i="24"/>
  <c r="V31" i="21"/>
  <c r="V35" i="21"/>
  <c r="V39" i="21"/>
  <c r="J43" i="21"/>
  <c r="J47" i="21"/>
  <c r="J53" i="21"/>
  <c r="J63" i="21"/>
  <c r="V67" i="21"/>
  <c r="J75" i="21"/>
  <c r="V83" i="21"/>
  <c r="J97" i="21"/>
  <c r="V99" i="21"/>
  <c r="J107" i="21"/>
  <c r="J109" i="21"/>
  <c r="J45" i="24"/>
  <c r="Z75" i="24"/>
  <c r="J81" i="24"/>
  <c r="Z83" i="24"/>
  <c r="N88" i="24"/>
  <c r="X37" i="27"/>
  <c r="N87" i="27"/>
  <c r="Z116" i="27"/>
  <c r="V116" i="27"/>
  <c r="V56" i="30"/>
  <c r="V60" i="30"/>
  <c r="T80" i="30"/>
  <c r="J77" i="24"/>
  <c r="V167" i="30"/>
  <c r="V165" i="30"/>
  <c r="V157" i="30"/>
  <c r="V141" i="30"/>
  <c r="V109" i="30"/>
  <c r="V101" i="30"/>
  <c r="V97" i="30"/>
  <c r="V93" i="30"/>
  <c r="V168" i="30"/>
  <c r="V152" i="30"/>
  <c r="V148" i="30"/>
  <c r="V136" i="30"/>
  <c r="V128" i="30"/>
  <c r="V120" i="30"/>
  <c r="V92" i="30"/>
  <c r="V88" i="30"/>
  <c r="V84" i="30"/>
  <c r="V169" i="30"/>
  <c r="V159" i="30"/>
  <c r="V135" i="30"/>
  <c r="V127" i="30"/>
  <c r="V119" i="30"/>
  <c r="V111" i="30"/>
  <c r="V170" i="30"/>
  <c r="V158" i="30"/>
  <c r="V142" i="30"/>
  <c r="V130" i="30"/>
  <c r="V102" i="30"/>
  <c r="V98" i="30"/>
  <c r="V94" i="30"/>
  <c r="V171" i="30"/>
  <c r="V161" i="30"/>
  <c r="V153" i="30"/>
  <c r="V149" i="30"/>
  <c r="V137" i="30"/>
  <c r="V129" i="30"/>
  <c r="V121" i="30"/>
  <c r="V113" i="30"/>
  <c r="V89" i="30"/>
  <c r="V160" i="30"/>
  <c r="V144" i="30"/>
  <c r="V132" i="30"/>
  <c r="V112" i="30"/>
  <c r="V104" i="30"/>
  <c r="V76" i="30"/>
  <c r="V72" i="30"/>
  <c r="V68" i="30"/>
  <c r="V64" i="30"/>
  <c r="V143" i="30"/>
  <c r="V131" i="30"/>
  <c r="V123" i="30"/>
  <c r="V115" i="30"/>
  <c r="V103" i="30"/>
  <c r="V99" i="30"/>
  <c r="V95" i="30"/>
  <c r="V175" i="30"/>
  <c r="V164" i="30"/>
  <c r="V156" i="30"/>
  <c r="V140" i="30"/>
  <c r="V124" i="30"/>
  <c r="V116" i="30"/>
  <c r="V108" i="30"/>
  <c r="V100" i="30"/>
  <c r="V96" i="30"/>
  <c r="V151" i="30"/>
  <c r="V87" i="30"/>
  <c r="V85" i="30"/>
  <c r="V73" i="30"/>
  <c r="V65" i="30"/>
  <c r="V91" i="30"/>
  <c r="V80" i="30"/>
  <c r="V163" i="30"/>
  <c r="V155" i="30"/>
  <c r="V133" i="30"/>
  <c r="V114" i="30"/>
  <c r="V107" i="30"/>
  <c r="V146" i="30"/>
  <c r="V110" i="30"/>
  <c r="V82" i="30"/>
  <c r="V54" i="30"/>
  <c r="V150" i="30"/>
  <c r="V86" i="30"/>
  <c r="V77" i="30"/>
  <c r="V69" i="30"/>
  <c r="V61" i="30"/>
  <c r="V58" i="30"/>
  <c r="V90" i="30"/>
  <c r="V138" i="30"/>
  <c r="V125" i="30"/>
  <c r="V122" i="30"/>
  <c r="V106" i="30"/>
  <c r="V75" i="30"/>
  <c r="V67" i="30"/>
  <c r="V55" i="30"/>
  <c r="V162" i="30"/>
  <c r="V154" i="30"/>
  <c r="V147" i="30"/>
  <c r="V134" i="30"/>
  <c r="V83" i="30"/>
  <c r="V145" i="30"/>
  <c r="V78" i="30"/>
  <c r="V70" i="30"/>
  <c r="V62" i="30"/>
  <c r="V59" i="30"/>
  <c r="V118" i="30"/>
  <c r="Z144" i="30"/>
  <c r="V30" i="21"/>
  <c r="V34" i="21"/>
  <c r="V38" i="21"/>
  <c r="J42" i="21"/>
  <c r="J46" i="21"/>
  <c r="J50" i="21"/>
  <c r="V54" i="21"/>
  <c r="J60" i="21"/>
  <c r="V66" i="21"/>
  <c r="J72" i="21"/>
  <c r="J78" i="21"/>
  <c r="V82" i="21"/>
  <c r="V86" i="21"/>
  <c r="V98" i="21"/>
  <c r="J104" i="21"/>
  <c r="J55" i="24"/>
  <c r="J61" i="24"/>
  <c r="J76" i="24"/>
  <c r="J84" i="24"/>
  <c r="J87" i="24"/>
  <c r="N89" i="27"/>
  <c r="N108" i="27"/>
  <c r="D116" i="27"/>
  <c r="L116" i="27" s="1"/>
  <c r="N116" i="27" s="1"/>
  <c r="L117" i="27"/>
  <c r="N117" i="27" s="1"/>
  <c r="N66" i="24"/>
  <c r="Z58" i="27"/>
  <c r="P12" i="30"/>
  <c r="X13" i="30"/>
  <c r="Z13" i="30" s="1"/>
  <c r="J22" i="21"/>
  <c r="J32" i="21"/>
  <c r="J36" i="21"/>
  <c r="V52" i="21"/>
  <c r="V64" i="21"/>
  <c r="J70" i="21"/>
  <c r="V80" i="21"/>
  <c r="J84" i="21"/>
  <c r="V92" i="21"/>
  <c r="V96" i="21"/>
  <c r="J102" i="21"/>
  <c r="J30" i="24"/>
  <c r="J34" i="24"/>
  <c r="J66" i="24"/>
  <c r="J70" i="24"/>
  <c r="J90" i="24"/>
  <c r="L94" i="24"/>
  <c r="N69" i="27"/>
  <c r="N104" i="27"/>
  <c r="R124" i="36"/>
  <c r="R115" i="36"/>
  <c r="R114" i="36"/>
  <c r="R82" i="36"/>
  <c r="R71" i="36"/>
  <c r="R70" i="36"/>
  <c r="R38" i="36"/>
  <c r="R34" i="36"/>
  <c r="R125" i="36"/>
  <c r="R93" i="36"/>
  <c r="R61" i="36"/>
  <c r="R25" i="36"/>
  <c r="R126" i="36"/>
  <c r="R116" i="36"/>
  <c r="R108" i="36"/>
  <c r="R104" i="36"/>
  <c r="R100" i="36"/>
  <c r="R89" i="36"/>
  <c r="R88" i="36"/>
  <c r="R83" i="36"/>
  <c r="R39" i="36"/>
  <c r="R35" i="36"/>
  <c r="R95" i="36"/>
  <c r="R94" i="36"/>
  <c r="R90" i="36"/>
  <c r="R75" i="36"/>
  <c r="R74" i="36"/>
  <c r="R63" i="36"/>
  <c r="R62" i="36"/>
  <c r="R55" i="36"/>
  <c r="R54" i="36"/>
  <c r="R31" i="36"/>
  <c r="R26" i="36"/>
  <c r="R117" i="36"/>
  <c r="R110" i="36"/>
  <c r="R109" i="36"/>
  <c r="R105" i="36"/>
  <c r="R101" i="36"/>
  <c r="R49" i="36"/>
  <c r="R45" i="36"/>
  <c r="R30" i="36"/>
  <c r="R130" i="36"/>
  <c r="R96" i="36"/>
  <c r="R84" i="36"/>
  <c r="R77" i="36"/>
  <c r="R76" i="36"/>
  <c r="R65" i="36"/>
  <c r="R64" i="36"/>
  <c r="R111" i="36"/>
  <c r="R91" i="36"/>
  <c r="R120" i="36"/>
  <c r="R113" i="36"/>
  <c r="R112" i="36"/>
  <c r="R92" i="36"/>
  <c r="R81" i="36"/>
  <c r="R80" i="36"/>
  <c r="R69" i="36"/>
  <c r="R68" i="36"/>
  <c r="R60" i="36"/>
  <c r="R85" i="36"/>
  <c r="R57" i="36"/>
  <c r="R40" i="36"/>
  <c r="R123" i="36"/>
  <c r="R118" i="36"/>
  <c r="R106" i="36"/>
  <c r="R79" i="36"/>
  <c r="R24" i="36"/>
  <c r="R67" i="36"/>
  <c r="R47" i="36"/>
  <c r="R36" i="36"/>
  <c r="R32" i="36"/>
  <c r="R99" i="36"/>
  <c r="R97" i="36"/>
  <c r="R52" i="36"/>
  <c r="P28" i="36"/>
  <c r="R86" i="36"/>
  <c r="R72" i="36"/>
  <c r="R43" i="36"/>
  <c r="R119" i="36"/>
  <c r="R58" i="36"/>
  <c r="R50" i="36"/>
  <c r="R103" i="36"/>
  <c r="R53" i="36"/>
  <c r="R107" i="36"/>
  <c r="R73" i="36"/>
  <c r="R59" i="36"/>
  <c r="R56" i="36"/>
  <c r="R46" i="36"/>
  <c r="R41" i="36"/>
  <c r="R23" i="36"/>
  <c r="R122" i="36"/>
  <c r="R87" i="36"/>
  <c r="R37" i="36"/>
  <c r="X12" i="36"/>
  <c r="R102" i="36"/>
  <c r="R78" i="36"/>
  <c r="R51" i="36"/>
  <c r="R44" i="36"/>
  <c r="R33" i="36"/>
  <c r="R42" i="36"/>
  <c r="R66" i="36"/>
  <c r="R48" i="36"/>
  <c r="J69" i="21"/>
  <c r="J77" i="21"/>
  <c r="V85" i="21"/>
  <c r="V97" i="21"/>
  <c r="J101" i="21"/>
  <c r="V105" i="21"/>
  <c r="V107" i="21"/>
  <c r="J83" i="24"/>
  <c r="P12" i="27"/>
  <c r="L37" i="27"/>
  <c r="N37" i="27" s="1"/>
  <c r="V63" i="30"/>
  <c r="V57" i="27"/>
  <c r="V23" i="21"/>
  <c r="J27" i="21"/>
  <c r="J29" i="21"/>
  <c r="J31" i="21"/>
  <c r="J35" i="21"/>
  <c r="J39" i="21"/>
  <c r="V51" i="21"/>
  <c r="J57" i="21"/>
  <c r="V59" i="21"/>
  <c r="J67" i="21"/>
  <c r="V71" i="21"/>
  <c r="V79" i="21"/>
  <c r="J83" i="21"/>
  <c r="J89" i="21"/>
  <c r="V91" i="21"/>
  <c r="V95" i="21"/>
  <c r="J99" i="21"/>
  <c r="V103" i="21"/>
  <c r="J29" i="24"/>
  <c r="J33" i="24"/>
  <c r="H38" i="24"/>
  <c r="X62" i="24"/>
  <c r="Z80" i="24"/>
  <c r="X57" i="27"/>
  <c r="Z57" i="27" s="1"/>
  <c r="Z82" i="27"/>
  <c r="V74" i="30"/>
  <c r="H132" i="36"/>
  <c r="J30" i="21"/>
  <c r="V32" i="21"/>
  <c r="V36" i="21"/>
  <c r="J44" i="21"/>
  <c r="J48" i="21"/>
  <c r="J56" i="21"/>
  <c r="V60" i="21"/>
  <c r="J66" i="21"/>
  <c r="V72" i="21"/>
  <c r="J76" i="21"/>
  <c r="J82" i="21"/>
  <c r="V84" i="21"/>
  <c r="J88" i="21"/>
  <c r="V104" i="21"/>
  <c r="J79" i="24"/>
  <c r="J98" i="24"/>
  <c r="J72" i="24"/>
  <c r="J88" i="24"/>
  <c r="J82" i="24"/>
  <c r="J74" i="24"/>
  <c r="J64" i="24"/>
  <c r="J58" i="24"/>
  <c r="J54" i="24"/>
  <c r="J28" i="24"/>
  <c r="J38" i="24"/>
  <c r="J40" i="24"/>
  <c r="J42" i="24"/>
  <c r="J46" i="24"/>
  <c r="L85" i="27"/>
  <c r="N85" i="27" s="1"/>
  <c r="N95" i="27"/>
  <c r="L101" i="27"/>
  <c r="N101" i="27" s="1"/>
  <c r="V53" i="30"/>
  <c r="V117" i="30"/>
  <c r="V126" i="30"/>
  <c r="V139" i="30"/>
  <c r="V69" i="33"/>
  <c r="J111" i="21"/>
  <c r="X54" i="33"/>
  <c r="Z54" i="33"/>
  <c r="J63" i="36"/>
  <c r="J34" i="21"/>
  <c r="J38" i="21"/>
  <c r="J54" i="21"/>
  <c r="V58" i="21"/>
  <c r="J64" i="21"/>
  <c r="V70" i="21"/>
  <c r="J86" i="21"/>
  <c r="V90" i="21"/>
  <c r="V94" i="21"/>
  <c r="J32" i="24"/>
  <c r="J36" i="24"/>
  <c r="J49" i="24"/>
  <c r="J59" i="24"/>
  <c r="J63" i="24"/>
  <c r="J68" i="24"/>
  <c r="J73" i="24"/>
  <c r="J78" i="24"/>
  <c r="J92" i="24"/>
  <c r="L13" i="27"/>
  <c r="N13" i="27" s="1"/>
  <c r="D12" i="27"/>
  <c r="V37" i="27"/>
  <c r="Z37" i="27"/>
  <c r="Z111" i="27"/>
  <c r="J39" i="27"/>
  <c r="J43" i="27"/>
  <c r="J47" i="27"/>
  <c r="J51" i="27"/>
  <c r="J69" i="27"/>
  <c r="V71" i="27"/>
  <c r="V75" i="27"/>
  <c r="V79" i="27"/>
  <c r="J85" i="27"/>
  <c r="J101" i="27"/>
  <c r="V103" i="27"/>
  <c r="J107" i="27"/>
  <c r="V111" i="27"/>
  <c r="J118" i="27"/>
  <c r="V123" i="27"/>
  <c r="J90" i="30"/>
  <c r="X106" i="30"/>
  <c r="N108" i="30"/>
  <c r="N136" i="30"/>
  <c r="N156" i="30"/>
  <c r="N164" i="30"/>
  <c r="N62" i="33"/>
  <c r="Z79" i="33"/>
  <c r="X79" i="33"/>
  <c r="J60" i="27"/>
  <c r="J64" i="27"/>
  <c r="J68" i="27"/>
  <c r="V80" i="27"/>
  <c r="J84" i="27"/>
  <c r="V88" i="27"/>
  <c r="V96" i="27"/>
  <c r="J100" i="27"/>
  <c r="V104" i="27"/>
  <c r="J116" i="27"/>
  <c r="J117" i="27"/>
  <c r="J54" i="30"/>
  <c r="J61" i="30"/>
  <c r="J69" i="30"/>
  <c r="J77" i="30"/>
  <c r="N82" i="30"/>
  <c r="J86" i="30"/>
  <c r="J103" i="30"/>
  <c r="Z106" i="30"/>
  <c r="Z125" i="30"/>
  <c r="J136" i="30"/>
  <c r="J150" i="30"/>
  <c r="D12" i="33"/>
  <c r="L14" i="33"/>
  <c r="N33" i="33"/>
  <c r="D12" i="36"/>
  <c r="X69" i="36"/>
  <c r="V61" i="27"/>
  <c r="V65" i="27"/>
  <c r="J73" i="27"/>
  <c r="J77" i="27"/>
  <c r="V89" i="27"/>
  <c r="J93" i="27"/>
  <c r="V97" i="27"/>
  <c r="V109" i="27"/>
  <c r="J53" i="30"/>
  <c r="J94" i="30"/>
  <c r="J131" i="30"/>
  <c r="J142" i="30"/>
  <c r="H88" i="33"/>
  <c r="V124" i="36"/>
  <c r="J106" i="27"/>
  <c r="J114" i="27"/>
  <c r="J114" i="30"/>
  <c r="V41" i="36"/>
  <c r="V80" i="36"/>
  <c r="J37" i="27"/>
  <c r="J57" i="27"/>
  <c r="J59" i="27"/>
  <c r="J63" i="27"/>
  <c r="J67" i="27"/>
  <c r="J83" i="27"/>
  <c r="J91" i="27"/>
  <c r="V95" i="27"/>
  <c r="J99" i="27"/>
  <c r="V107" i="27"/>
  <c r="J113" i="27"/>
  <c r="V119" i="27"/>
  <c r="J57" i="30"/>
  <c r="Z82" i="30"/>
  <c r="J98" i="30"/>
  <c r="X108" i="30"/>
  <c r="Z108" i="30" s="1"/>
  <c r="Z110" i="30"/>
  <c r="J121" i="30"/>
  <c r="J144" i="30"/>
  <c r="Z156" i="30"/>
  <c r="Z164" i="30"/>
  <c r="V122" i="36"/>
  <c r="J58" i="27"/>
  <c r="V60" i="27"/>
  <c r="V64" i="27"/>
  <c r="V68" i="27"/>
  <c r="J72" i="27"/>
  <c r="J76" i="27"/>
  <c r="J82" i="27"/>
  <c r="V84" i="27"/>
  <c r="V100" i="27"/>
  <c r="V108" i="27"/>
  <c r="J112" i="27"/>
  <c r="V118" i="27"/>
  <c r="J63" i="30"/>
  <c r="J71" i="30"/>
  <c r="H80" i="30"/>
  <c r="L93" i="30"/>
  <c r="Z115" i="30"/>
  <c r="X115" i="30"/>
  <c r="Z117" i="30"/>
  <c r="P12" i="33"/>
  <c r="J28" i="36"/>
  <c r="N57" i="36"/>
  <c r="N161" i="30"/>
  <c r="L161" i="30"/>
  <c r="N69" i="33"/>
  <c r="V125" i="36"/>
  <c r="V93" i="36"/>
  <c r="V89" i="36"/>
  <c r="V73" i="36"/>
  <c r="V61" i="36"/>
  <c r="V53" i="36"/>
  <c r="V25" i="36"/>
  <c r="V126" i="36"/>
  <c r="V116" i="36"/>
  <c r="V108" i="36"/>
  <c r="V104" i="36"/>
  <c r="V100" i="36"/>
  <c r="V88" i="36"/>
  <c r="V72" i="36"/>
  <c r="V52" i="36"/>
  <c r="V48" i="36"/>
  <c r="V44" i="36"/>
  <c r="V95" i="36"/>
  <c r="V110" i="36"/>
  <c r="V94" i="36"/>
  <c r="V90" i="36"/>
  <c r="V74" i="36"/>
  <c r="V62" i="36"/>
  <c r="V54" i="36"/>
  <c r="V30" i="36"/>
  <c r="V28" i="36"/>
  <c r="V26" i="36"/>
  <c r="V117" i="36"/>
  <c r="V109" i="36"/>
  <c r="V105" i="36"/>
  <c r="V101" i="36"/>
  <c r="V77" i="36"/>
  <c r="V65" i="36"/>
  <c r="V57" i="36"/>
  <c r="V49" i="36"/>
  <c r="V45" i="36"/>
  <c r="T28" i="36"/>
  <c r="V130" i="36"/>
  <c r="V96" i="36"/>
  <c r="V84" i="36"/>
  <c r="V76" i="36"/>
  <c r="V64" i="36"/>
  <c r="V56" i="36"/>
  <c r="V40" i="36"/>
  <c r="V36" i="36"/>
  <c r="V32" i="36"/>
  <c r="V119" i="36"/>
  <c r="V111" i="36"/>
  <c r="V91" i="36"/>
  <c r="V79" i="36"/>
  <c r="V67" i="36"/>
  <c r="V118" i="36"/>
  <c r="V106" i="36"/>
  <c r="V102" i="36"/>
  <c r="V98" i="36"/>
  <c r="V123" i="36"/>
  <c r="V115" i="36"/>
  <c r="V107" i="36"/>
  <c r="V103" i="36"/>
  <c r="V99" i="36"/>
  <c r="V87" i="36"/>
  <c r="V71" i="36"/>
  <c r="V51" i="36"/>
  <c r="V47" i="36"/>
  <c r="V43" i="36"/>
  <c r="V120" i="36"/>
  <c r="V24" i="36"/>
  <c r="V112" i="36"/>
  <c r="V60" i="36"/>
  <c r="V114" i="36"/>
  <c r="V97" i="36"/>
  <c r="V86" i="36"/>
  <c r="V55" i="36"/>
  <c r="V38" i="36"/>
  <c r="V92" i="36"/>
  <c r="V82" i="36"/>
  <c r="V58" i="36"/>
  <c r="V50" i="36"/>
  <c r="V34" i="36"/>
  <c r="V113" i="36"/>
  <c r="V75" i="36"/>
  <c r="V70" i="36"/>
  <c r="V63" i="36"/>
  <c r="V59" i="36"/>
  <c r="V39" i="36"/>
  <c r="V23" i="36"/>
  <c r="V68" i="36"/>
  <c r="V37" i="36"/>
  <c r="V35" i="36"/>
  <c r="V31" i="36"/>
  <c r="Z12" i="36"/>
  <c r="V83" i="36"/>
  <c r="V81" i="36"/>
  <c r="V78" i="36"/>
  <c r="V42" i="36"/>
  <c r="V33" i="36"/>
  <c r="V69" i="36"/>
  <c r="V66" i="36"/>
  <c r="V46" i="36"/>
  <c r="R42" i="48"/>
  <c r="R41" i="48"/>
  <c r="R37" i="48"/>
  <c r="R33" i="48"/>
  <c r="R44" i="48"/>
  <c r="R43" i="48"/>
  <c r="R20" i="48"/>
  <c r="R70" i="48"/>
  <c r="R73" i="48"/>
  <c r="R72" i="48"/>
  <c r="R62" i="48"/>
  <c r="R61" i="48"/>
  <c r="R46" i="48"/>
  <c r="R45" i="48"/>
  <c r="R29" i="48"/>
  <c r="R25" i="48"/>
  <c r="R21" i="48"/>
  <c r="P17" i="48"/>
  <c r="R17" i="48" s="1"/>
  <c r="R57" i="48"/>
  <c r="R56" i="48"/>
  <c r="R64" i="48"/>
  <c r="R63" i="48"/>
  <c r="R48" i="48"/>
  <c r="R47" i="48"/>
  <c r="R39" i="48"/>
  <c r="R35" i="48"/>
  <c r="R58" i="48"/>
  <c r="R31" i="48"/>
  <c r="R30" i="48"/>
  <c r="R26" i="48"/>
  <c r="R22" i="48"/>
  <c r="X12" i="48"/>
  <c r="Z12" i="48" s="1"/>
  <c r="R59" i="48"/>
  <c r="R27" i="48"/>
  <c r="R23" i="48"/>
  <c r="R67" i="48"/>
  <c r="R32" i="48"/>
  <c r="R24" i="48"/>
  <c r="R60" i="48"/>
  <c r="R55" i="48"/>
  <c r="R50" i="48"/>
  <c r="R28" i="48"/>
  <c r="R65" i="48"/>
  <c r="R53" i="48"/>
  <c r="R51" i="48"/>
  <c r="R77" i="48"/>
  <c r="R68" i="48"/>
  <c r="R40" i="48"/>
  <c r="R15" i="48"/>
  <c r="R66" i="48"/>
  <c r="R34" i="48"/>
  <c r="R49" i="48"/>
  <c r="R38" i="48"/>
  <c r="R36" i="48"/>
  <c r="R19" i="48"/>
  <c r="R69" i="48"/>
  <c r="R52" i="48"/>
  <c r="R54" i="48"/>
  <c r="J90" i="27"/>
  <c r="J98" i="27"/>
  <c r="J104" i="27"/>
  <c r="J110" i="27"/>
  <c r="J175" i="30"/>
  <c r="J145" i="30"/>
  <c r="J133" i="30"/>
  <c r="J123" i="30"/>
  <c r="J115" i="30"/>
  <c r="J105" i="30"/>
  <c r="J124" i="30"/>
  <c r="J116" i="30"/>
  <c r="J106" i="30"/>
  <c r="J100" i="30"/>
  <c r="J96" i="30"/>
  <c r="J163" i="30"/>
  <c r="J155" i="30"/>
  <c r="J151" i="30"/>
  <c r="J139" i="30"/>
  <c r="J125" i="30"/>
  <c r="J117" i="30"/>
  <c r="J107" i="30"/>
  <c r="J91" i="30"/>
  <c r="J87" i="30"/>
  <c r="J164" i="30"/>
  <c r="J156" i="30"/>
  <c r="J146" i="30"/>
  <c r="J140" i="30"/>
  <c r="J134" i="30"/>
  <c r="J126" i="30"/>
  <c r="J118" i="30"/>
  <c r="J108" i="30"/>
  <c r="J78" i="30"/>
  <c r="J74" i="30"/>
  <c r="J70" i="30"/>
  <c r="J66" i="30"/>
  <c r="J62" i="30"/>
  <c r="J58" i="30"/>
  <c r="J165" i="30"/>
  <c r="J157" i="30"/>
  <c r="J147" i="30"/>
  <c r="J141" i="30"/>
  <c r="J109" i="30"/>
  <c r="J101" i="30"/>
  <c r="J97" i="30"/>
  <c r="J152" i="30"/>
  <c r="J148" i="30"/>
  <c r="J110" i="30"/>
  <c r="J92" i="30"/>
  <c r="J88" i="30"/>
  <c r="J84" i="30"/>
  <c r="J82" i="30"/>
  <c r="J80" i="30"/>
  <c r="J168" i="30"/>
  <c r="J167" i="30"/>
  <c r="J135" i="30"/>
  <c r="J127" i="30"/>
  <c r="J119" i="30"/>
  <c r="J111" i="30"/>
  <c r="J93" i="30"/>
  <c r="J170" i="30"/>
  <c r="J159" i="30"/>
  <c r="J153" i="30"/>
  <c r="J171" i="30"/>
  <c r="J160" i="30"/>
  <c r="J130" i="30"/>
  <c r="J112" i="30"/>
  <c r="J76" i="30"/>
  <c r="J72" i="30"/>
  <c r="J68" i="30"/>
  <c r="J64" i="30"/>
  <c r="J60" i="30"/>
  <c r="J56" i="30"/>
  <c r="J65" i="30"/>
  <c r="J73" i="30"/>
  <c r="N93" i="30"/>
  <c r="J143" i="30"/>
  <c r="J161" i="30"/>
  <c r="N32" i="33"/>
  <c r="X65" i="33"/>
  <c r="Z65" i="33" s="1"/>
  <c r="X69" i="33"/>
  <c r="Z69" i="33" s="1"/>
  <c r="N73" i="33"/>
  <c r="Z81" i="39"/>
  <c r="X81" i="39"/>
  <c r="J95" i="30"/>
  <c r="N104" i="30"/>
  <c r="X123" i="30"/>
  <c r="Z123" i="30" s="1"/>
  <c r="L43" i="33"/>
  <c r="N43" i="33" s="1"/>
  <c r="J61" i="27"/>
  <c r="J65" i="27"/>
  <c r="V81" i="27"/>
  <c r="J87" i="27"/>
  <c r="J95" i="27"/>
  <c r="V105" i="27"/>
  <c r="J109" i="27"/>
  <c r="J55" i="30"/>
  <c r="J83" i="30"/>
  <c r="J104" i="30"/>
  <c r="J113" i="30"/>
  <c r="J122" i="30"/>
  <c r="T30" i="33"/>
  <c r="V30" i="33" s="1"/>
  <c r="X26" i="33"/>
  <c r="J43" i="33"/>
  <c r="N58" i="33"/>
  <c r="P84" i="33"/>
  <c r="X84" i="33" s="1"/>
  <c r="Z84" i="33" s="1"/>
  <c r="X86" i="33"/>
  <c r="L63" i="36"/>
  <c r="N63" i="36" s="1"/>
  <c r="X115" i="36"/>
  <c r="Z115" i="36" s="1"/>
  <c r="Z60" i="42"/>
  <c r="N73" i="36"/>
  <c r="N75" i="36"/>
  <c r="Z81" i="36"/>
  <c r="X89" i="39"/>
  <c r="Z89" i="39" s="1"/>
  <c r="D167" i="30"/>
  <c r="L167" i="30" s="1"/>
  <c r="N167" i="30" s="1"/>
  <c r="V26" i="33"/>
  <c r="J30" i="33"/>
  <c r="J32" i="33"/>
  <c r="J34" i="33"/>
  <c r="J38" i="33"/>
  <c r="J42" i="33"/>
  <c r="V54" i="33"/>
  <c r="J60" i="33"/>
  <c r="J73" i="33"/>
  <c r="J82" i="33"/>
  <c r="X23" i="36"/>
  <c r="Z23" i="36" s="1"/>
  <c r="N53" i="36"/>
  <c r="X59" i="36"/>
  <c r="Z59" i="36" s="1"/>
  <c r="J75" i="36"/>
  <c r="X42" i="36"/>
  <c r="Z42" i="36" s="1"/>
  <c r="Z89" i="36"/>
  <c r="N119" i="36"/>
  <c r="L125" i="39"/>
  <c r="N125" i="39" s="1"/>
  <c r="D122" i="39"/>
  <c r="L122" i="39" s="1"/>
  <c r="N122" i="39" s="1"/>
  <c r="J37" i="33"/>
  <c r="J41" i="33"/>
  <c r="J57" i="33"/>
  <c r="V61" i="33"/>
  <c r="J66" i="33"/>
  <c r="V67" i="33"/>
  <c r="J71" i="33"/>
  <c r="J76" i="33"/>
  <c r="V77" i="33"/>
  <c r="J80" i="33"/>
  <c r="V84" i="33"/>
  <c r="V90" i="33"/>
  <c r="Z30" i="36"/>
  <c r="X98" i="36"/>
  <c r="Z98" i="36" s="1"/>
  <c r="Z113" i="36"/>
  <c r="L95" i="39"/>
  <c r="N95" i="39" s="1"/>
  <c r="V34" i="33"/>
  <c r="V38" i="33"/>
  <c r="V42" i="33"/>
  <c r="J46" i="33"/>
  <c r="J50" i="33"/>
  <c r="J56" i="33"/>
  <c r="V62" i="33"/>
  <c r="J70" i="33"/>
  <c r="V82" i="33"/>
  <c r="J88" i="33"/>
  <c r="Z53" i="36"/>
  <c r="N67" i="36"/>
  <c r="Z73" i="39"/>
  <c r="X73" i="39"/>
  <c r="V47" i="33"/>
  <c r="V51" i="33"/>
  <c r="J55" i="33"/>
  <c r="V59" i="33"/>
  <c r="J65" i="33"/>
  <c r="V72" i="33"/>
  <c r="J79" i="33"/>
  <c r="P167" i="30"/>
  <c r="X167" i="30" s="1"/>
  <c r="Z167" i="30" s="1"/>
  <c r="J26" i="33"/>
  <c r="V28" i="33"/>
  <c r="V32" i="33"/>
  <c r="J36" i="33"/>
  <c r="J40" i="33"/>
  <c r="J54" i="33"/>
  <c r="V60" i="33"/>
  <c r="J64" i="33"/>
  <c r="J69" i="33"/>
  <c r="V73" i="33"/>
  <c r="V76" i="33"/>
  <c r="L42" i="36"/>
  <c r="N42" i="36" s="1"/>
  <c r="L57" i="36"/>
  <c r="Z86" i="36"/>
  <c r="X86" i="36"/>
  <c r="N95" i="36"/>
  <c r="X130" i="30"/>
  <c r="Z130" i="30" s="1"/>
  <c r="L140" i="30"/>
  <c r="N140" i="30" s="1"/>
  <c r="L26" i="33"/>
  <c r="X32" i="33"/>
  <c r="Z32" i="33" s="1"/>
  <c r="V33" i="33"/>
  <c r="V37" i="33"/>
  <c r="V41" i="33"/>
  <c r="J45" i="33"/>
  <c r="J49" i="33"/>
  <c r="J53" i="33"/>
  <c r="L54" i="33"/>
  <c r="N54" i="33" s="1"/>
  <c r="V57" i="33"/>
  <c r="X60" i="33"/>
  <c r="Z60" i="33" s="1"/>
  <c r="V66" i="33"/>
  <c r="L69" i="33"/>
  <c r="X73" i="33"/>
  <c r="Z73" i="33" s="1"/>
  <c r="J78" i="33"/>
  <c r="V80" i="33"/>
  <c r="V81" i="33"/>
  <c r="D84" i="33"/>
  <c r="L84" i="33" s="1"/>
  <c r="N84" i="33" s="1"/>
  <c r="J86" i="33"/>
  <c r="X79" i="36"/>
  <c r="Z79" i="36" s="1"/>
  <c r="J90" i="33"/>
  <c r="J81" i="33"/>
  <c r="J75" i="33"/>
  <c r="J67" i="33"/>
  <c r="V46" i="33"/>
  <c r="V50" i="33"/>
  <c r="V58" i="33"/>
  <c r="J68" i="33"/>
  <c r="V70" i="33"/>
  <c r="J85" i="33"/>
  <c r="Z67" i="36"/>
  <c r="X15" i="42"/>
  <c r="P12" i="42"/>
  <c r="V55" i="33"/>
  <c r="J63" i="33"/>
  <c r="L73" i="36"/>
  <c r="J57" i="36"/>
  <c r="J65" i="36"/>
  <c r="J77" i="36"/>
  <c r="J91" i="36"/>
  <c r="J111" i="36"/>
  <c r="X124" i="36"/>
  <c r="Z124" i="36" s="1"/>
  <c r="P12" i="39"/>
  <c r="Z35" i="39"/>
  <c r="V35" i="39"/>
  <c r="Z79" i="39"/>
  <c r="N89" i="39"/>
  <c r="N28" i="42"/>
  <c r="L54" i="42"/>
  <c r="N54" i="42" s="1"/>
  <c r="N56" i="42"/>
  <c r="J64" i="45"/>
  <c r="J128" i="36"/>
  <c r="J73" i="36"/>
  <c r="J83" i="36"/>
  <c r="J89" i="36"/>
  <c r="D122" i="36"/>
  <c r="L122" i="36" s="1"/>
  <c r="N122" i="36" s="1"/>
  <c r="J126" i="36"/>
  <c r="D12" i="39"/>
  <c r="Z45" i="39"/>
  <c r="Z50" i="42"/>
  <c r="Z62" i="42"/>
  <c r="N72" i="42"/>
  <c r="J44" i="36"/>
  <c r="J48" i="36"/>
  <c r="J52" i="36"/>
  <c r="J72" i="36"/>
  <c r="J88" i="36"/>
  <c r="J100" i="36"/>
  <c r="J104" i="36"/>
  <c r="J108" i="36"/>
  <c r="J116" i="36"/>
  <c r="J125" i="36"/>
  <c r="L13" i="39"/>
  <c r="N13" i="39" s="1"/>
  <c r="Z60" i="39"/>
  <c r="J90" i="39"/>
  <c r="J92" i="39"/>
  <c r="J94" i="39"/>
  <c r="J96" i="39"/>
  <c r="J98" i="39"/>
  <c r="J102" i="39"/>
  <c r="J110" i="39"/>
  <c r="J112" i="39"/>
  <c r="Z113" i="39"/>
  <c r="N119" i="39"/>
  <c r="D12" i="42"/>
  <c r="L14" i="42"/>
  <c r="X50" i="42"/>
  <c r="Z52" i="42"/>
  <c r="J61" i="36"/>
  <c r="J71" i="36"/>
  <c r="J93" i="36"/>
  <c r="J115" i="36"/>
  <c r="J124" i="36"/>
  <c r="V27" i="39"/>
  <c r="Z27" i="39"/>
  <c r="Z115" i="39"/>
  <c r="J34" i="36"/>
  <c r="J38" i="36"/>
  <c r="J70" i="36"/>
  <c r="J82" i="36"/>
  <c r="J114" i="36"/>
  <c r="J122" i="36"/>
  <c r="J123" i="36"/>
  <c r="X119" i="39"/>
  <c r="X124" i="39"/>
  <c r="Z124" i="39" s="1"/>
  <c r="P122" i="39"/>
  <c r="X122" i="39" s="1"/>
  <c r="Z122" i="39" s="1"/>
  <c r="H121" i="42"/>
  <c r="Z72" i="42"/>
  <c r="N88" i="42"/>
  <c r="J99" i="36"/>
  <c r="J103" i="36"/>
  <c r="J107" i="36"/>
  <c r="J113" i="36"/>
  <c r="Z119" i="39"/>
  <c r="X60" i="45"/>
  <c r="Z60" i="45" s="1"/>
  <c r="J24" i="36"/>
  <c r="J42" i="36"/>
  <c r="J60" i="36"/>
  <c r="J68" i="36"/>
  <c r="J80" i="36"/>
  <c r="J86" i="36"/>
  <c r="J92" i="36"/>
  <c r="J98" i="36"/>
  <c r="J112" i="36"/>
  <c r="J120" i="36"/>
  <c r="N75" i="39"/>
  <c r="N77" i="39"/>
  <c r="N79" i="39"/>
  <c r="J118" i="39"/>
  <c r="T125" i="42"/>
  <c r="J23" i="36"/>
  <c r="J33" i="36"/>
  <c r="J37" i="36"/>
  <c r="J41" i="36"/>
  <c r="J59" i="36"/>
  <c r="J67" i="36"/>
  <c r="J79" i="36"/>
  <c r="J85" i="36"/>
  <c r="J97" i="36"/>
  <c r="J111" i="39"/>
  <c r="J91" i="39"/>
  <c r="J77" i="39"/>
  <c r="J67" i="39"/>
  <c r="J59" i="39"/>
  <c r="J43" i="39"/>
  <c r="J39" i="39"/>
  <c r="J119" i="39"/>
  <c r="J97" i="39"/>
  <c r="J85" i="39"/>
  <c r="J79" i="39"/>
  <c r="J69" i="39"/>
  <c r="J61" i="39"/>
  <c r="J53" i="39"/>
  <c r="J49" i="39"/>
  <c r="J35" i="39"/>
  <c r="J113" i="39"/>
  <c r="J107" i="39"/>
  <c r="J103" i="39"/>
  <c r="J99" i="39"/>
  <c r="J87" i="39"/>
  <c r="J81" i="39"/>
  <c r="J71" i="39"/>
  <c r="J63" i="39"/>
  <c r="J45" i="39"/>
  <c r="H32" i="39"/>
  <c r="J123" i="39"/>
  <c r="J122" i="39"/>
  <c r="J114" i="39"/>
  <c r="J82" i="39"/>
  <c r="J54" i="39"/>
  <c r="J50" i="39"/>
  <c r="J46" i="39"/>
  <c r="J124" i="39"/>
  <c r="J115" i="39"/>
  <c r="J93" i="39"/>
  <c r="J41" i="39"/>
  <c r="J37" i="39"/>
  <c r="J125" i="39"/>
  <c r="J116" i="39"/>
  <c r="J108" i="39"/>
  <c r="J104" i="39"/>
  <c r="J100" i="39"/>
  <c r="J88" i="39"/>
  <c r="J72" i="39"/>
  <c r="J64" i="39"/>
  <c r="J28" i="39"/>
  <c r="J126" i="39"/>
  <c r="J89" i="39"/>
  <c r="J83" i="39"/>
  <c r="J73" i="39"/>
  <c r="J55" i="39"/>
  <c r="J51" i="39"/>
  <c r="J47" i="39"/>
  <c r="J117" i="39"/>
  <c r="J109" i="39"/>
  <c r="J105" i="39"/>
  <c r="J101" i="39"/>
  <c r="J95" i="39"/>
  <c r="J75" i="39"/>
  <c r="J65" i="39"/>
  <c r="J57" i="39"/>
  <c r="J29" i="39"/>
  <c r="L35" i="39"/>
  <c r="N35" i="39" s="1"/>
  <c r="J58" i="39"/>
  <c r="J70" i="39"/>
  <c r="L79" i="39"/>
  <c r="J120" i="39"/>
  <c r="H102" i="45"/>
  <c r="T32" i="39"/>
  <c r="V45" i="39"/>
  <c r="V49" i="39"/>
  <c r="V53" i="39"/>
  <c r="V61" i="39"/>
  <c r="V69" i="39"/>
  <c r="V81" i="39"/>
  <c r="V85" i="39"/>
  <c r="V97" i="39"/>
  <c r="V113" i="39"/>
  <c r="J26" i="42"/>
  <c r="J28" i="42"/>
  <c r="J30" i="42"/>
  <c r="J34" i="42"/>
  <c r="J38" i="42"/>
  <c r="V50" i="42"/>
  <c r="J56" i="42"/>
  <c r="J60" i="42"/>
  <c r="V66" i="42"/>
  <c r="J78" i="42"/>
  <c r="V97" i="42"/>
  <c r="J103" i="42"/>
  <c r="V109" i="42"/>
  <c r="J113" i="42"/>
  <c r="R27" i="45"/>
  <c r="V29" i="45"/>
  <c r="R42" i="45"/>
  <c r="R46" i="45"/>
  <c r="R51" i="45"/>
  <c r="R79" i="45"/>
  <c r="V94" i="45"/>
  <c r="V68" i="48"/>
  <c r="V60" i="48"/>
  <c r="V52" i="48"/>
  <c r="V44" i="48"/>
  <c r="V28" i="48"/>
  <c r="V24" i="48"/>
  <c r="V20" i="48"/>
  <c r="V72" i="48"/>
  <c r="V70" i="48"/>
  <c r="V62" i="48"/>
  <c r="V54" i="48"/>
  <c r="V46" i="48"/>
  <c r="V38" i="48"/>
  <c r="V34" i="48"/>
  <c r="T17" i="48"/>
  <c r="V73" i="48"/>
  <c r="V64" i="48"/>
  <c r="V56" i="48"/>
  <c r="V48" i="48"/>
  <c r="V63" i="48"/>
  <c r="V47" i="48"/>
  <c r="V39" i="48"/>
  <c r="V35" i="48"/>
  <c r="V31" i="48"/>
  <c r="V58" i="48"/>
  <c r="V30" i="48"/>
  <c r="V26" i="48"/>
  <c r="V22" i="48"/>
  <c r="V77" i="48"/>
  <c r="V65" i="48"/>
  <c r="V49" i="48"/>
  <c r="V66" i="48"/>
  <c r="V50" i="48"/>
  <c r="V42" i="48"/>
  <c r="V55" i="48"/>
  <c r="V43" i="48"/>
  <c r="V32" i="48"/>
  <c r="V53" i="48"/>
  <c r="V41" i="48"/>
  <c r="V17" i="48"/>
  <c r="V51" i="48"/>
  <c r="V37" i="48"/>
  <c r="V33" i="48"/>
  <c r="V23" i="48"/>
  <c r="V21" i="48"/>
  <c r="V19" i="48"/>
  <c r="V61" i="48"/>
  <c r="V59" i="48"/>
  <c r="V57" i="48"/>
  <c r="V27" i="48"/>
  <c r="V67" i="48"/>
  <c r="V36" i="48"/>
  <c r="Z62" i="48"/>
  <c r="X62" i="48"/>
  <c r="Z64" i="48"/>
  <c r="H115" i="51"/>
  <c r="J82" i="56"/>
  <c r="J62" i="56"/>
  <c r="J54" i="56"/>
  <c r="J44" i="56"/>
  <c r="J28" i="56"/>
  <c r="J24" i="56"/>
  <c r="J87" i="56"/>
  <c r="J84" i="56"/>
  <c r="J70" i="56"/>
  <c r="J56" i="56"/>
  <c r="J46" i="56"/>
  <c r="J38" i="56"/>
  <c r="J34" i="56"/>
  <c r="J20" i="56"/>
  <c r="J71" i="56"/>
  <c r="J57" i="56"/>
  <c r="J29" i="56"/>
  <c r="J25" i="56"/>
  <c r="J21" i="56"/>
  <c r="J19" i="56"/>
  <c r="J17" i="56"/>
  <c r="J15" i="56"/>
  <c r="J73" i="56"/>
  <c r="J65" i="56"/>
  <c r="J59" i="56"/>
  <c r="J47" i="56"/>
  <c r="J39" i="56"/>
  <c r="J35" i="56"/>
  <c r="J31" i="56"/>
  <c r="J74" i="56"/>
  <c r="J66" i="56"/>
  <c r="J48" i="56"/>
  <c r="J26" i="56"/>
  <c r="J22" i="56"/>
  <c r="N12" i="56"/>
  <c r="J75" i="56"/>
  <c r="J67" i="56"/>
  <c r="J49" i="56"/>
  <c r="J76" i="56"/>
  <c r="J68" i="56"/>
  <c r="J60" i="56"/>
  <c r="J50" i="56"/>
  <c r="J40" i="56"/>
  <c r="J36" i="56"/>
  <c r="J32" i="56"/>
  <c r="J51" i="56"/>
  <c r="J41" i="56"/>
  <c r="J27" i="56"/>
  <c r="J23" i="56"/>
  <c r="J80" i="56"/>
  <c r="J78" i="56"/>
  <c r="J52" i="56"/>
  <c r="J42" i="56"/>
  <c r="J72" i="56"/>
  <c r="J61" i="56"/>
  <c r="J55" i="56"/>
  <c r="J43" i="56"/>
  <c r="J45" i="56"/>
  <c r="J64" i="56"/>
  <c r="J53" i="56"/>
  <c r="J58" i="56"/>
  <c r="H17" i="56"/>
  <c r="J37" i="56"/>
  <c r="J63" i="56"/>
  <c r="J30" i="56"/>
  <c r="J69" i="56"/>
  <c r="J33" i="56"/>
  <c r="V59" i="39"/>
  <c r="V67" i="39"/>
  <c r="V79" i="39"/>
  <c r="V91" i="39"/>
  <c r="V111" i="39"/>
  <c r="V119" i="39"/>
  <c r="V116" i="42"/>
  <c r="V108" i="42"/>
  <c r="V100" i="42"/>
  <c r="V96" i="42"/>
  <c r="V92" i="42"/>
  <c r="V80" i="42"/>
  <c r="V117" i="42"/>
  <c r="V107" i="42"/>
  <c r="V75" i="42"/>
  <c r="V63" i="42"/>
  <c r="V118" i="42"/>
  <c r="V86" i="42"/>
  <c r="V103" i="42"/>
  <c r="V87" i="42"/>
  <c r="V83" i="42"/>
  <c r="V67" i="42"/>
  <c r="V110" i="42"/>
  <c r="V102" i="42"/>
  <c r="V98" i="42"/>
  <c r="V94" i="42"/>
  <c r="V125" i="42"/>
  <c r="V123" i="42"/>
  <c r="V89" i="42"/>
  <c r="V77" i="42"/>
  <c r="V69" i="42"/>
  <c r="V106" i="42"/>
  <c r="V90" i="42"/>
  <c r="V78" i="42"/>
  <c r="V74" i="42"/>
  <c r="V62" i="42"/>
  <c r="J24" i="42"/>
  <c r="V40" i="42"/>
  <c r="V44" i="42"/>
  <c r="V48" i="42"/>
  <c r="J54" i="42"/>
  <c r="X60" i="42"/>
  <c r="V79" i="42"/>
  <c r="V91" i="42"/>
  <c r="V93" i="42"/>
  <c r="V95" i="42"/>
  <c r="J105" i="42"/>
  <c r="V113" i="42"/>
  <c r="P23" i="45"/>
  <c r="F26" i="45"/>
  <c r="R38" i="45"/>
  <c r="R55" i="45"/>
  <c r="R64" i="45"/>
  <c r="R74" i="45"/>
  <c r="V81" i="45"/>
  <c r="F84" i="45"/>
  <c r="P63" i="60"/>
  <c r="V48" i="39"/>
  <c r="V52" i="39"/>
  <c r="V60" i="39"/>
  <c r="V68" i="39"/>
  <c r="V76" i="39"/>
  <c r="V84" i="39"/>
  <c r="V96" i="39"/>
  <c r="V130" i="39"/>
  <c r="J33" i="42"/>
  <c r="J37" i="42"/>
  <c r="J53" i="42"/>
  <c r="V57" i="42"/>
  <c r="J67" i="42"/>
  <c r="X72" i="42"/>
  <c r="V81" i="42"/>
  <c r="J83" i="42"/>
  <c r="J100" i="42"/>
  <c r="V18" i="45"/>
  <c r="R23" i="45"/>
  <c r="V38" i="45"/>
  <c r="L52" i="45"/>
  <c r="V57" i="45"/>
  <c r="Z64" i="45"/>
  <c r="V66" i="45"/>
  <c r="V74" i="45"/>
  <c r="F100" i="45"/>
  <c r="N80" i="51"/>
  <c r="Z30" i="58"/>
  <c r="X30" i="58"/>
  <c r="V57" i="39"/>
  <c r="X60" i="39"/>
  <c r="V65" i="39"/>
  <c r="X68" i="39"/>
  <c r="Z68" i="39" s="1"/>
  <c r="V77" i="39"/>
  <c r="V101" i="39"/>
  <c r="V105" i="39"/>
  <c r="V109" i="39"/>
  <c r="V117" i="39"/>
  <c r="J85" i="42"/>
  <c r="J87" i="42"/>
  <c r="V88" i="42"/>
  <c r="V105" i="42"/>
  <c r="R20" i="45"/>
  <c r="N52" i="45"/>
  <c r="V59" i="45"/>
  <c r="R68" i="45"/>
  <c r="N100" i="45"/>
  <c r="L100" i="45"/>
  <c r="Z33" i="51"/>
  <c r="X33" i="51"/>
  <c r="V38" i="39"/>
  <c r="V42" i="39"/>
  <c r="V58" i="39"/>
  <c r="V66" i="39"/>
  <c r="V74" i="39"/>
  <c r="V90" i="39"/>
  <c r="V94" i="39"/>
  <c r="V110" i="39"/>
  <c r="V39" i="42"/>
  <c r="V43" i="42"/>
  <c r="V47" i="42"/>
  <c r="J51" i="42"/>
  <c r="V55" i="42"/>
  <c r="L66" i="42"/>
  <c r="V72" i="42"/>
  <c r="J77" i="42"/>
  <c r="J80" i="42"/>
  <c r="J92" i="42"/>
  <c r="J96" i="42"/>
  <c r="D115" i="42"/>
  <c r="L115" i="42" s="1"/>
  <c r="N115" i="42" s="1"/>
  <c r="F35" i="45"/>
  <c r="F43" i="45"/>
  <c r="F47" i="45"/>
  <c r="J52" i="45"/>
  <c r="F63" i="45"/>
  <c r="V78" i="45"/>
  <c r="F87" i="45"/>
  <c r="N78" i="51"/>
  <c r="J78" i="51"/>
  <c r="V47" i="39"/>
  <c r="V51" i="39"/>
  <c r="V55" i="39"/>
  <c r="V75" i="39"/>
  <c r="V83" i="39"/>
  <c r="V95" i="39"/>
  <c r="J50" i="42"/>
  <c r="V59" i="42"/>
  <c r="J62" i="42"/>
  <c r="V64" i="42"/>
  <c r="V68" i="42"/>
  <c r="J74" i="42"/>
  <c r="V85" i="42"/>
  <c r="N112" i="42"/>
  <c r="V121" i="42"/>
  <c r="V89" i="45"/>
  <c r="V91" i="45"/>
  <c r="R95" i="45"/>
  <c r="N42" i="48"/>
  <c r="V69" i="48"/>
  <c r="X15" i="51"/>
  <c r="P12" i="51"/>
  <c r="R75" i="45"/>
  <c r="R60" i="45"/>
  <c r="R59" i="45"/>
  <c r="R48" i="45"/>
  <c r="R47" i="45"/>
  <c r="R43" i="45"/>
  <c r="R39" i="45"/>
  <c r="R91" i="45"/>
  <c r="R90" i="45"/>
  <c r="R86" i="45"/>
  <c r="R82" i="45"/>
  <c r="R70" i="45"/>
  <c r="R34" i="45"/>
  <c r="R30" i="45"/>
  <c r="R98" i="45"/>
  <c r="R62" i="45"/>
  <c r="R61" i="45"/>
  <c r="R50" i="45"/>
  <c r="R49" i="45"/>
  <c r="R26" i="45"/>
  <c r="R21" i="45"/>
  <c r="R92" i="45"/>
  <c r="R76" i="45"/>
  <c r="R44" i="45"/>
  <c r="R40" i="45"/>
  <c r="R94" i="45"/>
  <c r="R93" i="45"/>
  <c r="R78" i="45"/>
  <c r="R77" i="45"/>
  <c r="R66" i="45"/>
  <c r="R65" i="45"/>
  <c r="R54" i="45"/>
  <c r="R53" i="45"/>
  <c r="R45" i="45"/>
  <c r="R41" i="45"/>
  <c r="R18" i="45"/>
  <c r="R88" i="45"/>
  <c r="R84" i="45"/>
  <c r="R73" i="45"/>
  <c r="R72" i="45"/>
  <c r="R37" i="45"/>
  <c r="R36" i="45"/>
  <c r="R32" i="45"/>
  <c r="R28" i="45"/>
  <c r="X12" i="45"/>
  <c r="R104" i="45"/>
  <c r="R97" i="45"/>
  <c r="R89" i="45"/>
  <c r="R85" i="45"/>
  <c r="R81" i="45"/>
  <c r="R69" i="45"/>
  <c r="R58" i="45"/>
  <c r="R57" i="45"/>
  <c r="R33" i="45"/>
  <c r="R29" i="45"/>
  <c r="L25" i="45"/>
  <c r="N25" i="45" s="1"/>
  <c r="Z26" i="45"/>
  <c r="R35" i="45"/>
  <c r="R52" i="45"/>
  <c r="R63" i="45"/>
  <c r="R87" i="45"/>
  <c r="V73" i="39"/>
  <c r="V89" i="39"/>
  <c r="V93" i="39"/>
  <c r="V125" i="39"/>
  <c r="V54" i="42"/>
  <c r="J70" i="42"/>
  <c r="N82" i="42"/>
  <c r="Z112" i="42"/>
  <c r="V104" i="45"/>
  <c r="V90" i="45"/>
  <c r="V86" i="45"/>
  <c r="V82" i="45"/>
  <c r="V70" i="45"/>
  <c r="V62" i="45"/>
  <c r="V50" i="45"/>
  <c r="V34" i="45"/>
  <c r="V30" i="45"/>
  <c r="V26" i="45"/>
  <c r="V98" i="45"/>
  <c r="V61" i="45"/>
  <c r="V49" i="45"/>
  <c r="V25" i="45"/>
  <c r="V21" i="45"/>
  <c r="V100" i="45"/>
  <c r="V92" i="45"/>
  <c r="V76" i="45"/>
  <c r="V64" i="45"/>
  <c r="V52" i="45"/>
  <c r="V44" i="45"/>
  <c r="V40" i="45"/>
  <c r="T23" i="45"/>
  <c r="V87" i="45"/>
  <c r="V83" i="45"/>
  <c r="V71" i="45"/>
  <c r="V63" i="45"/>
  <c r="V51" i="45"/>
  <c r="V35" i="45"/>
  <c r="V93" i="45"/>
  <c r="V77" i="45"/>
  <c r="V73" i="45"/>
  <c r="V65" i="45"/>
  <c r="V53" i="45"/>
  <c r="V45" i="45"/>
  <c r="V41" i="45"/>
  <c r="V37" i="45"/>
  <c r="V96" i="45"/>
  <c r="V88" i="45"/>
  <c r="V84" i="45"/>
  <c r="V80" i="45"/>
  <c r="V72" i="45"/>
  <c r="V68" i="45"/>
  <c r="V56" i="45"/>
  <c r="V36" i="45"/>
  <c r="V32" i="45"/>
  <c r="V28" i="45"/>
  <c r="Z12" i="45"/>
  <c r="V95" i="45"/>
  <c r="V79" i="45"/>
  <c r="V67" i="45"/>
  <c r="V55" i="45"/>
  <c r="V19" i="45"/>
  <c r="V60" i="45"/>
  <c r="V48" i="45"/>
  <c r="V20" i="45"/>
  <c r="Z52" i="45"/>
  <c r="V54" i="45"/>
  <c r="N58" i="45"/>
  <c r="R71" i="45"/>
  <c r="R80" i="45"/>
  <c r="L94" i="45"/>
  <c r="N94" i="45" s="1"/>
  <c r="X54" i="42"/>
  <c r="Z54" i="42" s="1"/>
  <c r="L60" i="42"/>
  <c r="N60" i="42" s="1"/>
  <c r="X66" i="42"/>
  <c r="Z66" i="42" s="1"/>
  <c r="J73" i="42"/>
  <c r="J79" i="42"/>
  <c r="N91" i="42"/>
  <c r="V104" i="42"/>
  <c r="V112" i="42"/>
  <c r="X117" i="42"/>
  <c r="Z117" i="42" s="1"/>
  <c r="P115" i="42"/>
  <c r="X115" i="42" s="1"/>
  <c r="Z115" i="42" s="1"/>
  <c r="R19" i="45"/>
  <c r="R25" i="45"/>
  <c r="R31" i="45"/>
  <c r="V33" i="45"/>
  <c r="V43" i="45"/>
  <c r="V47" i="45"/>
  <c r="R56" i="45"/>
  <c r="R67" i="45"/>
  <c r="V63" i="39"/>
  <c r="V71" i="39"/>
  <c r="V87" i="39"/>
  <c r="V99" i="39"/>
  <c r="V103" i="39"/>
  <c r="V107" i="39"/>
  <c r="V115" i="39"/>
  <c r="J104" i="42"/>
  <c r="J84" i="42"/>
  <c r="J111" i="42"/>
  <c r="J99" i="42"/>
  <c r="J95" i="42"/>
  <c r="J71" i="42"/>
  <c r="J59" i="42"/>
  <c r="J112" i="42"/>
  <c r="J90" i="42"/>
  <c r="J116" i="42"/>
  <c r="J115" i="42"/>
  <c r="J107" i="42"/>
  <c r="J75" i="42"/>
  <c r="J63" i="42"/>
  <c r="J117" i="42"/>
  <c r="J108" i="42"/>
  <c r="J86" i="42"/>
  <c r="J118" i="42"/>
  <c r="J109" i="42"/>
  <c r="J101" i="42"/>
  <c r="J97" i="42"/>
  <c r="J93" i="42"/>
  <c r="J81" i="42"/>
  <c r="J65" i="42"/>
  <c r="J110" i="42"/>
  <c r="J102" i="42"/>
  <c r="J98" i="42"/>
  <c r="J94" i="42"/>
  <c r="J88" i="42"/>
  <c r="J68" i="42"/>
  <c r="V32" i="42"/>
  <c r="V36" i="42"/>
  <c r="J40" i="42"/>
  <c r="J44" i="42"/>
  <c r="J48" i="42"/>
  <c r="V52" i="42"/>
  <c r="L72" i="42"/>
  <c r="J76" i="42"/>
  <c r="X82" i="42"/>
  <c r="Z82" i="42" s="1"/>
  <c r="J91" i="42"/>
  <c r="J106" i="42"/>
  <c r="V115" i="42"/>
  <c r="F95" i="45"/>
  <c r="F94" i="45"/>
  <c r="F79" i="45"/>
  <c r="F78" i="45"/>
  <c r="F67" i="45"/>
  <c r="F66" i="45"/>
  <c r="F55" i="45"/>
  <c r="F54" i="45"/>
  <c r="F19" i="45"/>
  <c r="F18" i="45"/>
  <c r="F74" i="45"/>
  <c r="F73" i="45"/>
  <c r="F46" i="45"/>
  <c r="F42" i="45"/>
  <c r="F38" i="45"/>
  <c r="F37" i="45"/>
  <c r="F104" i="45"/>
  <c r="F97" i="45"/>
  <c r="F96" i="45"/>
  <c r="F89" i="45"/>
  <c r="F85" i="45"/>
  <c r="F81" i="45"/>
  <c r="F80" i="45"/>
  <c r="F69" i="45"/>
  <c r="F68" i="45"/>
  <c r="F57" i="45"/>
  <c r="F56" i="45"/>
  <c r="F33" i="45"/>
  <c r="F29" i="45"/>
  <c r="F98" i="45"/>
  <c r="F90" i="45"/>
  <c r="F86" i="45"/>
  <c r="F82" i="45"/>
  <c r="F70" i="45"/>
  <c r="F34" i="45"/>
  <c r="F30" i="45"/>
  <c r="F61" i="45"/>
  <c r="F60" i="45"/>
  <c r="F49" i="45"/>
  <c r="F48" i="45"/>
  <c r="F21" i="45"/>
  <c r="F92" i="45"/>
  <c r="F91" i="45"/>
  <c r="F76" i="45"/>
  <c r="F44" i="45"/>
  <c r="F40" i="45"/>
  <c r="F93" i="45"/>
  <c r="F77" i="45"/>
  <c r="F65" i="45"/>
  <c r="F64" i="45"/>
  <c r="F53" i="45"/>
  <c r="F52" i="45"/>
  <c r="F45" i="45"/>
  <c r="F41" i="45"/>
  <c r="D23" i="45"/>
  <c r="F27" i="45"/>
  <c r="V31" i="45"/>
  <c r="F36" i="45"/>
  <c r="V39" i="45"/>
  <c r="F51" i="45"/>
  <c r="Z58" i="45"/>
  <c r="F62" i="45"/>
  <c r="L64" i="45"/>
  <c r="N64" i="45" s="1"/>
  <c r="V69" i="45"/>
  <c r="V75" i="45"/>
  <c r="V85" i="45"/>
  <c r="F88" i="45"/>
  <c r="V45" i="48"/>
  <c r="D12" i="51"/>
  <c r="L14" i="51"/>
  <c r="J18" i="45"/>
  <c r="J28" i="45"/>
  <c r="J32" i="45"/>
  <c r="J36" i="45"/>
  <c r="J54" i="45"/>
  <c r="J66" i="45"/>
  <c r="J72" i="45"/>
  <c r="J78" i="45"/>
  <c r="J84" i="45"/>
  <c r="J88" i="45"/>
  <c r="J94" i="45"/>
  <c r="L12" i="48"/>
  <c r="L19" i="48"/>
  <c r="N19" i="48" s="1"/>
  <c r="Z20" i="48"/>
  <c r="F25" i="48"/>
  <c r="F61" i="48"/>
  <c r="V101" i="51"/>
  <c r="V36" i="56"/>
  <c r="J23" i="45"/>
  <c r="J25" i="45"/>
  <c r="J27" i="45"/>
  <c r="J31" i="45"/>
  <c r="J35" i="45"/>
  <c r="J51" i="45"/>
  <c r="J63" i="45"/>
  <c r="J71" i="45"/>
  <c r="J83" i="45"/>
  <c r="J87" i="45"/>
  <c r="J100" i="45"/>
  <c r="F21" i="48"/>
  <c r="F44" i="48"/>
  <c r="L46" i="48"/>
  <c r="F73" i="48"/>
  <c r="N82" i="51"/>
  <c r="X92" i="51"/>
  <c r="V72" i="56"/>
  <c r="V64" i="56"/>
  <c r="V48" i="56"/>
  <c r="V74" i="56"/>
  <c r="V66" i="56"/>
  <c r="V50" i="56"/>
  <c r="V26" i="56"/>
  <c r="V22" i="56"/>
  <c r="Z12" i="56"/>
  <c r="V49" i="56"/>
  <c r="V41" i="56"/>
  <c r="V51" i="56"/>
  <c r="V43" i="56"/>
  <c r="V27" i="56"/>
  <c r="V23" i="56"/>
  <c r="V62" i="56"/>
  <c r="V54" i="56"/>
  <c r="V42" i="56"/>
  <c r="V69" i="56"/>
  <c r="V61" i="56"/>
  <c r="V53" i="56"/>
  <c r="V45" i="56"/>
  <c r="V37" i="56"/>
  <c r="V33" i="56"/>
  <c r="V87" i="56"/>
  <c r="V84" i="56"/>
  <c r="V82" i="56"/>
  <c r="V56" i="56"/>
  <c r="V44" i="56"/>
  <c r="V71" i="56"/>
  <c r="V63" i="56"/>
  <c r="V55" i="56"/>
  <c r="V19" i="56"/>
  <c r="V17" i="56"/>
  <c r="V15" i="56"/>
  <c r="V70" i="56"/>
  <c r="V58" i="56"/>
  <c r="V46" i="56"/>
  <c r="V38" i="56"/>
  <c r="V34" i="56"/>
  <c r="V30" i="56"/>
  <c r="T17" i="56"/>
  <c r="V32" i="56"/>
  <c r="V78" i="56"/>
  <c r="V75" i="56"/>
  <c r="V68" i="56"/>
  <c r="V47" i="56"/>
  <c r="V29" i="56"/>
  <c r="V65" i="56"/>
  <c r="V60" i="56"/>
  <c r="V39" i="56"/>
  <c r="V35" i="56"/>
  <c r="V31" i="56"/>
  <c r="V24" i="56"/>
  <c r="V21" i="56"/>
  <c r="V67" i="56"/>
  <c r="V59" i="56"/>
  <c r="V25" i="56"/>
  <c r="N66" i="59"/>
  <c r="J40" i="45"/>
  <c r="J44" i="45"/>
  <c r="J50" i="45"/>
  <c r="J62" i="45"/>
  <c r="J76" i="45"/>
  <c r="J92" i="45"/>
  <c r="N46" i="48"/>
  <c r="V68" i="51"/>
  <c r="J21" i="45"/>
  <c r="J49" i="45"/>
  <c r="J61" i="45"/>
  <c r="J91" i="45"/>
  <c r="X100" i="45"/>
  <c r="F17" i="48"/>
  <c r="F30" i="48"/>
  <c r="J46" i="48"/>
  <c r="F55" i="48"/>
  <c r="V64" i="51"/>
  <c r="Z76" i="51"/>
  <c r="Z78" i="51"/>
  <c r="V92" i="51"/>
  <c r="X30" i="56"/>
  <c r="H75" i="48"/>
  <c r="N55" i="48"/>
  <c r="L55" i="48"/>
  <c r="V100" i="51"/>
  <c r="V84" i="51"/>
  <c r="V76" i="51"/>
  <c r="V60" i="51"/>
  <c r="V56" i="51"/>
  <c r="V52" i="51"/>
  <c r="V95" i="51"/>
  <c r="V87" i="51"/>
  <c r="V75" i="51"/>
  <c r="V51" i="51"/>
  <c r="V47" i="51"/>
  <c r="V43" i="51"/>
  <c r="V39" i="51"/>
  <c r="V35" i="51"/>
  <c r="V104" i="51"/>
  <c r="V102" i="51"/>
  <c r="V86" i="51"/>
  <c r="V78" i="51"/>
  <c r="V70" i="51"/>
  <c r="V66" i="51"/>
  <c r="T49" i="51"/>
  <c r="V49" i="51" s="1"/>
  <c r="V105" i="51"/>
  <c r="V89" i="51"/>
  <c r="V77" i="51"/>
  <c r="V61" i="51"/>
  <c r="V57" i="51"/>
  <c r="V53" i="51"/>
  <c r="V106" i="51"/>
  <c r="V96" i="51"/>
  <c r="V88" i="51"/>
  <c r="V80" i="51"/>
  <c r="V44" i="51"/>
  <c r="V40" i="51"/>
  <c r="V36" i="51"/>
  <c r="V79" i="51"/>
  <c r="V71" i="51"/>
  <c r="V67" i="51"/>
  <c r="V63" i="51"/>
  <c r="V90" i="51"/>
  <c r="V82" i="51"/>
  <c r="V62" i="51"/>
  <c r="V58" i="51"/>
  <c r="V54" i="51"/>
  <c r="V97" i="51"/>
  <c r="V81" i="51"/>
  <c r="V45" i="51"/>
  <c r="V41" i="51"/>
  <c r="V37" i="51"/>
  <c r="V33" i="51"/>
  <c r="V98" i="51"/>
  <c r="V94" i="51"/>
  <c r="V74" i="51"/>
  <c r="V46" i="51"/>
  <c r="V42" i="51"/>
  <c r="V38" i="51"/>
  <c r="V34" i="51"/>
  <c r="Z30" i="56"/>
  <c r="T74" i="57"/>
  <c r="Z17" i="57"/>
  <c r="X44" i="48"/>
  <c r="Z44" i="48" s="1"/>
  <c r="L51" i="51"/>
  <c r="N51" i="51" s="1"/>
  <c r="V55" i="51"/>
  <c r="N87" i="51"/>
  <c r="L87" i="51"/>
  <c r="N104" i="51"/>
  <c r="L12" i="55"/>
  <c r="J29" i="55"/>
  <c r="J19" i="55"/>
  <c r="J20" i="55"/>
  <c r="J18" i="55"/>
  <c r="J16" i="55"/>
  <c r="J14" i="55"/>
  <c r="J22" i="55"/>
  <c r="J35" i="55"/>
  <c r="J23" i="55"/>
  <c r="J24" i="55"/>
  <c r="J26" i="55"/>
  <c r="J27" i="55"/>
  <c r="J25" i="55"/>
  <c r="J31" i="55"/>
  <c r="J40" i="55"/>
  <c r="J28" i="55"/>
  <c r="J21" i="55"/>
  <c r="J37" i="55"/>
  <c r="H16" i="55"/>
  <c r="N12" i="55"/>
  <c r="L54" i="56"/>
  <c r="J58" i="45"/>
  <c r="F36" i="48"/>
  <c r="X46" i="48"/>
  <c r="Z46" i="48" s="1"/>
  <c r="N72" i="48"/>
  <c r="V73" i="51"/>
  <c r="J104" i="51"/>
  <c r="V52" i="56"/>
  <c r="J29" i="45"/>
  <c r="J33" i="45"/>
  <c r="J57" i="45"/>
  <c r="J69" i="45"/>
  <c r="J81" i="45"/>
  <c r="J85" i="45"/>
  <c r="J89" i="45"/>
  <c r="J97" i="45"/>
  <c r="J104" i="45"/>
  <c r="F15" i="48"/>
  <c r="F20" i="48"/>
  <c r="F22" i="48"/>
  <c r="F40" i="48"/>
  <c r="F45" i="48"/>
  <c r="F57" i="48"/>
  <c r="J62" i="48"/>
  <c r="J72" i="48"/>
  <c r="V93" i="51"/>
  <c r="V20" i="56"/>
  <c r="J38" i="45"/>
  <c r="J42" i="45"/>
  <c r="J46" i="45"/>
  <c r="J56" i="45"/>
  <c r="J68" i="45"/>
  <c r="J74" i="45"/>
  <c r="J80" i="45"/>
  <c r="J96" i="45"/>
  <c r="F77" i="48"/>
  <c r="F65" i="48"/>
  <c r="F64" i="48"/>
  <c r="F49" i="48"/>
  <c r="F48" i="48"/>
  <c r="F59" i="48"/>
  <c r="F27" i="48"/>
  <c r="F23" i="48"/>
  <c r="F41" i="48"/>
  <c r="F37" i="48"/>
  <c r="F33" i="48"/>
  <c r="F68" i="48"/>
  <c r="F67" i="48"/>
  <c r="F60" i="48"/>
  <c r="F52" i="48"/>
  <c r="F51" i="48"/>
  <c r="F28" i="48"/>
  <c r="F24" i="48"/>
  <c r="F43" i="48"/>
  <c r="F42" i="48"/>
  <c r="F70" i="48"/>
  <c r="F69" i="48"/>
  <c r="F54" i="48"/>
  <c r="F53" i="48"/>
  <c r="F38" i="48"/>
  <c r="F34" i="48"/>
  <c r="F72" i="48"/>
  <c r="F63" i="48"/>
  <c r="F62" i="48"/>
  <c r="F47" i="48"/>
  <c r="F46" i="48"/>
  <c r="F39" i="48"/>
  <c r="F35" i="48"/>
  <c r="D17" i="48"/>
  <c r="N15" i="48"/>
  <c r="L15" i="48"/>
  <c r="F66" i="48"/>
  <c r="V69" i="51"/>
  <c r="V91" i="51"/>
  <c r="J33" i="55"/>
  <c r="V40" i="56"/>
  <c r="N48" i="57"/>
  <c r="N62" i="57"/>
  <c r="N12" i="48"/>
  <c r="J22" i="48"/>
  <c r="J26" i="48"/>
  <c r="J30" i="48"/>
  <c r="J48" i="48"/>
  <c r="J58" i="48"/>
  <c r="J64" i="48"/>
  <c r="J54" i="51"/>
  <c r="J58" i="51"/>
  <c r="J62" i="51"/>
  <c r="J80" i="51"/>
  <c r="J90" i="51"/>
  <c r="J108" i="51"/>
  <c r="Z15" i="57"/>
  <c r="Z54" i="58"/>
  <c r="T59" i="60"/>
  <c r="X59" i="60" s="1"/>
  <c r="Z16" i="60"/>
  <c r="J15" i="48"/>
  <c r="J17" i="48"/>
  <c r="J19" i="48"/>
  <c r="J21" i="48"/>
  <c r="J25" i="48"/>
  <c r="J29" i="48"/>
  <c r="J45" i="48"/>
  <c r="J55" i="48"/>
  <c r="J61" i="48"/>
  <c r="J49" i="51"/>
  <c r="J51" i="51"/>
  <c r="J53" i="51"/>
  <c r="J57" i="51"/>
  <c r="J61" i="51"/>
  <c r="J77" i="51"/>
  <c r="J87" i="51"/>
  <c r="Z29" i="54"/>
  <c r="F80" i="56"/>
  <c r="F78" i="56"/>
  <c r="F69" i="56"/>
  <c r="F61" i="56"/>
  <c r="F53" i="56"/>
  <c r="F52" i="56"/>
  <c r="F37" i="56"/>
  <c r="F33" i="56"/>
  <c r="F63" i="56"/>
  <c r="F62" i="56"/>
  <c r="F55" i="56"/>
  <c r="F54" i="56"/>
  <c r="F70" i="56"/>
  <c r="F46" i="56"/>
  <c r="F45" i="56"/>
  <c r="F38" i="56"/>
  <c r="F34" i="56"/>
  <c r="F72" i="56"/>
  <c r="F71" i="56"/>
  <c r="F64" i="56"/>
  <c r="F19" i="56"/>
  <c r="F17" i="56"/>
  <c r="F15" i="56"/>
  <c r="F59" i="56"/>
  <c r="F58" i="56"/>
  <c r="F47" i="56"/>
  <c r="F39" i="56"/>
  <c r="F35" i="56"/>
  <c r="F31" i="56"/>
  <c r="F30" i="56"/>
  <c r="D17" i="56"/>
  <c r="F74" i="56"/>
  <c r="F73" i="56"/>
  <c r="F66" i="56"/>
  <c r="F65" i="56"/>
  <c r="F26" i="56"/>
  <c r="F22" i="56"/>
  <c r="L12" i="56"/>
  <c r="F49" i="56"/>
  <c r="F48" i="56"/>
  <c r="F76" i="56"/>
  <c r="F75" i="56"/>
  <c r="F68" i="56"/>
  <c r="F67" i="56"/>
  <c r="F60" i="56"/>
  <c r="F40" i="56"/>
  <c r="F36" i="56"/>
  <c r="F32" i="56"/>
  <c r="F51" i="56"/>
  <c r="F50" i="56"/>
  <c r="F27" i="56"/>
  <c r="F23" i="56"/>
  <c r="F24" i="56"/>
  <c r="Z48" i="56"/>
  <c r="F82" i="56"/>
  <c r="N49" i="58"/>
  <c r="F51" i="58"/>
  <c r="L58" i="58"/>
  <c r="N58" i="58" s="1"/>
  <c r="Z63" i="58"/>
  <c r="Z18" i="59"/>
  <c r="J20" i="48"/>
  <c r="J34" i="48"/>
  <c r="J38" i="48"/>
  <c r="J44" i="48"/>
  <c r="J54" i="48"/>
  <c r="J70" i="48"/>
  <c r="J52" i="51"/>
  <c r="J66" i="51"/>
  <c r="J70" i="51"/>
  <c r="J76" i="51"/>
  <c r="J86" i="51"/>
  <c r="J102" i="51"/>
  <c r="N56" i="57"/>
  <c r="N64" i="57"/>
  <c r="J43" i="48"/>
  <c r="J53" i="48"/>
  <c r="J69" i="48"/>
  <c r="J35" i="51"/>
  <c r="J39" i="51"/>
  <c r="J43" i="51"/>
  <c r="J47" i="51"/>
  <c r="J75" i="51"/>
  <c r="J85" i="51"/>
  <c r="J95" i="51"/>
  <c r="J101" i="51"/>
  <c r="N62" i="56"/>
  <c r="L17" i="57"/>
  <c r="N45" i="57"/>
  <c r="L56" i="57"/>
  <c r="L64" i="57"/>
  <c r="J24" i="48"/>
  <c r="J28" i="48"/>
  <c r="J42" i="48"/>
  <c r="J52" i="48"/>
  <c r="J60" i="48"/>
  <c r="J68" i="48"/>
  <c r="J56" i="51"/>
  <c r="J60" i="51"/>
  <c r="J74" i="51"/>
  <c r="J84" i="51"/>
  <c r="J94" i="51"/>
  <c r="J100" i="51"/>
  <c r="Z18" i="54"/>
  <c r="N18" i="55"/>
  <c r="Z56" i="56"/>
  <c r="L62" i="56"/>
  <c r="N30" i="57"/>
  <c r="J65" i="51"/>
  <c r="J69" i="51"/>
  <c r="J73" i="51"/>
  <c r="J93" i="51"/>
  <c r="J99" i="51"/>
  <c r="F24" i="54"/>
  <c r="D16" i="54"/>
  <c r="F31" i="54"/>
  <c r="F29" i="54"/>
  <c r="F28" i="54"/>
  <c r="F26" i="54"/>
  <c r="L12" i="54"/>
  <c r="T64" i="61"/>
  <c r="J50" i="48"/>
  <c r="J66" i="48"/>
  <c r="J34" i="51"/>
  <c r="J38" i="51"/>
  <c r="J42" i="51"/>
  <c r="J46" i="51"/>
  <c r="J92" i="51"/>
  <c r="J98" i="51"/>
  <c r="J112" i="51"/>
  <c r="J115" i="51"/>
  <c r="F16" i="54"/>
  <c r="F20" i="54"/>
  <c r="X28" i="54"/>
  <c r="F57" i="56"/>
  <c r="Z58" i="56"/>
  <c r="F84" i="56"/>
  <c r="R67" i="57"/>
  <c r="R59" i="57"/>
  <c r="R52" i="57"/>
  <c r="R51" i="57"/>
  <c r="R27" i="57"/>
  <c r="R23" i="57"/>
  <c r="R71" i="57"/>
  <c r="R53" i="57"/>
  <c r="R37" i="57"/>
  <c r="R33" i="57"/>
  <c r="R72" i="57"/>
  <c r="R60" i="57"/>
  <c r="R45" i="57"/>
  <c r="R44" i="57"/>
  <c r="R28" i="57"/>
  <c r="R24" i="57"/>
  <c r="R74" i="57"/>
  <c r="R20" i="57"/>
  <c r="R54" i="57"/>
  <c r="R46" i="57"/>
  <c r="R38" i="57"/>
  <c r="R34" i="57"/>
  <c r="R19" i="57"/>
  <c r="R17" i="57"/>
  <c r="R15" i="57"/>
  <c r="R62" i="57"/>
  <c r="R61" i="57"/>
  <c r="R30" i="57"/>
  <c r="R29" i="57"/>
  <c r="R25" i="57"/>
  <c r="R21" i="57"/>
  <c r="P17" i="57"/>
  <c r="R76" i="57"/>
  <c r="R81" i="57"/>
  <c r="R78" i="57"/>
  <c r="R64" i="57"/>
  <c r="R63" i="57"/>
  <c r="R56" i="57"/>
  <c r="R55" i="57"/>
  <c r="R48" i="57"/>
  <c r="R47" i="57"/>
  <c r="R39" i="57"/>
  <c r="R35" i="57"/>
  <c r="R31" i="57"/>
  <c r="R26" i="57"/>
  <c r="R22" i="57"/>
  <c r="X12" i="57"/>
  <c r="R66" i="57"/>
  <c r="R65" i="57"/>
  <c r="R58" i="57"/>
  <c r="R57" i="57"/>
  <c r="R50" i="57"/>
  <c r="R49" i="57"/>
  <c r="R32" i="57"/>
  <c r="R43" i="57"/>
  <c r="Z52" i="57"/>
  <c r="R69" i="57"/>
  <c r="D74" i="57"/>
  <c r="J33" i="51"/>
  <c r="J55" i="51"/>
  <c r="J59" i="51"/>
  <c r="X78" i="51"/>
  <c r="J83" i="51"/>
  <c r="J91" i="51"/>
  <c r="Z28" i="54"/>
  <c r="Z23" i="55"/>
  <c r="Z41" i="56"/>
  <c r="R36" i="57"/>
  <c r="Z43" i="57"/>
  <c r="F59" i="58"/>
  <c r="F58" i="58"/>
  <c r="F27" i="58"/>
  <c r="F23" i="58"/>
  <c r="F83" i="58"/>
  <c r="F80" i="58"/>
  <c r="F53" i="58"/>
  <c r="F37" i="58"/>
  <c r="F33" i="58"/>
  <c r="F68" i="58"/>
  <c r="F67" i="58"/>
  <c r="F60" i="58"/>
  <c r="F44" i="58"/>
  <c r="F43" i="58"/>
  <c r="F28" i="58"/>
  <c r="F24" i="58"/>
  <c r="F20" i="58"/>
  <c r="F19" i="58"/>
  <c r="F55" i="58"/>
  <c r="F54" i="58"/>
  <c r="F18" i="58"/>
  <c r="F16" i="58"/>
  <c r="F14" i="58"/>
  <c r="F70" i="58"/>
  <c r="F69" i="58"/>
  <c r="F62" i="58"/>
  <c r="F61" i="58"/>
  <c r="F46" i="58"/>
  <c r="F45" i="58"/>
  <c r="F38" i="58"/>
  <c r="F34" i="58"/>
  <c r="D16" i="58"/>
  <c r="F29" i="58"/>
  <c r="F25" i="58"/>
  <c r="F21" i="58"/>
  <c r="F72" i="58"/>
  <c r="F71" i="58"/>
  <c r="F64" i="58"/>
  <c r="F63" i="58"/>
  <c r="F56" i="58"/>
  <c r="F48" i="58"/>
  <c r="F47" i="58"/>
  <c r="F39" i="58"/>
  <c r="F35" i="58"/>
  <c r="F31" i="58"/>
  <c r="F30" i="58"/>
  <c r="F50" i="58"/>
  <c r="F49" i="58"/>
  <c r="F26" i="58"/>
  <c r="F22" i="58"/>
  <c r="F76" i="58"/>
  <c r="F74" i="58"/>
  <c r="F65" i="58"/>
  <c r="F57" i="58"/>
  <c r="P76" i="58"/>
  <c r="J32" i="48"/>
  <c r="J36" i="48"/>
  <c r="J64" i="51"/>
  <c r="J68" i="51"/>
  <c r="J72" i="51"/>
  <c r="J82" i="51"/>
  <c r="X12" i="54"/>
  <c r="R22" i="54"/>
  <c r="R20" i="54"/>
  <c r="R18" i="54"/>
  <c r="R16" i="54"/>
  <c r="R14" i="54"/>
  <c r="P16" i="54"/>
  <c r="R31" i="54"/>
  <c r="R29" i="54"/>
  <c r="R28" i="54"/>
  <c r="R26" i="54"/>
  <c r="T16" i="54"/>
  <c r="L27" i="55"/>
  <c r="N19" i="56"/>
  <c r="Z20" i="56"/>
  <c r="Z45" i="56"/>
  <c r="L52" i="56"/>
  <c r="N52" i="56" s="1"/>
  <c r="Z73" i="56"/>
  <c r="P84" i="56"/>
  <c r="R40" i="57"/>
  <c r="F32" i="58"/>
  <c r="F52" i="58"/>
  <c r="P71" i="59"/>
  <c r="H16" i="54"/>
  <c r="T16" i="55"/>
  <c r="R19" i="55"/>
  <c r="F26" i="55"/>
  <c r="F37" i="55"/>
  <c r="F40" i="55"/>
  <c r="R55" i="56"/>
  <c r="R56" i="56"/>
  <c r="R63" i="56"/>
  <c r="R84" i="56"/>
  <c r="R87" i="56"/>
  <c r="H17" i="57"/>
  <c r="F20" i="57"/>
  <c r="F21" i="57"/>
  <c r="F25" i="57"/>
  <c r="F29" i="57"/>
  <c r="J30" i="57"/>
  <c r="V32" i="57"/>
  <c r="V36" i="57"/>
  <c r="V40" i="57"/>
  <c r="V52" i="57"/>
  <c r="F61" i="57"/>
  <c r="J62" i="57"/>
  <c r="F74" i="57"/>
  <c r="J76" i="57"/>
  <c r="N12" i="58"/>
  <c r="R14" i="58"/>
  <c r="R16" i="58"/>
  <c r="R18" i="58"/>
  <c r="V20" i="58"/>
  <c r="V24" i="58"/>
  <c r="V28" i="58"/>
  <c r="J32" i="58"/>
  <c r="R33" i="58"/>
  <c r="J36" i="58"/>
  <c r="R37" i="58"/>
  <c r="J40" i="58"/>
  <c r="V44" i="58"/>
  <c r="J52" i="58"/>
  <c r="R53" i="58"/>
  <c r="R54" i="58"/>
  <c r="J58" i="58"/>
  <c r="V60" i="58"/>
  <c r="V68" i="58"/>
  <c r="J78" i="58"/>
  <c r="N12" i="59"/>
  <c r="R14" i="59"/>
  <c r="R16" i="59"/>
  <c r="R18" i="59"/>
  <c r="V20" i="59"/>
  <c r="V24" i="59"/>
  <c r="V28" i="59"/>
  <c r="J32" i="59"/>
  <c r="R33" i="59"/>
  <c r="J36" i="59"/>
  <c r="R37" i="59"/>
  <c r="J40" i="59"/>
  <c r="V44" i="59"/>
  <c r="J47" i="59"/>
  <c r="L50" i="59"/>
  <c r="N50" i="59" s="1"/>
  <c r="R52" i="59"/>
  <c r="F54" i="59"/>
  <c r="R55" i="59"/>
  <c r="J60" i="59"/>
  <c r="R64" i="59"/>
  <c r="L66" i="59"/>
  <c r="R67" i="59"/>
  <c r="D59" i="60"/>
  <c r="L16" i="60"/>
  <c r="V16" i="60"/>
  <c r="X40" i="60"/>
  <c r="V45" i="60"/>
  <c r="X17" i="62"/>
  <c r="P103" i="62"/>
  <c r="J14" i="54"/>
  <c r="J16" i="54"/>
  <c r="J18" i="54"/>
  <c r="J20" i="54"/>
  <c r="V14" i="55"/>
  <c r="V16" i="55"/>
  <c r="V18" i="55"/>
  <c r="R24" i="56"/>
  <c r="R28" i="56"/>
  <c r="R44" i="56"/>
  <c r="R45" i="56"/>
  <c r="R82" i="56"/>
  <c r="J15" i="57"/>
  <c r="J17" i="57"/>
  <c r="J19" i="57"/>
  <c r="J21" i="57"/>
  <c r="J25" i="57"/>
  <c r="J29" i="57"/>
  <c r="F34" i="57"/>
  <c r="F38" i="57"/>
  <c r="V41" i="57"/>
  <c r="F45" i="57"/>
  <c r="F46" i="57"/>
  <c r="V49" i="57"/>
  <c r="F54" i="57"/>
  <c r="V57" i="57"/>
  <c r="J61" i="57"/>
  <c r="V65" i="57"/>
  <c r="T16" i="58"/>
  <c r="R19" i="58"/>
  <c r="V33" i="58"/>
  <c r="V37" i="58"/>
  <c r="R42" i="58"/>
  <c r="R43" i="58"/>
  <c r="V45" i="58"/>
  <c r="J51" i="58"/>
  <c r="V53" i="58"/>
  <c r="J57" i="58"/>
  <c r="V61" i="58"/>
  <c r="J65" i="58"/>
  <c r="R66" i="58"/>
  <c r="R67" i="58"/>
  <c r="V69" i="58"/>
  <c r="R71" i="59"/>
  <c r="R69" i="59"/>
  <c r="R59" i="59"/>
  <c r="R58" i="59"/>
  <c r="R53" i="59"/>
  <c r="R66" i="59"/>
  <c r="R65" i="59"/>
  <c r="R57" i="59"/>
  <c r="R50" i="59"/>
  <c r="R49" i="59"/>
  <c r="T16" i="59"/>
  <c r="X16" i="59" s="1"/>
  <c r="R19" i="59"/>
  <c r="F22" i="59"/>
  <c r="F26" i="59"/>
  <c r="V33" i="59"/>
  <c r="R42" i="59"/>
  <c r="R43" i="59"/>
  <c r="F46" i="59"/>
  <c r="R48" i="59"/>
  <c r="F50" i="59"/>
  <c r="R51" i="59"/>
  <c r="J54" i="59"/>
  <c r="R61" i="59"/>
  <c r="F63" i="59"/>
  <c r="F66" i="59"/>
  <c r="J71" i="59"/>
  <c r="R27" i="60"/>
  <c r="Z40" i="60"/>
  <c r="L48" i="61"/>
  <c r="N48" i="61"/>
  <c r="P12" i="64"/>
  <c r="X13" i="64"/>
  <c r="V56" i="66"/>
  <c r="J54" i="57"/>
  <c r="V66" i="57"/>
  <c r="F72" i="57"/>
  <c r="J74" i="57"/>
  <c r="V14" i="58"/>
  <c r="V16" i="58"/>
  <c r="V18" i="58"/>
  <c r="J26" i="58"/>
  <c r="V42" i="58"/>
  <c r="J50" i="58"/>
  <c r="V54" i="58"/>
  <c r="R59" i="58"/>
  <c r="V66" i="58"/>
  <c r="J74" i="58"/>
  <c r="J76" i="58"/>
  <c r="R80" i="58"/>
  <c r="R83" i="58"/>
  <c r="V71" i="59"/>
  <c r="V69" i="59"/>
  <c r="V67" i="59"/>
  <c r="V61" i="59"/>
  <c r="V53" i="59"/>
  <c r="V60" i="59"/>
  <c r="V63" i="59"/>
  <c r="V55" i="59"/>
  <c r="V52" i="59"/>
  <c r="V14" i="59"/>
  <c r="V16" i="59"/>
  <c r="V18" i="59"/>
  <c r="J22" i="59"/>
  <c r="J26" i="59"/>
  <c r="F30" i="59"/>
  <c r="F31" i="59"/>
  <c r="F35" i="59"/>
  <c r="F39" i="59"/>
  <c r="V42" i="59"/>
  <c r="V51" i="59"/>
  <c r="V64" i="59"/>
  <c r="J75" i="59"/>
  <c r="V78" i="59"/>
  <c r="V27" i="60"/>
  <c r="R32" i="60"/>
  <c r="V37" i="60"/>
  <c r="R51" i="60"/>
  <c r="V55" i="60"/>
  <c r="V24" i="54"/>
  <c r="V26" i="54"/>
  <c r="V28" i="54"/>
  <c r="V29" i="54"/>
  <c r="V31" i="54"/>
  <c r="V28" i="55"/>
  <c r="F35" i="55"/>
  <c r="R42" i="56"/>
  <c r="R43" i="56"/>
  <c r="F24" i="57"/>
  <c r="F28" i="57"/>
  <c r="V31" i="57"/>
  <c r="V35" i="57"/>
  <c r="V39" i="57"/>
  <c r="F43" i="57"/>
  <c r="F44" i="57"/>
  <c r="J45" i="57"/>
  <c r="V47" i="57"/>
  <c r="V55" i="57"/>
  <c r="F60" i="57"/>
  <c r="V63" i="57"/>
  <c r="F69" i="57"/>
  <c r="F71" i="57"/>
  <c r="J72" i="57"/>
  <c r="X12" i="58"/>
  <c r="V19" i="58"/>
  <c r="V23" i="58"/>
  <c r="V27" i="58"/>
  <c r="J31" i="58"/>
  <c r="R32" i="58"/>
  <c r="J35" i="58"/>
  <c r="R36" i="58"/>
  <c r="J39" i="58"/>
  <c r="R40" i="58"/>
  <c r="R41" i="58"/>
  <c r="V43" i="58"/>
  <c r="J49" i="58"/>
  <c r="R52" i="58"/>
  <c r="V59" i="58"/>
  <c r="V67" i="58"/>
  <c r="R78" i="58"/>
  <c r="X12" i="59"/>
  <c r="V19" i="59"/>
  <c r="V23" i="59"/>
  <c r="V27" i="59"/>
  <c r="J31" i="59"/>
  <c r="R32" i="59"/>
  <c r="J35" i="59"/>
  <c r="R36" i="59"/>
  <c r="J39" i="59"/>
  <c r="R40" i="59"/>
  <c r="R41" i="59"/>
  <c r="V43" i="59"/>
  <c r="L46" i="59"/>
  <c r="R47" i="59"/>
  <c r="V48" i="59"/>
  <c r="R60" i="59"/>
  <c r="L18" i="60"/>
  <c r="N18" i="60" s="1"/>
  <c r="V32" i="60"/>
  <c r="V39" i="60"/>
  <c r="R61" i="60"/>
  <c r="X46" i="61"/>
  <c r="Z46" i="61"/>
  <c r="Z48" i="61"/>
  <c r="X48" i="61"/>
  <c r="D16" i="55"/>
  <c r="F21" i="55"/>
  <c r="F22" i="55"/>
  <c r="R26" i="55"/>
  <c r="R27" i="55"/>
  <c r="F31" i="55"/>
  <c r="F33" i="55"/>
  <c r="R23" i="56"/>
  <c r="R27" i="56"/>
  <c r="R51" i="56"/>
  <c r="R52" i="56"/>
  <c r="R78" i="56"/>
  <c r="R80" i="56"/>
  <c r="J24" i="57"/>
  <c r="J28" i="57"/>
  <c r="F33" i="57"/>
  <c r="F37" i="57"/>
  <c r="J44" i="57"/>
  <c r="V48" i="57"/>
  <c r="F52" i="57"/>
  <c r="F53" i="57"/>
  <c r="V56" i="57"/>
  <c r="J60" i="57"/>
  <c r="V64" i="57"/>
  <c r="F70" i="57"/>
  <c r="J71" i="57"/>
  <c r="V76" i="57"/>
  <c r="V78" i="57"/>
  <c r="V81" i="57"/>
  <c r="Z12" i="58"/>
  <c r="J30" i="58"/>
  <c r="V32" i="58"/>
  <c r="V36" i="58"/>
  <c r="V40" i="58"/>
  <c r="X43" i="58"/>
  <c r="Z43" i="58" s="1"/>
  <c r="J48" i="58"/>
  <c r="V52" i="58"/>
  <c r="J56" i="58"/>
  <c r="R57" i="58"/>
  <c r="R58" i="58"/>
  <c r="J64" i="58"/>
  <c r="R65" i="58"/>
  <c r="X67" i="58"/>
  <c r="Z67" i="58" s="1"/>
  <c r="J72" i="58"/>
  <c r="V78" i="58"/>
  <c r="V80" i="58"/>
  <c r="V83" i="58"/>
  <c r="Z12" i="59"/>
  <c r="X19" i="59"/>
  <c r="Z19" i="59" s="1"/>
  <c r="F21" i="59"/>
  <c r="F25" i="59"/>
  <c r="F29" i="59"/>
  <c r="J30" i="59"/>
  <c r="V32" i="59"/>
  <c r="V36" i="59"/>
  <c r="V40" i="59"/>
  <c r="X43" i="59"/>
  <c r="Z43" i="59" s="1"/>
  <c r="J45" i="59"/>
  <c r="V47" i="59"/>
  <c r="X50" i="59"/>
  <c r="Z50" i="59" s="1"/>
  <c r="R54" i="59"/>
  <c r="J59" i="59"/>
  <c r="R63" i="59"/>
  <c r="X66" i="59"/>
  <c r="Z66" i="59" s="1"/>
  <c r="R29" i="60"/>
  <c r="R42" i="60"/>
  <c r="F14" i="55"/>
  <c r="F16" i="55"/>
  <c r="F18" i="55"/>
  <c r="V26" i="55"/>
  <c r="R32" i="56"/>
  <c r="R36" i="56"/>
  <c r="R40" i="56"/>
  <c r="R41" i="56"/>
  <c r="R60" i="56"/>
  <c r="R68" i="56"/>
  <c r="R76" i="56"/>
  <c r="V21" i="57"/>
  <c r="V25" i="57"/>
  <c r="V29" i="57"/>
  <c r="J33" i="57"/>
  <c r="J37" i="57"/>
  <c r="F41" i="57"/>
  <c r="F42" i="57"/>
  <c r="J43" i="57"/>
  <c r="J53" i="57"/>
  <c r="V61" i="57"/>
  <c r="J69" i="57"/>
  <c r="J70" i="57"/>
  <c r="J21" i="58"/>
  <c r="R22" i="58"/>
  <c r="J25" i="58"/>
  <c r="R26" i="58"/>
  <c r="J29" i="58"/>
  <c r="V41" i="58"/>
  <c r="J47" i="58"/>
  <c r="R50" i="58"/>
  <c r="R51" i="58"/>
  <c r="V57" i="58"/>
  <c r="J63" i="58"/>
  <c r="V65" i="58"/>
  <c r="J71" i="58"/>
  <c r="D16" i="59"/>
  <c r="J21" i="59"/>
  <c r="R22" i="59"/>
  <c r="J25" i="59"/>
  <c r="R26" i="59"/>
  <c r="J29" i="59"/>
  <c r="F34" i="59"/>
  <c r="F38" i="59"/>
  <c r="V41" i="59"/>
  <c r="F53" i="59"/>
  <c r="V54" i="59"/>
  <c r="N56" i="59"/>
  <c r="V57" i="59"/>
  <c r="F62" i="59"/>
  <c r="J69" i="59"/>
  <c r="R75" i="59"/>
  <c r="V14" i="60"/>
  <c r="R24" i="60"/>
  <c r="R44" i="60"/>
  <c r="V46" i="60"/>
  <c r="L21" i="65"/>
  <c r="N21" i="65"/>
  <c r="J34" i="58"/>
  <c r="R35" i="58"/>
  <c r="J38" i="58"/>
  <c r="R39" i="58"/>
  <c r="J46" i="58"/>
  <c r="V50" i="58"/>
  <c r="V58" i="58"/>
  <c r="J62" i="58"/>
  <c r="J70" i="58"/>
  <c r="R74" i="58"/>
  <c r="R76" i="58"/>
  <c r="F14" i="59"/>
  <c r="F16" i="59"/>
  <c r="F18" i="59"/>
  <c r="V22" i="59"/>
  <c r="V26" i="59"/>
  <c r="R31" i="59"/>
  <c r="J34" i="59"/>
  <c r="R35" i="59"/>
  <c r="J38" i="59"/>
  <c r="R39" i="59"/>
  <c r="R46" i="59"/>
  <c r="V50" i="59"/>
  <c r="J53" i="59"/>
  <c r="J56" i="59"/>
  <c r="J62" i="59"/>
  <c r="V66" i="59"/>
  <c r="F73" i="59"/>
  <c r="R19" i="60"/>
  <c r="V29" i="60"/>
  <c r="R36" i="60"/>
  <c r="L50" i="60"/>
  <c r="N58" i="61"/>
  <c r="L58" i="61"/>
  <c r="V14" i="54"/>
  <c r="V16" i="54"/>
  <c r="V18" i="54"/>
  <c r="V20" i="54"/>
  <c r="F29" i="55"/>
  <c r="R35" i="55"/>
  <c r="X12" i="56"/>
  <c r="R22" i="56"/>
  <c r="R26" i="56"/>
  <c r="R66" i="56"/>
  <c r="R67" i="56"/>
  <c r="R74" i="56"/>
  <c r="R75" i="56"/>
  <c r="V17" i="57"/>
  <c r="V19" i="57"/>
  <c r="J23" i="57"/>
  <c r="J27" i="57"/>
  <c r="F32" i="57"/>
  <c r="F36" i="57"/>
  <c r="F40" i="57"/>
  <c r="J41" i="57"/>
  <c r="J51" i="57"/>
  <c r="J59" i="57"/>
  <c r="J67" i="57"/>
  <c r="H16" i="58"/>
  <c r="V31" i="58"/>
  <c r="V35" i="58"/>
  <c r="V39" i="58"/>
  <c r="J45" i="58"/>
  <c r="R48" i="58"/>
  <c r="R49" i="58"/>
  <c r="V51" i="58"/>
  <c r="J55" i="58"/>
  <c r="R56" i="58"/>
  <c r="J61" i="58"/>
  <c r="R64" i="58"/>
  <c r="J69" i="58"/>
  <c r="R72" i="58"/>
  <c r="H16" i="59"/>
  <c r="F19" i="59"/>
  <c r="F20" i="59"/>
  <c r="F24" i="59"/>
  <c r="F28" i="59"/>
  <c r="V31" i="59"/>
  <c r="V35" i="59"/>
  <c r="V39" i="59"/>
  <c r="F43" i="59"/>
  <c r="F44" i="59"/>
  <c r="R45" i="59"/>
  <c r="F52" i="59"/>
  <c r="X59" i="59"/>
  <c r="Z59" i="59" s="1"/>
  <c r="V75" i="59"/>
  <c r="Z19" i="60"/>
  <c r="V31" i="60"/>
  <c r="V36" i="60"/>
  <c r="V44" i="60"/>
  <c r="R22" i="55"/>
  <c r="R23" i="55"/>
  <c r="R31" i="56"/>
  <c r="R35" i="56"/>
  <c r="R39" i="56"/>
  <c r="R47" i="56"/>
  <c r="R48" i="56"/>
  <c r="R59" i="56"/>
  <c r="J32" i="57"/>
  <c r="J36" i="57"/>
  <c r="J40" i="57"/>
  <c r="V44" i="57"/>
  <c r="F48" i="57"/>
  <c r="F49" i="57"/>
  <c r="J50" i="57"/>
  <c r="F56" i="57"/>
  <c r="F57" i="57"/>
  <c r="J58" i="57"/>
  <c r="V60" i="57"/>
  <c r="F64" i="57"/>
  <c r="F65" i="57"/>
  <c r="J66" i="57"/>
  <c r="V72" i="57"/>
  <c r="V74" i="57"/>
  <c r="F78" i="57"/>
  <c r="F81" i="57"/>
  <c r="J14" i="58"/>
  <c r="J16" i="58"/>
  <c r="J18" i="58"/>
  <c r="J20" i="58"/>
  <c r="J24" i="58"/>
  <c r="J28" i="58"/>
  <c r="J44" i="58"/>
  <c r="V48" i="58"/>
  <c r="J54" i="58"/>
  <c r="V56" i="58"/>
  <c r="J60" i="58"/>
  <c r="V64" i="58"/>
  <c r="J68" i="58"/>
  <c r="V72" i="58"/>
  <c r="V74" i="58"/>
  <c r="V76" i="58"/>
  <c r="J14" i="59"/>
  <c r="J16" i="59"/>
  <c r="J18" i="59"/>
  <c r="J20" i="59"/>
  <c r="J24" i="59"/>
  <c r="J28" i="59"/>
  <c r="F33" i="59"/>
  <c r="F37" i="59"/>
  <c r="V45" i="59"/>
  <c r="V46" i="59"/>
  <c r="N52" i="59"/>
  <c r="F55" i="59"/>
  <c r="F58" i="59"/>
  <c r="V65" i="59"/>
  <c r="X69" i="59"/>
  <c r="R46" i="60"/>
  <c r="R54" i="60"/>
  <c r="R53" i="60"/>
  <c r="R59" i="60"/>
  <c r="R57" i="60"/>
  <c r="R66" i="60"/>
  <c r="R63" i="60"/>
  <c r="R25" i="60"/>
  <c r="R21" i="60"/>
  <c r="R45" i="60"/>
  <c r="R40" i="60"/>
  <c r="R39" i="60"/>
  <c r="R35" i="60"/>
  <c r="R31" i="60"/>
  <c r="R49" i="60"/>
  <c r="R26" i="60"/>
  <c r="R22" i="60"/>
  <c r="R37" i="60"/>
  <c r="R33" i="60"/>
  <c r="R18" i="60"/>
  <c r="R16" i="60"/>
  <c r="R14" i="60"/>
  <c r="R55" i="60"/>
  <c r="R52" i="60"/>
  <c r="R48" i="60"/>
  <c r="R47" i="60"/>
  <c r="R38" i="60"/>
  <c r="R34" i="60"/>
  <c r="R30" i="60"/>
  <c r="V18" i="60"/>
  <c r="R28" i="60"/>
  <c r="R50" i="60"/>
  <c r="X37" i="64"/>
  <c r="Z37" i="64" s="1"/>
  <c r="V37" i="64"/>
  <c r="F78" i="59"/>
  <c r="F75" i="59"/>
  <c r="F65" i="59"/>
  <c r="F64" i="59"/>
  <c r="F57" i="59"/>
  <c r="F56" i="59"/>
  <c r="F49" i="59"/>
  <c r="F48" i="59"/>
  <c r="F71" i="59"/>
  <c r="F69" i="59"/>
  <c r="F60" i="59"/>
  <c r="F59" i="59"/>
  <c r="F45" i="59"/>
  <c r="F41" i="59"/>
  <c r="F42" i="59"/>
  <c r="F51" i="59"/>
  <c r="F67" i="59"/>
  <c r="V53" i="60"/>
  <c r="V48" i="60"/>
  <c r="V49" i="60"/>
  <c r="V40" i="60"/>
  <c r="V66" i="60"/>
  <c r="V59" i="60"/>
  <c r="V50" i="60"/>
  <c r="V42" i="60"/>
  <c r="V26" i="60"/>
  <c r="V22" i="60"/>
  <c r="V41" i="60"/>
  <c r="V54" i="60"/>
  <c r="V51" i="60"/>
  <c r="V43" i="60"/>
  <c r="V61" i="60"/>
  <c r="V28" i="60"/>
  <c r="V24" i="60"/>
  <c r="V20" i="60"/>
  <c r="V63" i="60"/>
  <c r="V52" i="60"/>
  <c r="V47" i="60"/>
  <c r="V38" i="60"/>
  <c r="V34" i="60"/>
  <c r="V30" i="60"/>
  <c r="V57" i="60"/>
  <c r="V25" i="60"/>
  <c r="V21" i="60"/>
  <c r="H59" i="60"/>
  <c r="N16" i="60"/>
  <c r="N60" i="62"/>
  <c r="P16" i="55"/>
  <c r="R20" i="55"/>
  <c r="R21" i="55"/>
  <c r="F27" i="55"/>
  <c r="R31" i="55"/>
  <c r="R29" i="56"/>
  <c r="R30" i="56"/>
  <c r="R57" i="56"/>
  <c r="J22" i="57"/>
  <c r="J26" i="57"/>
  <c r="F30" i="57"/>
  <c r="F31" i="57"/>
  <c r="F35" i="57"/>
  <c r="F39" i="57"/>
  <c r="V42" i="57"/>
  <c r="F47" i="57"/>
  <c r="J48" i="57"/>
  <c r="F55" i="57"/>
  <c r="J56" i="57"/>
  <c r="F62" i="57"/>
  <c r="J64" i="57"/>
  <c r="J78" i="57"/>
  <c r="V30" i="58"/>
  <c r="V34" i="58"/>
  <c r="V38" i="58"/>
  <c r="J42" i="58"/>
  <c r="V46" i="58"/>
  <c r="V62" i="58"/>
  <c r="J66" i="58"/>
  <c r="J80" i="58"/>
  <c r="J63" i="59"/>
  <c r="J65" i="59"/>
  <c r="J57" i="59"/>
  <c r="J49" i="59"/>
  <c r="J66" i="59"/>
  <c r="J50" i="59"/>
  <c r="J73" i="59"/>
  <c r="J61" i="59"/>
  <c r="J46" i="59"/>
  <c r="F23" i="59"/>
  <c r="F27" i="59"/>
  <c r="V34" i="59"/>
  <c r="V38" i="59"/>
  <c r="J42" i="59"/>
  <c r="J48" i="59"/>
  <c r="J51" i="59"/>
  <c r="V62" i="59"/>
  <c r="J64" i="59"/>
  <c r="J67" i="59"/>
  <c r="V73" i="59"/>
  <c r="X12" i="60"/>
  <c r="V33" i="60"/>
  <c r="P60" i="61"/>
  <c r="X16" i="61"/>
  <c r="F45" i="60"/>
  <c r="F44" i="60"/>
  <c r="F46" i="60"/>
  <c r="L14" i="60"/>
  <c r="J19" i="60"/>
  <c r="J33" i="60"/>
  <c r="F43" i="60"/>
  <c r="F51" i="60"/>
  <c r="F54" i="60"/>
  <c r="N29" i="61"/>
  <c r="R45" i="61"/>
  <c r="Z52" i="61"/>
  <c r="F21" i="62"/>
  <c r="F28" i="62"/>
  <c r="F36" i="62"/>
  <c r="Z68" i="62"/>
  <c r="F72" i="62"/>
  <c r="F77" i="62"/>
  <c r="Z81" i="62"/>
  <c r="R89" i="62"/>
  <c r="J28" i="64"/>
  <c r="Z38" i="64"/>
  <c r="J41" i="64"/>
  <c r="J90" i="64"/>
  <c r="Z43" i="65"/>
  <c r="N56" i="66"/>
  <c r="X81" i="66"/>
  <c r="Z81" i="66" s="1"/>
  <c r="L86" i="66"/>
  <c r="N86" i="66" s="1"/>
  <c r="J66" i="60"/>
  <c r="J63" i="60"/>
  <c r="J45" i="60"/>
  <c r="J52" i="60"/>
  <c r="J53" i="60"/>
  <c r="J43" i="60"/>
  <c r="J51" i="60"/>
  <c r="R41" i="61"/>
  <c r="R37" i="62"/>
  <c r="F48" i="62"/>
  <c r="R80" i="62"/>
  <c r="R91" i="62"/>
  <c r="R100" i="62"/>
  <c r="R103" i="62"/>
  <c r="J86" i="66"/>
  <c r="N22" i="74"/>
  <c r="L22" i="74"/>
  <c r="N12" i="60"/>
  <c r="J32" i="60"/>
  <c r="J36" i="60"/>
  <c r="F40" i="60"/>
  <c r="F41" i="60"/>
  <c r="J42" i="60"/>
  <c r="J50" i="60"/>
  <c r="L18" i="61"/>
  <c r="R20" i="61"/>
  <c r="R26" i="61"/>
  <c r="R32" i="61"/>
  <c r="N50" i="61"/>
  <c r="L19" i="62"/>
  <c r="N19" i="62" s="1"/>
  <c r="F20" i="62"/>
  <c r="R21" i="62"/>
  <c r="F25" i="62"/>
  <c r="R28" i="62"/>
  <c r="F30" i="62"/>
  <c r="F33" i="62"/>
  <c r="F41" i="62"/>
  <c r="L42" i="62"/>
  <c r="L47" i="62"/>
  <c r="N47" i="62" s="1"/>
  <c r="R49" i="62"/>
  <c r="R62" i="62"/>
  <c r="Z96" i="62"/>
  <c r="J32" i="64"/>
  <c r="L62" i="64"/>
  <c r="N62" i="64" s="1"/>
  <c r="N76" i="64"/>
  <c r="X52" i="70"/>
  <c r="Z52" i="70" s="1"/>
  <c r="J59" i="60"/>
  <c r="R29" i="61"/>
  <c r="F19" i="62"/>
  <c r="F47" i="62"/>
  <c r="F69" i="62"/>
  <c r="R93" i="62"/>
  <c r="L22" i="66"/>
  <c r="D12" i="66"/>
  <c r="Z36" i="66"/>
  <c r="T54" i="66"/>
  <c r="J49" i="60"/>
  <c r="R60" i="61"/>
  <c r="R58" i="61"/>
  <c r="R48" i="61"/>
  <c r="R47" i="61"/>
  <c r="R38" i="61"/>
  <c r="R34" i="61"/>
  <c r="R30" i="61"/>
  <c r="R67" i="61"/>
  <c r="R64" i="61"/>
  <c r="R52" i="61"/>
  <c r="R51" i="61"/>
  <c r="R40" i="61"/>
  <c r="R39" i="61"/>
  <c r="R35" i="61"/>
  <c r="R31" i="61"/>
  <c r="R44" i="61"/>
  <c r="R43" i="61"/>
  <c r="R27" i="61"/>
  <c r="R23" i="61"/>
  <c r="N18" i="61"/>
  <c r="X40" i="61"/>
  <c r="Z44" i="61"/>
  <c r="L46" i="61"/>
  <c r="R42" i="62"/>
  <c r="R45" i="62"/>
  <c r="R53" i="62"/>
  <c r="N58" i="62"/>
  <c r="X64" i="62"/>
  <c r="N66" i="62"/>
  <c r="F76" i="62"/>
  <c r="R90" i="62"/>
  <c r="F97" i="62"/>
  <c r="R99" i="62"/>
  <c r="V36" i="66"/>
  <c r="H22" i="73"/>
  <c r="J17" i="73"/>
  <c r="L16" i="61"/>
  <c r="R19" i="61"/>
  <c r="R28" i="61"/>
  <c r="Z40" i="61"/>
  <c r="N46" i="61"/>
  <c r="L14" i="62"/>
  <c r="F40" i="62"/>
  <c r="F44" i="62"/>
  <c r="R61" i="62"/>
  <c r="Z64" i="62"/>
  <c r="R79" i="62"/>
  <c r="R22" i="61"/>
  <c r="R25" i="61"/>
  <c r="R50" i="61"/>
  <c r="R53" i="61"/>
  <c r="F100" i="62"/>
  <c r="F63" i="62"/>
  <c r="F62" i="62"/>
  <c r="F51" i="62"/>
  <c r="F43" i="62"/>
  <c r="F42" i="62"/>
  <c r="F15" i="62"/>
  <c r="F14" i="62"/>
  <c r="F101" i="62"/>
  <c r="F99" i="62"/>
  <c r="F90" i="62"/>
  <c r="F89" i="62"/>
  <c r="F78" i="62"/>
  <c r="F38" i="62"/>
  <c r="F34" i="62"/>
  <c r="F85" i="62"/>
  <c r="F73" i="62"/>
  <c r="F65" i="62"/>
  <c r="F64" i="62"/>
  <c r="F53" i="62"/>
  <c r="F52" i="62"/>
  <c r="F103" i="62"/>
  <c r="F92" i="62"/>
  <c r="F91" i="62"/>
  <c r="F80" i="62"/>
  <c r="F79" i="62"/>
  <c r="F105" i="62"/>
  <c r="F67" i="62"/>
  <c r="F66" i="62"/>
  <c r="F55" i="62"/>
  <c r="F54" i="62"/>
  <c r="F39" i="62"/>
  <c r="F35" i="62"/>
  <c r="D17" i="62"/>
  <c r="F94" i="62"/>
  <c r="F93" i="62"/>
  <c r="F86" i="62"/>
  <c r="F82" i="62"/>
  <c r="F81" i="62"/>
  <c r="F74" i="62"/>
  <c r="F46" i="62"/>
  <c r="F95" i="62"/>
  <c r="F87" i="62"/>
  <c r="F83" i="62"/>
  <c r="F71" i="62"/>
  <c r="F70" i="62"/>
  <c r="F59" i="62"/>
  <c r="F58" i="62"/>
  <c r="F27" i="62"/>
  <c r="F23" i="62"/>
  <c r="F17" i="62"/>
  <c r="F29" i="62"/>
  <c r="R33" i="62"/>
  <c r="R41" i="62"/>
  <c r="F50" i="62"/>
  <c r="D12" i="64"/>
  <c r="T92" i="64"/>
  <c r="N38" i="64"/>
  <c r="L36" i="67"/>
  <c r="N36" i="67" s="1"/>
  <c r="N67" i="67"/>
  <c r="L67" i="67"/>
  <c r="X14" i="71"/>
  <c r="P12" i="71"/>
  <c r="J21" i="60"/>
  <c r="J25" i="60"/>
  <c r="F29" i="60"/>
  <c r="F30" i="60"/>
  <c r="F34" i="60"/>
  <c r="F38" i="60"/>
  <c r="Z42" i="60"/>
  <c r="F47" i="60"/>
  <c r="J48" i="60"/>
  <c r="Z50" i="60"/>
  <c r="H16" i="61"/>
  <c r="R18" i="61"/>
  <c r="X58" i="61"/>
  <c r="R14" i="62"/>
  <c r="H17" i="62"/>
  <c r="R19" i="62"/>
  <c r="Z20" i="62"/>
  <c r="F22" i="62"/>
  <c r="F24" i="62"/>
  <c r="F32" i="62"/>
  <c r="R38" i="62"/>
  <c r="X56" i="62"/>
  <c r="Z56" i="62" s="1"/>
  <c r="R66" i="62"/>
  <c r="F68" i="62"/>
  <c r="L75" i="62"/>
  <c r="N75" i="62" s="1"/>
  <c r="R85" i="62"/>
  <c r="R92" i="62"/>
  <c r="X99" i="62"/>
  <c r="Z99" i="62" s="1"/>
  <c r="J80" i="64"/>
  <c r="J72" i="64"/>
  <c r="J62" i="64"/>
  <c r="J86" i="64"/>
  <c r="J74" i="64"/>
  <c r="J64" i="64"/>
  <c r="J87" i="64"/>
  <c r="J81" i="64"/>
  <c r="J65" i="64"/>
  <c r="J88" i="64"/>
  <c r="J56" i="64"/>
  <c r="J52" i="64"/>
  <c r="J48" i="64"/>
  <c r="J77" i="64"/>
  <c r="J67" i="64"/>
  <c r="J84" i="64"/>
  <c r="J78" i="64"/>
  <c r="J70" i="64"/>
  <c r="J60" i="64"/>
  <c r="J54" i="64"/>
  <c r="J50" i="64"/>
  <c r="J68" i="64"/>
  <c r="J45" i="64"/>
  <c r="J82" i="64"/>
  <c r="J63" i="64"/>
  <c r="J57" i="64"/>
  <c r="J49" i="64"/>
  <c r="J42" i="64"/>
  <c r="J33" i="64"/>
  <c r="J29" i="64"/>
  <c r="J38" i="64"/>
  <c r="J75" i="64"/>
  <c r="J69" i="64"/>
  <c r="J46" i="64"/>
  <c r="J39" i="64"/>
  <c r="J37" i="64"/>
  <c r="J35" i="64"/>
  <c r="J25" i="64"/>
  <c r="J58" i="64"/>
  <c r="J55" i="64"/>
  <c r="H35" i="64"/>
  <c r="J30" i="64"/>
  <c r="J26" i="64"/>
  <c r="J85" i="64"/>
  <c r="J76" i="64"/>
  <c r="J66" i="64"/>
  <c r="J61" i="64"/>
  <c r="J43" i="64"/>
  <c r="J79" i="64"/>
  <c r="J44" i="64"/>
  <c r="J31" i="64"/>
  <c r="V35" i="64"/>
  <c r="J40" i="64"/>
  <c r="N67" i="64"/>
  <c r="L96" i="66"/>
  <c r="N96" i="66" s="1"/>
  <c r="J30" i="60"/>
  <c r="J34" i="60"/>
  <c r="J38" i="60"/>
  <c r="J47" i="60"/>
  <c r="F52" i="60"/>
  <c r="L14" i="61"/>
  <c r="R36" i="61"/>
  <c r="L42" i="61"/>
  <c r="R46" i="61"/>
  <c r="R56" i="61"/>
  <c r="D60" i="61"/>
  <c r="R62" i="61"/>
  <c r="L12" i="62"/>
  <c r="T107" i="62"/>
  <c r="L31" i="62"/>
  <c r="N31" i="62" s="1"/>
  <c r="F37" i="62"/>
  <c r="F75" i="62"/>
  <c r="R81" i="62"/>
  <c r="F107" i="62"/>
  <c r="L47" i="64"/>
  <c r="N47" i="64" s="1"/>
  <c r="J71" i="64"/>
  <c r="Z57" i="66"/>
  <c r="X57" i="66"/>
  <c r="J14" i="60"/>
  <c r="J16" i="60"/>
  <c r="J18" i="60"/>
  <c r="J20" i="60"/>
  <c r="J24" i="60"/>
  <c r="J28" i="60"/>
  <c r="J55" i="60"/>
  <c r="J61" i="60"/>
  <c r="R16" i="61"/>
  <c r="R21" i="61"/>
  <c r="R33" i="61"/>
  <c r="R42" i="61"/>
  <c r="R55" i="61"/>
  <c r="R105" i="62"/>
  <c r="R68" i="62"/>
  <c r="R67" i="62"/>
  <c r="R56" i="62"/>
  <c r="R55" i="62"/>
  <c r="R39" i="62"/>
  <c r="R35" i="62"/>
  <c r="R110" i="62"/>
  <c r="R107" i="62"/>
  <c r="R94" i="62"/>
  <c r="R86" i="62"/>
  <c r="R82" i="62"/>
  <c r="R75" i="62"/>
  <c r="R74" i="62"/>
  <c r="R47" i="62"/>
  <c r="R46" i="62"/>
  <c r="R31" i="62"/>
  <c r="R30" i="62"/>
  <c r="R26" i="62"/>
  <c r="R22" i="62"/>
  <c r="R70" i="62"/>
  <c r="R69" i="62"/>
  <c r="R58" i="62"/>
  <c r="R57" i="62"/>
  <c r="R76" i="62"/>
  <c r="R96" i="62"/>
  <c r="R95" i="62"/>
  <c r="R87" i="62"/>
  <c r="R83" i="62"/>
  <c r="R71" i="62"/>
  <c r="R60" i="62"/>
  <c r="R59" i="62"/>
  <c r="R27" i="62"/>
  <c r="R23" i="62"/>
  <c r="R50" i="62"/>
  <c r="R101" i="62"/>
  <c r="R64" i="62"/>
  <c r="R63" i="62"/>
  <c r="R52" i="62"/>
  <c r="R51" i="62"/>
  <c r="R44" i="62"/>
  <c r="R43" i="62"/>
  <c r="R20" i="62"/>
  <c r="R15" i="62"/>
  <c r="R17" i="62"/>
  <c r="R24" i="62"/>
  <c r="F26" i="62"/>
  <c r="R32" i="62"/>
  <c r="Z44" i="62"/>
  <c r="N54" i="62"/>
  <c r="Z60" i="62"/>
  <c r="N62" i="62"/>
  <c r="R65" i="62"/>
  <c r="N70" i="62"/>
  <c r="R73" i="62"/>
  <c r="F84" i="62"/>
  <c r="F88" i="62"/>
  <c r="X89" i="62"/>
  <c r="Z89" i="62" s="1"/>
  <c r="J47" i="64"/>
  <c r="J83" i="64"/>
  <c r="X84" i="64"/>
  <c r="Z84" i="64" s="1"/>
  <c r="N88" i="66"/>
  <c r="V14" i="61"/>
  <c r="V16" i="61"/>
  <c r="V18" i="61"/>
  <c r="V46" i="61"/>
  <c r="F50" i="61"/>
  <c r="F51" i="61"/>
  <c r="J52" i="61"/>
  <c r="V54" i="61"/>
  <c r="J64" i="61"/>
  <c r="J67" i="61"/>
  <c r="V34" i="62"/>
  <c r="V38" i="62"/>
  <c r="J50" i="62"/>
  <c r="V54" i="62"/>
  <c r="J60" i="62"/>
  <c r="V66" i="62"/>
  <c r="V78" i="62"/>
  <c r="V90" i="62"/>
  <c r="J96" i="62"/>
  <c r="V38" i="64"/>
  <c r="V45" i="64"/>
  <c r="V54" i="64"/>
  <c r="X71" i="64"/>
  <c r="Z71" i="64" s="1"/>
  <c r="X56" i="66"/>
  <c r="Z56" i="66" s="1"/>
  <c r="Z103" i="66"/>
  <c r="F69" i="67"/>
  <c r="F45" i="67"/>
  <c r="F41" i="67"/>
  <c r="F37" i="67"/>
  <c r="F36" i="67"/>
  <c r="D23" i="67"/>
  <c r="F78" i="67"/>
  <c r="F56" i="67"/>
  <c r="F55" i="67"/>
  <c r="F32" i="67"/>
  <c r="F28" i="67"/>
  <c r="F70" i="67"/>
  <c r="F63" i="67"/>
  <c r="F81" i="67"/>
  <c r="F46" i="67"/>
  <c r="F42" i="67"/>
  <c r="F38" i="67"/>
  <c r="F65" i="67"/>
  <c r="F64" i="67"/>
  <c r="F57" i="67"/>
  <c r="F33" i="67"/>
  <c r="F29" i="67"/>
  <c r="F72" i="67"/>
  <c r="F48" i="67"/>
  <c r="F47" i="67"/>
  <c r="F20" i="67"/>
  <c r="F19" i="67"/>
  <c r="F74" i="67"/>
  <c r="F59" i="67"/>
  <c r="F58" i="67"/>
  <c r="F43" i="67"/>
  <c r="F39" i="67"/>
  <c r="F66" i="67"/>
  <c r="F50" i="67"/>
  <c r="F49" i="67"/>
  <c r="F34" i="67"/>
  <c r="F30" i="67"/>
  <c r="F35" i="67"/>
  <c r="F31" i="67"/>
  <c r="F27" i="67"/>
  <c r="F26" i="67"/>
  <c r="F21" i="67"/>
  <c r="Z55" i="67"/>
  <c r="F61" i="67"/>
  <c r="Z53" i="69"/>
  <c r="F68" i="70"/>
  <c r="F67" i="70"/>
  <c r="F87" i="70"/>
  <c r="F75" i="70"/>
  <c r="F51" i="70"/>
  <c r="F47" i="70"/>
  <c r="F43" i="70"/>
  <c r="F70" i="70"/>
  <c r="F69" i="70"/>
  <c r="F62" i="70"/>
  <c r="F38" i="70"/>
  <c r="F34" i="70"/>
  <c r="F53" i="70"/>
  <c r="F52" i="70"/>
  <c r="F76" i="70"/>
  <c r="F72" i="70"/>
  <c r="F71" i="70"/>
  <c r="F64" i="70"/>
  <c r="F63" i="70"/>
  <c r="F48" i="70"/>
  <c r="F44" i="70"/>
  <c r="L12" i="70"/>
  <c r="F55" i="70"/>
  <c r="F54" i="70"/>
  <c r="F39" i="70"/>
  <c r="F35" i="70"/>
  <c r="F78" i="70"/>
  <c r="F77" i="70"/>
  <c r="F73" i="70"/>
  <c r="F65" i="70"/>
  <c r="F57" i="70"/>
  <c r="F56" i="70"/>
  <c r="F49" i="70"/>
  <c r="F45" i="70"/>
  <c r="F83" i="70"/>
  <c r="F74" i="70"/>
  <c r="F66" i="70"/>
  <c r="F50" i="70"/>
  <c r="F46" i="70"/>
  <c r="F42" i="70"/>
  <c r="F41" i="70"/>
  <c r="D28" i="70"/>
  <c r="F28" i="70" s="1"/>
  <c r="F58" i="70"/>
  <c r="F30" i="70"/>
  <c r="F82" i="70"/>
  <c r="F61" i="70"/>
  <c r="F36" i="70"/>
  <c r="F79" i="70"/>
  <c r="F33" i="70"/>
  <c r="F59" i="70"/>
  <c r="F40" i="70"/>
  <c r="F31" i="70"/>
  <c r="F80" i="70"/>
  <c r="F32" i="70"/>
  <c r="N26" i="70"/>
  <c r="H28" i="70"/>
  <c r="J28" i="70" s="1"/>
  <c r="J47" i="62"/>
  <c r="J57" i="62"/>
  <c r="V61" i="62"/>
  <c r="J69" i="62"/>
  <c r="J75" i="62"/>
  <c r="V77" i="62"/>
  <c r="V89" i="62"/>
  <c r="V97" i="62"/>
  <c r="V99" i="62"/>
  <c r="J107" i="62"/>
  <c r="J110" i="62"/>
  <c r="V59" i="64"/>
  <c r="Z62" i="64"/>
  <c r="Z79" i="64"/>
  <c r="V81" i="64"/>
  <c r="V83" i="64"/>
  <c r="P12" i="65"/>
  <c r="X13" i="65"/>
  <c r="Z13" i="65" s="1"/>
  <c r="F35" i="65"/>
  <c r="V61" i="65"/>
  <c r="P12" i="66"/>
  <c r="X13" i="66"/>
  <c r="Z13" i="66" s="1"/>
  <c r="N68" i="66"/>
  <c r="N94" i="66"/>
  <c r="N100" i="66"/>
  <c r="D12" i="69"/>
  <c r="L15" i="69"/>
  <c r="V22" i="61"/>
  <c r="V26" i="61"/>
  <c r="J30" i="61"/>
  <c r="J34" i="61"/>
  <c r="J38" i="61"/>
  <c r="V42" i="61"/>
  <c r="F46" i="61"/>
  <c r="F47" i="61"/>
  <c r="J48" i="61"/>
  <c r="J58" i="61"/>
  <c r="J60" i="61"/>
  <c r="V14" i="62"/>
  <c r="J22" i="62"/>
  <c r="J26" i="62"/>
  <c r="J30" i="62"/>
  <c r="V42" i="62"/>
  <c r="J46" i="62"/>
  <c r="V50" i="62"/>
  <c r="J56" i="62"/>
  <c r="V62" i="62"/>
  <c r="J68" i="62"/>
  <c r="J74" i="62"/>
  <c r="J82" i="62"/>
  <c r="J86" i="62"/>
  <c r="J94" i="62"/>
  <c r="V44" i="64"/>
  <c r="V53" i="64"/>
  <c r="V62" i="64"/>
  <c r="X64" i="64"/>
  <c r="Z64" i="64" s="1"/>
  <c r="V67" i="64"/>
  <c r="V70" i="64"/>
  <c r="V79" i="64"/>
  <c r="V21" i="65"/>
  <c r="F39" i="65"/>
  <c r="Z84" i="66"/>
  <c r="J94" i="66"/>
  <c r="X112" i="66"/>
  <c r="R74" i="67"/>
  <c r="R72" i="67"/>
  <c r="R65" i="67"/>
  <c r="R58" i="67"/>
  <c r="R57" i="67"/>
  <c r="R33" i="67"/>
  <c r="R29" i="67"/>
  <c r="R49" i="67"/>
  <c r="R48" i="67"/>
  <c r="R20" i="67"/>
  <c r="R60" i="67"/>
  <c r="R59" i="67"/>
  <c r="R43" i="67"/>
  <c r="R39" i="67"/>
  <c r="R67" i="67"/>
  <c r="R66" i="67"/>
  <c r="R51" i="67"/>
  <c r="R50" i="67"/>
  <c r="R34" i="67"/>
  <c r="R30" i="67"/>
  <c r="R61" i="67"/>
  <c r="R26" i="67"/>
  <c r="R21" i="67"/>
  <c r="R76" i="67"/>
  <c r="R53" i="67"/>
  <c r="R52" i="67"/>
  <c r="R44" i="67"/>
  <c r="R40" i="67"/>
  <c r="R25" i="67"/>
  <c r="R23" i="67"/>
  <c r="R68" i="67"/>
  <c r="R36" i="67"/>
  <c r="R35" i="67"/>
  <c r="R31" i="67"/>
  <c r="R27" i="67"/>
  <c r="P23" i="67"/>
  <c r="R69" i="67"/>
  <c r="R62" i="67"/>
  <c r="R55" i="67"/>
  <c r="R54" i="67"/>
  <c r="X12" i="67"/>
  <c r="R81" i="67"/>
  <c r="R70" i="67"/>
  <c r="R64" i="67"/>
  <c r="R63" i="67"/>
  <c r="R32" i="67"/>
  <c r="R45" i="67"/>
  <c r="N49" i="67"/>
  <c r="F51" i="67"/>
  <c r="R56" i="67"/>
  <c r="N58" i="67"/>
  <c r="F37" i="70"/>
  <c r="J105" i="62"/>
  <c r="F73" i="65"/>
  <c r="F70" i="65"/>
  <c r="F59" i="65"/>
  <c r="F27" i="65"/>
  <c r="F23" i="65"/>
  <c r="F42" i="65"/>
  <c r="F41" i="65"/>
  <c r="F53" i="65"/>
  <c r="F37" i="65"/>
  <c r="F33" i="65"/>
  <c r="F60" i="65"/>
  <c r="F44" i="65"/>
  <c r="F43" i="65"/>
  <c r="F28" i="65"/>
  <c r="F24" i="65"/>
  <c r="F55" i="65"/>
  <c r="F54" i="65"/>
  <c r="F56" i="65"/>
  <c r="F48" i="65"/>
  <c r="F47" i="65"/>
  <c r="F16" i="65"/>
  <c r="F15" i="65"/>
  <c r="F20" i="65"/>
  <c r="F18" i="65"/>
  <c r="L15" i="65"/>
  <c r="F25" i="65"/>
  <c r="V60" i="67"/>
  <c r="V48" i="67"/>
  <c r="V20" i="67"/>
  <c r="V67" i="67"/>
  <c r="V59" i="67"/>
  <c r="V51" i="67"/>
  <c r="V43" i="67"/>
  <c r="V39" i="67"/>
  <c r="V66" i="67"/>
  <c r="V50" i="67"/>
  <c r="V34" i="67"/>
  <c r="V30" i="67"/>
  <c r="V26" i="67"/>
  <c r="V61" i="67"/>
  <c r="V53" i="67"/>
  <c r="V25" i="67"/>
  <c r="V23" i="67"/>
  <c r="V21" i="67"/>
  <c r="V76" i="67"/>
  <c r="V52" i="67"/>
  <c r="V44" i="67"/>
  <c r="V40" i="67"/>
  <c r="V36" i="67"/>
  <c r="T23" i="67"/>
  <c r="V69" i="67"/>
  <c r="V68" i="67"/>
  <c r="V55" i="67"/>
  <c r="V35" i="67"/>
  <c r="V31" i="67"/>
  <c r="V27" i="67"/>
  <c r="V62" i="67"/>
  <c r="V54" i="67"/>
  <c r="Z12" i="67"/>
  <c r="V45" i="67"/>
  <c r="V41" i="67"/>
  <c r="V37" i="67"/>
  <c r="V72" i="67"/>
  <c r="V58" i="67"/>
  <c r="V46" i="67"/>
  <c r="V42" i="67"/>
  <c r="V38" i="67"/>
  <c r="V32" i="67"/>
  <c r="N51" i="67"/>
  <c r="L51" i="67"/>
  <c r="J51" i="67"/>
  <c r="V56" i="67"/>
  <c r="J80" i="62"/>
  <c r="J92" i="62"/>
  <c r="V96" i="62"/>
  <c r="V92" i="64"/>
  <c r="V90" i="64"/>
  <c r="V88" i="64"/>
  <c r="V76" i="64"/>
  <c r="V56" i="64"/>
  <c r="V52" i="64"/>
  <c r="V48" i="64"/>
  <c r="V82" i="64"/>
  <c r="V66" i="64"/>
  <c r="V58" i="64"/>
  <c r="V77" i="64"/>
  <c r="V69" i="64"/>
  <c r="V94" i="64"/>
  <c r="V84" i="64"/>
  <c r="V68" i="64"/>
  <c r="V60" i="64"/>
  <c r="V85" i="64"/>
  <c r="V73" i="64"/>
  <c r="V61" i="64"/>
  <c r="V86" i="64"/>
  <c r="V74" i="64"/>
  <c r="V46" i="64"/>
  <c r="V40" i="64"/>
  <c r="V50" i="64"/>
  <c r="V64" i="64"/>
  <c r="V78" i="64"/>
  <c r="F30" i="65"/>
  <c r="F49" i="65"/>
  <c r="Z94" i="66"/>
  <c r="Z96" i="66"/>
  <c r="V112" i="66"/>
  <c r="X72" i="67"/>
  <c r="J19" i="61"/>
  <c r="V21" i="61"/>
  <c r="V25" i="61"/>
  <c r="J33" i="61"/>
  <c r="J37" i="61"/>
  <c r="J45" i="61"/>
  <c r="V49" i="61"/>
  <c r="F54" i="61"/>
  <c r="J55" i="61"/>
  <c r="J17" i="62"/>
  <c r="J19" i="62"/>
  <c r="J21" i="62"/>
  <c r="J25" i="62"/>
  <c r="J29" i="62"/>
  <c r="J45" i="62"/>
  <c r="V49" i="62"/>
  <c r="J53" i="62"/>
  <c r="V57" i="62"/>
  <c r="J65" i="62"/>
  <c r="V69" i="62"/>
  <c r="J73" i="62"/>
  <c r="J79" i="62"/>
  <c r="J85" i="62"/>
  <c r="J91" i="62"/>
  <c r="J103" i="62"/>
  <c r="V43" i="64"/>
  <c r="V55" i="64"/>
  <c r="X73" i="64"/>
  <c r="Z73" i="64" s="1"/>
  <c r="X76" i="64"/>
  <c r="Z76" i="64" s="1"/>
  <c r="L12" i="65"/>
  <c r="D18" i="65"/>
  <c r="F22" i="65"/>
  <c r="F62" i="65"/>
  <c r="N36" i="66"/>
  <c r="N107" i="66"/>
  <c r="L107" i="66"/>
  <c r="Z110" i="66"/>
  <c r="N26" i="67"/>
  <c r="V28" i="67"/>
  <c r="X58" i="67"/>
  <c r="Z58" i="67" s="1"/>
  <c r="N64" i="67"/>
  <c r="F68" i="67"/>
  <c r="F23" i="61"/>
  <c r="F27" i="61"/>
  <c r="V30" i="61"/>
  <c r="V34" i="61"/>
  <c r="V38" i="61"/>
  <c r="F42" i="61"/>
  <c r="J44" i="61"/>
  <c r="J20" i="62"/>
  <c r="V22" i="62"/>
  <c r="V26" i="62"/>
  <c r="V30" i="62"/>
  <c r="J34" i="62"/>
  <c r="J38" i="62"/>
  <c r="J44" i="62"/>
  <c r="V46" i="62"/>
  <c r="J52" i="62"/>
  <c r="V58" i="62"/>
  <c r="J64" i="62"/>
  <c r="V70" i="62"/>
  <c r="V74" i="62"/>
  <c r="J78" i="62"/>
  <c r="V82" i="62"/>
  <c r="V86" i="62"/>
  <c r="J90" i="62"/>
  <c r="V26" i="64"/>
  <c r="V30" i="64"/>
  <c r="V47" i="64"/>
  <c r="Z58" i="64"/>
  <c r="V72" i="64"/>
  <c r="V75" i="64"/>
  <c r="H18" i="65"/>
  <c r="F32" i="65"/>
  <c r="N49" i="65"/>
  <c r="F52" i="65"/>
  <c r="J26" i="67"/>
  <c r="R42" i="67"/>
  <c r="V47" i="67"/>
  <c r="V49" i="67"/>
  <c r="X64" i="67"/>
  <c r="Z64" i="67" s="1"/>
  <c r="L58" i="70"/>
  <c r="N58" i="70" s="1"/>
  <c r="X99" i="71"/>
  <c r="Z99" i="71" s="1"/>
  <c r="V80" i="64"/>
  <c r="V64" i="65"/>
  <c r="V62" i="65"/>
  <c r="V46" i="65"/>
  <c r="V38" i="65"/>
  <c r="V34" i="65"/>
  <c r="V30" i="65"/>
  <c r="V57" i="65"/>
  <c r="V49" i="65"/>
  <c r="V29" i="65"/>
  <c r="V56" i="65"/>
  <c r="V48" i="65"/>
  <c r="V20" i="65"/>
  <c r="V18" i="65"/>
  <c r="V16" i="65"/>
  <c r="V51" i="65"/>
  <c r="V39" i="65"/>
  <c r="V35" i="65"/>
  <c r="V31" i="65"/>
  <c r="T18" i="65"/>
  <c r="V68" i="65"/>
  <c r="V58" i="65"/>
  <c r="V50" i="65"/>
  <c r="V26" i="65"/>
  <c r="V22" i="65"/>
  <c r="V52" i="65"/>
  <c r="V40" i="65"/>
  <c r="V36" i="65"/>
  <c r="V32" i="65"/>
  <c r="V59" i="65"/>
  <c r="V43" i="65"/>
  <c r="V27" i="65"/>
  <c r="V23" i="65"/>
  <c r="V60" i="65"/>
  <c r="V44" i="65"/>
  <c r="V28" i="65"/>
  <c r="V24" i="65"/>
  <c r="V25" i="65"/>
  <c r="F34" i="65"/>
  <c r="F36" i="65"/>
  <c r="F46" i="65"/>
  <c r="F61" i="65"/>
  <c r="F66" i="65"/>
  <c r="X36" i="66"/>
  <c r="Z60" i="67"/>
  <c r="X92" i="69"/>
  <c r="Z92" i="69" s="1"/>
  <c r="F60" i="70"/>
  <c r="J32" i="65"/>
  <c r="J36" i="65"/>
  <c r="J40" i="65"/>
  <c r="J52" i="65"/>
  <c r="J70" i="65"/>
  <c r="J73" i="65"/>
  <c r="V58" i="66"/>
  <c r="V62" i="66"/>
  <c r="V66" i="66"/>
  <c r="J70" i="66"/>
  <c r="J74" i="66"/>
  <c r="J78" i="66"/>
  <c r="V82" i="66"/>
  <c r="J88" i="66"/>
  <c r="V90" i="66"/>
  <c r="J96" i="66"/>
  <c r="V98" i="66"/>
  <c r="J102" i="66"/>
  <c r="J122" i="66"/>
  <c r="J36" i="67"/>
  <c r="J54" i="67"/>
  <c r="J62" i="67"/>
  <c r="J69" i="67"/>
  <c r="N109" i="69"/>
  <c r="V142" i="69"/>
  <c r="L26" i="70"/>
  <c r="N41" i="70"/>
  <c r="Z71" i="70"/>
  <c r="V49" i="73"/>
  <c r="V74" i="73"/>
  <c r="N63" i="74"/>
  <c r="L63" i="74"/>
  <c r="J21" i="65"/>
  <c r="J31" i="65"/>
  <c r="J35" i="65"/>
  <c r="J39" i="65"/>
  <c r="J49" i="65"/>
  <c r="J57" i="65"/>
  <c r="V57" i="66"/>
  <c r="V61" i="66"/>
  <c r="V65" i="66"/>
  <c r="J69" i="66"/>
  <c r="J73" i="66"/>
  <c r="J77" i="66"/>
  <c r="V81" i="66"/>
  <c r="J85" i="66"/>
  <c r="V89" i="66"/>
  <c r="J93" i="66"/>
  <c r="V97" i="66"/>
  <c r="J101" i="66"/>
  <c r="J107" i="66"/>
  <c r="V109" i="66"/>
  <c r="J118" i="66"/>
  <c r="J61" i="67"/>
  <c r="J67" i="67"/>
  <c r="Z107" i="69"/>
  <c r="X107" i="69"/>
  <c r="Z109" i="69"/>
  <c r="P12" i="70"/>
  <c r="P12" i="74"/>
  <c r="X13" i="74"/>
  <c r="D12" i="75"/>
  <c r="L13" i="75"/>
  <c r="N13" i="75" s="1"/>
  <c r="R43" i="75"/>
  <c r="R39" i="75"/>
  <c r="R35" i="75"/>
  <c r="R34" i="75"/>
  <c r="R30" i="75"/>
  <c r="R44" i="75"/>
  <c r="R40" i="75"/>
  <c r="R36" i="75"/>
  <c r="R25" i="75"/>
  <c r="R31" i="75"/>
  <c r="R27" i="75"/>
  <c r="R45" i="75"/>
  <c r="R41" i="75"/>
  <c r="R37" i="75"/>
  <c r="R18" i="75"/>
  <c r="R19" i="75"/>
  <c r="R38" i="75"/>
  <c r="R28" i="75"/>
  <c r="R33" i="75"/>
  <c r="R26" i="75"/>
  <c r="R47" i="75"/>
  <c r="R29" i="75"/>
  <c r="P23" i="75"/>
  <c r="R51" i="75"/>
  <c r="R20" i="75"/>
  <c r="R32" i="75"/>
  <c r="R42" i="75"/>
  <c r="X12" i="75"/>
  <c r="R21" i="75"/>
  <c r="L47" i="77"/>
  <c r="N47" i="77" s="1"/>
  <c r="J47" i="77"/>
  <c r="V70" i="66"/>
  <c r="V74" i="66"/>
  <c r="V78" i="66"/>
  <c r="J84" i="66"/>
  <c r="J100" i="66"/>
  <c r="V102" i="66"/>
  <c r="J106" i="66"/>
  <c r="V110" i="66"/>
  <c r="J117" i="66"/>
  <c r="V122" i="66"/>
  <c r="L112" i="69"/>
  <c r="N87" i="71"/>
  <c r="V77" i="73"/>
  <c r="V75" i="73"/>
  <c r="V67" i="73"/>
  <c r="V51" i="73"/>
  <c r="V43" i="73"/>
  <c r="V39" i="73"/>
  <c r="V35" i="73"/>
  <c r="T22" i="73"/>
  <c r="V22" i="73" s="1"/>
  <c r="V62" i="73"/>
  <c r="V54" i="73"/>
  <c r="V34" i="73"/>
  <c r="V30" i="73"/>
  <c r="V26" i="73"/>
  <c r="V69" i="73"/>
  <c r="V61" i="73"/>
  <c r="V53" i="73"/>
  <c r="V17" i="73"/>
  <c r="V68" i="73"/>
  <c r="V56" i="73"/>
  <c r="V44" i="73"/>
  <c r="V40" i="73"/>
  <c r="V36" i="73"/>
  <c r="V81" i="73"/>
  <c r="V63" i="73"/>
  <c r="V55" i="73"/>
  <c r="V31" i="73"/>
  <c r="V27" i="73"/>
  <c r="V70" i="73"/>
  <c r="V46" i="73"/>
  <c r="V65" i="73"/>
  <c r="V57" i="73"/>
  <c r="V45" i="73"/>
  <c r="V41" i="73"/>
  <c r="V37" i="73"/>
  <c r="V72" i="73"/>
  <c r="V64" i="73"/>
  <c r="V48" i="73"/>
  <c r="V32" i="73"/>
  <c r="V28" i="73"/>
  <c r="V71" i="73"/>
  <c r="V59" i="73"/>
  <c r="V47" i="73"/>
  <c r="V19" i="73"/>
  <c r="V50" i="73"/>
  <c r="V52" i="73"/>
  <c r="V24" i="73"/>
  <c r="V20" i="73"/>
  <c r="V18" i="73"/>
  <c r="V73" i="73"/>
  <c r="V33" i="73"/>
  <c r="V29" i="73"/>
  <c r="V25" i="73"/>
  <c r="V66" i="73"/>
  <c r="V58" i="73"/>
  <c r="V51" i="66"/>
  <c r="V79" i="66"/>
  <c r="V87" i="66"/>
  <c r="V95" i="66"/>
  <c r="J99" i="66"/>
  <c r="V103" i="66"/>
  <c r="J115" i="66"/>
  <c r="J116" i="66"/>
  <c r="P12" i="69"/>
  <c r="X13" i="69"/>
  <c r="Z13" i="69" s="1"/>
  <c r="N112" i="69"/>
  <c r="D12" i="71"/>
  <c r="N85" i="71"/>
  <c r="J34" i="65"/>
  <c r="J38" i="65"/>
  <c r="J46" i="65"/>
  <c r="J62" i="65"/>
  <c r="V60" i="66"/>
  <c r="V64" i="66"/>
  <c r="J72" i="66"/>
  <c r="J76" i="66"/>
  <c r="V88" i="66"/>
  <c r="J92" i="66"/>
  <c r="V96" i="66"/>
  <c r="V108" i="66"/>
  <c r="J48" i="67"/>
  <c r="J58" i="67"/>
  <c r="V70" i="69"/>
  <c r="H155" i="69"/>
  <c r="V106" i="69"/>
  <c r="J112" i="69"/>
  <c r="N145" i="69"/>
  <c r="Z60" i="70"/>
  <c r="N25" i="73"/>
  <c r="L25" i="73"/>
  <c r="N31" i="74"/>
  <c r="L31" i="74"/>
  <c r="X44" i="74"/>
  <c r="J45" i="65"/>
  <c r="J55" i="65"/>
  <c r="J61" i="65"/>
  <c r="J37" i="66"/>
  <c r="J41" i="66"/>
  <c r="J45" i="66"/>
  <c r="J49" i="66"/>
  <c r="H54" i="66"/>
  <c r="J54" i="66" s="1"/>
  <c r="V69" i="66"/>
  <c r="V73" i="66"/>
  <c r="V77" i="66"/>
  <c r="V85" i="66"/>
  <c r="J91" i="66"/>
  <c r="V93" i="66"/>
  <c r="V101" i="66"/>
  <c r="J105" i="66"/>
  <c r="J113" i="66"/>
  <c r="J19" i="67"/>
  <c r="J29" i="67"/>
  <c r="J33" i="67"/>
  <c r="J47" i="67"/>
  <c r="J57" i="67"/>
  <c r="J65" i="67"/>
  <c r="J72" i="67"/>
  <c r="X126" i="69"/>
  <c r="V42" i="73"/>
  <c r="J28" i="65"/>
  <c r="J44" i="65"/>
  <c r="J54" i="65"/>
  <c r="J60" i="65"/>
  <c r="V38" i="66"/>
  <c r="V42" i="66"/>
  <c r="V46" i="66"/>
  <c r="V50" i="66"/>
  <c r="J56" i="66"/>
  <c r="J58" i="66"/>
  <c r="J62" i="66"/>
  <c r="J66" i="66"/>
  <c r="J82" i="66"/>
  <c r="V86" i="66"/>
  <c r="J90" i="66"/>
  <c r="V94" i="66"/>
  <c r="J98" i="66"/>
  <c r="V106" i="66"/>
  <c r="J112" i="66"/>
  <c r="V118" i="66"/>
  <c r="J64" i="67"/>
  <c r="X82" i="69"/>
  <c r="Z126" i="69"/>
  <c r="X63" i="70"/>
  <c r="Z85" i="71"/>
  <c r="V59" i="66"/>
  <c r="V63" i="66"/>
  <c r="V67" i="66"/>
  <c r="J81" i="66"/>
  <c r="V83" i="66"/>
  <c r="V99" i="66"/>
  <c r="V107" i="66"/>
  <c r="J111" i="66"/>
  <c r="V117" i="66"/>
  <c r="L69" i="67"/>
  <c r="Z82" i="69"/>
  <c r="N103" i="69"/>
  <c r="X143" i="69"/>
  <c r="Z143" i="69" s="1"/>
  <c r="Z145" i="69"/>
  <c r="X152" i="69"/>
  <c r="Z152" i="69" s="1"/>
  <c r="P149" i="69"/>
  <c r="X149" i="69" s="1"/>
  <c r="Z149" i="69" s="1"/>
  <c r="L30" i="70"/>
  <c r="N30" i="70" s="1"/>
  <c r="Z63" i="70"/>
  <c r="N82" i="70"/>
  <c r="V38" i="73"/>
  <c r="J40" i="66"/>
  <c r="J44" i="66"/>
  <c r="J48" i="66"/>
  <c r="J52" i="66"/>
  <c r="V68" i="66"/>
  <c r="V72" i="66"/>
  <c r="V76" i="66"/>
  <c r="J80" i="66"/>
  <c r="V84" i="66"/>
  <c r="V92" i="66"/>
  <c r="V100" i="66"/>
  <c r="J104" i="66"/>
  <c r="J110" i="66"/>
  <c r="J28" i="67"/>
  <c r="J32" i="67"/>
  <c r="J56" i="67"/>
  <c r="V146" i="69"/>
  <c r="V138" i="69"/>
  <c r="V134" i="69"/>
  <c r="V118" i="69"/>
  <c r="V110" i="69"/>
  <c r="V101" i="69"/>
  <c r="V97" i="69"/>
  <c r="V93" i="69"/>
  <c r="V128" i="69"/>
  <c r="V120" i="69"/>
  <c r="V112" i="69"/>
  <c r="V88" i="69"/>
  <c r="V84" i="69"/>
  <c r="V149" i="69"/>
  <c r="V147" i="69"/>
  <c r="V139" i="69"/>
  <c r="V135" i="69"/>
  <c r="V111" i="69"/>
  <c r="V103" i="69"/>
  <c r="V75" i="69"/>
  <c r="V71" i="69"/>
  <c r="V67" i="69"/>
  <c r="V63" i="69"/>
  <c r="V59" i="69"/>
  <c r="V55" i="69"/>
  <c r="V150" i="69"/>
  <c r="V130" i="69"/>
  <c r="V122" i="69"/>
  <c r="V114" i="69"/>
  <c r="V102" i="69"/>
  <c r="V98" i="69"/>
  <c r="V94" i="69"/>
  <c r="V151" i="69"/>
  <c r="V141" i="69"/>
  <c r="V129" i="69"/>
  <c r="V121" i="69"/>
  <c r="V113" i="69"/>
  <c r="V105" i="69"/>
  <c r="V89" i="69"/>
  <c r="V85" i="69"/>
  <c r="V152" i="69"/>
  <c r="V140" i="69"/>
  <c r="V136" i="69"/>
  <c r="V124" i="69"/>
  <c r="V104" i="69"/>
  <c r="V76" i="69"/>
  <c r="V72" i="69"/>
  <c r="V68" i="69"/>
  <c r="V64" i="69"/>
  <c r="V60" i="69"/>
  <c r="V56" i="69"/>
  <c r="V153" i="69"/>
  <c r="V143" i="69"/>
  <c r="V131" i="69"/>
  <c r="V123" i="69"/>
  <c r="V115" i="69"/>
  <c r="V107" i="69"/>
  <c r="V99" i="69"/>
  <c r="V95" i="69"/>
  <c r="V144" i="69"/>
  <c r="V132" i="69"/>
  <c r="V116" i="69"/>
  <c r="V108" i="69"/>
  <c r="V100" i="69"/>
  <c r="V96" i="69"/>
  <c r="V92" i="69"/>
  <c r="T79" i="69"/>
  <c r="N53" i="69"/>
  <c r="V58" i="69"/>
  <c r="V82" i="69"/>
  <c r="V87" i="69"/>
  <c r="V137" i="69"/>
  <c r="V145" i="69"/>
  <c r="N149" i="69"/>
  <c r="V157" i="69"/>
  <c r="V63" i="70"/>
  <c r="N51" i="71"/>
  <c r="Z63" i="71"/>
  <c r="L17" i="73"/>
  <c r="N17" i="73" s="1"/>
  <c r="J56" i="69"/>
  <c r="J60" i="69"/>
  <c r="J64" i="69"/>
  <c r="J68" i="69"/>
  <c r="J72" i="69"/>
  <c r="J76" i="69"/>
  <c r="J104" i="69"/>
  <c r="J114" i="69"/>
  <c r="J122" i="69"/>
  <c r="J130" i="69"/>
  <c r="J136" i="69"/>
  <c r="J140" i="69"/>
  <c r="J151" i="69"/>
  <c r="J33" i="70"/>
  <c r="J37" i="70"/>
  <c r="V53" i="70"/>
  <c r="J61" i="70"/>
  <c r="J67" i="70"/>
  <c r="V77" i="70"/>
  <c r="V99" i="71"/>
  <c r="V91" i="71"/>
  <c r="V83" i="71"/>
  <c r="V59" i="71"/>
  <c r="V55" i="71"/>
  <c r="V101" i="71"/>
  <c r="V93" i="71"/>
  <c r="V85" i="71"/>
  <c r="V73" i="71"/>
  <c r="V69" i="71"/>
  <c r="V65" i="71"/>
  <c r="V100" i="71"/>
  <c r="V84" i="71"/>
  <c r="V76" i="71"/>
  <c r="V95" i="71"/>
  <c r="V87" i="71"/>
  <c r="V75" i="71"/>
  <c r="V51" i="71"/>
  <c r="V49" i="71"/>
  <c r="V47" i="71"/>
  <c r="V43" i="71"/>
  <c r="V39" i="71"/>
  <c r="V35" i="71"/>
  <c r="V105" i="71"/>
  <c r="V106" i="71"/>
  <c r="V96" i="71"/>
  <c r="V88" i="71"/>
  <c r="V80" i="71"/>
  <c r="V89" i="71"/>
  <c r="L101" i="71"/>
  <c r="V102" i="71"/>
  <c r="F17" i="73"/>
  <c r="L69" i="73"/>
  <c r="N69" i="73" s="1"/>
  <c r="X74" i="73"/>
  <c r="Z74" i="73" s="1"/>
  <c r="J31" i="74"/>
  <c r="N84" i="77"/>
  <c r="L84" i="77"/>
  <c r="J84" i="77"/>
  <c r="J55" i="69"/>
  <c r="J59" i="69"/>
  <c r="J63" i="69"/>
  <c r="J67" i="69"/>
  <c r="J71" i="69"/>
  <c r="J75" i="69"/>
  <c r="J111" i="69"/>
  <c r="J135" i="69"/>
  <c r="J139" i="69"/>
  <c r="J147" i="69"/>
  <c r="J26" i="70"/>
  <c r="J30" i="70"/>
  <c r="J32" i="70"/>
  <c r="J36" i="70"/>
  <c r="J40" i="70"/>
  <c r="V52" i="70"/>
  <c r="J58" i="70"/>
  <c r="V68" i="70"/>
  <c r="J80" i="70"/>
  <c r="N33" i="71"/>
  <c r="V34" i="71"/>
  <c r="J36" i="71"/>
  <c r="V37" i="71"/>
  <c r="V40" i="71"/>
  <c r="V46" i="71"/>
  <c r="H49" i="71"/>
  <c r="J66" i="71"/>
  <c r="V67" i="71"/>
  <c r="J78" i="71"/>
  <c r="J87" i="71"/>
  <c r="J90" i="71"/>
  <c r="J101" i="71"/>
  <c r="Z17" i="73"/>
  <c r="Z25" i="73"/>
  <c r="N35" i="73"/>
  <c r="F37" i="73"/>
  <c r="F41" i="73"/>
  <c r="F45" i="73"/>
  <c r="F81" i="73"/>
  <c r="F64" i="74"/>
  <c r="F77" i="74"/>
  <c r="F59" i="74"/>
  <c r="F58" i="74"/>
  <c r="F51" i="74"/>
  <c r="F50" i="74"/>
  <c r="F27" i="74"/>
  <c r="F23" i="74"/>
  <c r="F22" i="74"/>
  <c r="F72" i="74"/>
  <c r="F21" i="74"/>
  <c r="F19" i="74"/>
  <c r="F53" i="74"/>
  <c r="F52" i="74"/>
  <c r="F41" i="74"/>
  <c r="F37" i="74"/>
  <c r="F33" i="74"/>
  <c r="D19" i="74"/>
  <c r="F68" i="74"/>
  <c r="F60" i="74"/>
  <c r="F28" i="74"/>
  <c r="F24" i="74"/>
  <c r="F43" i="74"/>
  <c r="F42" i="74"/>
  <c r="F54" i="74"/>
  <c r="F38" i="74"/>
  <c r="F34" i="74"/>
  <c r="F74" i="74"/>
  <c r="F70" i="74"/>
  <c r="F61" i="74"/>
  <c r="F45" i="74"/>
  <c r="F44" i="74"/>
  <c r="F29" i="74"/>
  <c r="F25" i="74"/>
  <c r="F65" i="74"/>
  <c r="F56" i="74"/>
  <c r="F55" i="74"/>
  <c r="F16" i="74"/>
  <c r="F15" i="74"/>
  <c r="F47" i="74"/>
  <c r="F46" i="74"/>
  <c r="F39" i="74"/>
  <c r="F35" i="74"/>
  <c r="F30" i="74"/>
  <c r="F49" i="74"/>
  <c r="J84" i="69"/>
  <c r="J88" i="69"/>
  <c r="J120" i="69"/>
  <c r="J128" i="69"/>
  <c r="J31" i="70"/>
  <c r="V33" i="70"/>
  <c r="V37" i="70"/>
  <c r="J45" i="70"/>
  <c r="J49" i="70"/>
  <c r="J57" i="70"/>
  <c r="V61" i="70"/>
  <c r="J65" i="70"/>
  <c r="V69" i="70"/>
  <c r="J73" i="70"/>
  <c r="J79" i="70"/>
  <c r="V52" i="71"/>
  <c r="V72" i="71"/>
  <c r="Z82" i="71"/>
  <c r="P12" i="73"/>
  <c r="X14" i="73"/>
  <c r="Z14" i="73" s="1"/>
  <c r="J77" i="74"/>
  <c r="J74" i="74"/>
  <c r="J63" i="74"/>
  <c r="J65" i="74"/>
  <c r="J66" i="74"/>
  <c r="J70" i="74"/>
  <c r="J68" i="74"/>
  <c r="J72" i="74"/>
  <c r="J52" i="74"/>
  <c r="H19" i="74"/>
  <c r="J53" i="74"/>
  <c r="J41" i="74"/>
  <c r="J37" i="74"/>
  <c r="J33" i="74"/>
  <c r="J64" i="74"/>
  <c r="J60" i="74"/>
  <c r="J42" i="74"/>
  <c r="J28" i="74"/>
  <c r="J24" i="74"/>
  <c r="J43" i="74"/>
  <c r="J54" i="74"/>
  <c r="J44" i="74"/>
  <c r="J38" i="74"/>
  <c r="J34" i="74"/>
  <c r="J61" i="74"/>
  <c r="J55" i="74"/>
  <c r="J45" i="74"/>
  <c r="J29" i="74"/>
  <c r="J25" i="74"/>
  <c r="J15" i="74"/>
  <c r="J56" i="74"/>
  <c r="J46" i="74"/>
  <c r="J16" i="74"/>
  <c r="J47" i="74"/>
  <c r="J39" i="74"/>
  <c r="J35" i="74"/>
  <c r="J62" i="74"/>
  <c r="J48" i="74"/>
  <c r="J30" i="74"/>
  <c r="J26" i="74"/>
  <c r="N12" i="74"/>
  <c r="J49" i="74"/>
  <c r="R83" i="76"/>
  <c r="R82" i="76"/>
  <c r="R70" i="76"/>
  <c r="R55" i="76"/>
  <c r="R54" i="76"/>
  <c r="R30" i="76"/>
  <c r="R26" i="76"/>
  <c r="R77" i="76"/>
  <c r="R65" i="76"/>
  <c r="R46" i="76"/>
  <c r="R45" i="76"/>
  <c r="R17" i="76"/>
  <c r="R85" i="76"/>
  <c r="R84" i="76"/>
  <c r="R57" i="76"/>
  <c r="R56" i="76"/>
  <c r="R40" i="76"/>
  <c r="R36" i="76"/>
  <c r="R72" i="76"/>
  <c r="R71" i="76"/>
  <c r="R48" i="76"/>
  <c r="R47" i="76"/>
  <c r="R31" i="76"/>
  <c r="R27" i="76"/>
  <c r="R86" i="76"/>
  <c r="R78" i="76"/>
  <c r="R66" i="76"/>
  <c r="R59" i="76"/>
  <c r="R58" i="76"/>
  <c r="R18" i="76"/>
  <c r="R90" i="76"/>
  <c r="R88" i="76"/>
  <c r="R74" i="76"/>
  <c r="R73" i="76"/>
  <c r="R50" i="76"/>
  <c r="R49" i="76"/>
  <c r="R41" i="76"/>
  <c r="R37" i="76"/>
  <c r="R61" i="76"/>
  <c r="R60" i="76"/>
  <c r="R33" i="76"/>
  <c r="R32" i="76"/>
  <c r="R28" i="76"/>
  <c r="R92" i="76"/>
  <c r="R63" i="76"/>
  <c r="R62" i="76"/>
  <c r="R42" i="76"/>
  <c r="R38" i="76"/>
  <c r="R34" i="76"/>
  <c r="R23" i="76"/>
  <c r="R21" i="76"/>
  <c r="R97" i="76"/>
  <c r="R94" i="76"/>
  <c r="R81" i="76"/>
  <c r="R69" i="76"/>
  <c r="R29" i="76"/>
  <c r="R25" i="76"/>
  <c r="P21" i="76"/>
  <c r="R52" i="76"/>
  <c r="R35" i="76"/>
  <c r="R75" i="76"/>
  <c r="X12" i="76"/>
  <c r="Z12" i="76" s="1"/>
  <c r="R79" i="76"/>
  <c r="R53" i="76"/>
  <c r="R43" i="76"/>
  <c r="R39" i="76"/>
  <c r="R19" i="76"/>
  <c r="R67" i="76"/>
  <c r="R80" i="76"/>
  <c r="R51" i="76"/>
  <c r="R44" i="76"/>
  <c r="R68" i="76"/>
  <c r="R24" i="76"/>
  <c r="R76" i="76"/>
  <c r="R16" i="76"/>
  <c r="H97" i="76"/>
  <c r="J93" i="69"/>
  <c r="J97" i="69"/>
  <c r="J101" i="69"/>
  <c r="J119" i="69"/>
  <c r="J56" i="70"/>
  <c r="J78" i="70"/>
  <c r="V64" i="71"/>
  <c r="V82" i="71"/>
  <c r="V98" i="71"/>
  <c r="Z101" i="71"/>
  <c r="J104" i="71"/>
  <c r="F18" i="73"/>
  <c r="T21" i="76"/>
  <c r="J92" i="69"/>
  <c r="J110" i="69"/>
  <c r="J118" i="69"/>
  <c r="J134" i="69"/>
  <c r="J138" i="69"/>
  <c r="J146" i="69"/>
  <c r="J35" i="70"/>
  <c r="J39" i="70"/>
  <c r="J55" i="70"/>
  <c r="V67" i="70"/>
  <c r="J77" i="70"/>
  <c r="V83" i="70"/>
  <c r="X51" i="71"/>
  <c r="Z51" i="71" s="1"/>
  <c r="N63" i="71"/>
  <c r="V81" i="71"/>
  <c r="F86" i="73"/>
  <c r="F83" i="73"/>
  <c r="F64" i="73"/>
  <c r="F32" i="73"/>
  <c r="F28" i="73"/>
  <c r="F71" i="73"/>
  <c r="F47" i="73"/>
  <c r="F46" i="73"/>
  <c r="F19" i="73"/>
  <c r="F66" i="73"/>
  <c r="F65" i="73"/>
  <c r="F58" i="73"/>
  <c r="F42" i="73"/>
  <c r="F38" i="73"/>
  <c r="L12" i="73"/>
  <c r="N12" i="73" s="1"/>
  <c r="F73" i="73"/>
  <c r="F72" i="73"/>
  <c r="F49" i="73"/>
  <c r="F48" i="73"/>
  <c r="F33" i="73"/>
  <c r="F29" i="73"/>
  <c r="F60" i="73"/>
  <c r="F59" i="73"/>
  <c r="F20" i="73"/>
  <c r="F75" i="73"/>
  <c r="F74" i="73"/>
  <c r="F67" i="73"/>
  <c r="F51" i="73"/>
  <c r="F50" i="73"/>
  <c r="F43" i="73"/>
  <c r="F39" i="73"/>
  <c r="F34" i="73"/>
  <c r="F30" i="73"/>
  <c r="F26" i="73"/>
  <c r="F25" i="73"/>
  <c r="F61" i="73"/>
  <c r="F53" i="73"/>
  <c r="F52" i="73"/>
  <c r="F24" i="73"/>
  <c r="F22" i="73"/>
  <c r="F79" i="73"/>
  <c r="F77" i="73"/>
  <c r="F68" i="73"/>
  <c r="F44" i="73"/>
  <c r="F40" i="73"/>
  <c r="F36" i="73"/>
  <c r="F35" i="73"/>
  <c r="D22" i="73"/>
  <c r="F70" i="73"/>
  <c r="J53" i="69"/>
  <c r="J79" i="69"/>
  <c r="J81" i="69"/>
  <c r="J83" i="69"/>
  <c r="J87" i="69"/>
  <c r="J91" i="69"/>
  <c r="L92" i="69"/>
  <c r="N92" i="69" s="1"/>
  <c r="J109" i="69"/>
  <c r="X114" i="69"/>
  <c r="Z114" i="69" s="1"/>
  <c r="J117" i="69"/>
  <c r="X122" i="69"/>
  <c r="Z122" i="69" s="1"/>
  <c r="J127" i="69"/>
  <c r="X130" i="69"/>
  <c r="Z130" i="69" s="1"/>
  <c r="J133" i="69"/>
  <c r="J145" i="69"/>
  <c r="J157" i="69"/>
  <c r="N12" i="70"/>
  <c r="V32" i="70"/>
  <c r="V36" i="70"/>
  <c r="V40" i="70"/>
  <c r="J44" i="70"/>
  <c r="J48" i="70"/>
  <c r="J54" i="70"/>
  <c r="V60" i="70"/>
  <c r="J64" i="70"/>
  <c r="X67" i="70"/>
  <c r="Z67" i="70" s="1"/>
  <c r="J72" i="70"/>
  <c r="J76" i="70"/>
  <c r="L77" i="70"/>
  <c r="N77" i="70" s="1"/>
  <c r="V80" i="70"/>
  <c r="V82" i="70"/>
  <c r="V33" i="71"/>
  <c r="V36" i="71"/>
  <c r="V42" i="71"/>
  <c r="V45" i="71"/>
  <c r="V61" i="71"/>
  <c r="V66" i="71"/>
  <c r="J68" i="71"/>
  <c r="Z78" i="71"/>
  <c r="L89" i="71"/>
  <c r="N89" i="71" s="1"/>
  <c r="V90" i="71"/>
  <c r="F56" i="73"/>
  <c r="Z59" i="73"/>
  <c r="F62" i="73"/>
  <c r="Z65" i="73"/>
  <c r="J23" i="74"/>
  <c r="J58" i="74"/>
  <c r="N18" i="75"/>
  <c r="D12" i="77"/>
  <c r="L14" i="77"/>
  <c r="J82" i="69"/>
  <c r="J96" i="69"/>
  <c r="J100" i="69"/>
  <c r="J108" i="69"/>
  <c r="J116" i="69"/>
  <c r="J126" i="69"/>
  <c r="J132" i="69"/>
  <c r="J144" i="69"/>
  <c r="T28" i="70"/>
  <c r="V41" i="70"/>
  <c r="V45" i="70"/>
  <c r="V49" i="70"/>
  <c r="J53" i="70"/>
  <c r="V57" i="70"/>
  <c r="J63" i="70"/>
  <c r="V65" i="70"/>
  <c r="J71" i="70"/>
  <c r="V73" i="70"/>
  <c r="J106" i="71"/>
  <c r="J89" i="71"/>
  <c r="J79" i="71"/>
  <c r="J71" i="71"/>
  <c r="J67" i="71"/>
  <c r="J97" i="71"/>
  <c r="J81" i="71"/>
  <c r="J63" i="71"/>
  <c r="J45" i="71"/>
  <c r="J41" i="71"/>
  <c r="J37" i="71"/>
  <c r="J110" i="71"/>
  <c r="J82" i="71"/>
  <c r="J72" i="71"/>
  <c r="J91" i="71"/>
  <c r="J83" i="71"/>
  <c r="J59" i="71"/>
  <c r="J55" i="71"/>
  <c r="J33" i="71"/>
  <c r="J99" i="71"/>
  <c r="J93" i="71"/>
  <c r="J100" i="71"/>
  <c r="J94" i="71"/>
  <c r="J84" i="71"/>
  <c r="J74" i="71"/>
  <c r="J60" i="71"/>
  <c r="J56" i="71"/>
  <c r="J35" i="71"/>
  <c r="J38" i="71"/>
  <c r="J47" i="71"/>
  <c r="T49" i="71"/>
  <c r="J53" i="71"/>
  <c r="X63" i="71"/>
  <c r="J73" i="71"/>
  <c r="V78" i="71"/>
  <c r="J80" i="71"/>
  <c r="L85" i="71"/>
  <c r="X87" i="71"/>
  <c r="Z87" i="71" s="1"/>
  <c r="L94" i="71"/>
  <c r="N94" i="71" s="1"/>
  <c r="N56" i="73"/>
  <c r="L56" i="73"/>
  <c r="J27" i="74"/>
  <c r="L58" i="74"/>
  <c r="F66" i="74"/>
  <c r="J18" i="75"/>
  <c r="J57" i="69"/>
  <c r="J61" i="69"/>
  <c r="J65" i="69"/>
  <c r="J69" i="69"/>
  <c r="J73" i="69"/>
  <c r="J77" i="69"/>
  <c r="J107" i="69"/>
  <c r="J125" i="69"/>
  <c r="J137" i="69"/>
  <c r="J143" i="69"/>
  <c r="V26" i="70"/>
  <c r="V28" i="70"/>
  <c r="V30" i="70"/>
  <c r="J34" i="70"/>
  <c r="J38" i="70"/>
  <c r="J52" i="70"/>
  <c r="V58" i="70"/>
  <c r="J62" i="70"/>
  <c r="J70" i="70"/>
  <c r="V58" i="71"/>
  <c r="V74" i="71"/>
  <c r="N76" i="71"/>
  <c r="V77" i="71"/>
  <c r="V86" i="71"/>
  <c r="J102" i="71"/>
  <c r="Z104" i="71"/>
  <c r="X50" i="73"/>
  <c r="Z50" i="73" s="1"/>
  <c r="X42" i="74"/>
  <c r="L48" i="74"/>
  <c r="J86" i="69"/>
  <c r="J90" i="69"/>
  <c r="J106" i="69"/>
  <c r="J124" i="69"/>
  <c r="J142" i="69"/>
  <c r="J43" i="70"/>
  <c r="J47" i="70"/>
  <c r="J51" i="70"/>
  <c r="J69" i="70"/>
  <c r="J75" i="70"/>
  <c r="N52" i="71"/>
  <c r="V68" i="71"/>
  <c r="V71" i="71"/>
  <c r="V97" i="71"/>
  <c r="V104" i="71"/>
  <c r="N88" i="77"/>
  <c r="L88" i="77"/>
  <c r="J55" i="73"/>
  <c r="J63" i="73"/>
  <c r="J69" i="73"/>
  <c r="J81" i="73"/>
  <c r="J36" i="73"/>
  <c r="J40" i="73"/>
  <c r="J44" i="73"/>
  <c r="J54" i="73"/>
  <c r="J62" i="73"/>
  <c r="J68" i="73"/>
  <c r="V23" i="74"/>
  <c r="V27" i="74"/>
  <c r="V51" i="74"/>
  <c r="V59" i="74"/>
  <c r="X15" i="75"/>
  <c r="V34" i="76"/>
  <c r="J35" i="73"/>
  <c r="J53" i="73"/>
  <c r="J61" i="73"/>
  <c r="J77" i="73"/>
  <c r="V64" i="74"/>
  <c r="V77" i="74"/>
  <c r="V74" i="74"/>
  <c r="V72" i="74"/>
  <c r="T19" i="74"/>
  <c r="V32" i="74"/>
  <c r="V36" i="74"/>
  <c r="V40" i="74"/>
  <c r="V52" i="74"/>
  <c r="L26" i="75"/>
  <c r="L57" i="76"/>
  <c r="P12" i="77"/>
  <c r="N73" i="77"/>
  <c r="L73" i="77"/>
  <c r="H31" i="78"/>
  <c r="V63" i="74"/>
  <c r="N26" i="75"/>
  <c r="J26" i="75"/>
  <c r="J25" i="73"/>
  <c r="J39" i="73"/>
  <c r="J43" i="73"/>
  <c r="J51" i="73"/>
  <c r="J67" i="73"/>
  <c r="J75" i="73"/>
  <c r="Z12" i="74"/>
  <c r="V22" i="74"/>
  <c r="V26" i="74"/>
  <c r="V30" i="74"/>
  <c r="V50" i="74"/>
  <c r="V58" i="74"/>
  <c r="V62" i="74"/>
  <c r="T49" i="75"/>
  <c r="N59" i="76"/>
  <c r="N61" i="76"/>
  <c r="L61" i="76"/>
  <c r="L85" i="76"/>
  <c r="N85" i="76" s="1"/>
  <c r="Z35" i="77"/>
  <c r="N71" i="77"/>
  <c r="Z75" i="77"/>
  <c r="J20" i="73"/>
  <c r="J50" i="73"/>
  <c r="J60" i="73"/>
  <c r="J74" i="73"/>
  <c r="X22" i="74"/>
  <c r="V31" i="74"/>
  <c r="V35" i="74"/>
  <c r="V39" i="74"/>
  <c r="L44" i="74"/>
  <c r="V47" i="74"/>
  <c r="X50" i="74"/>
  <c r="X58" i="74"/>
  <c r="L33" i="76"/>
  <c r="N33" i="76" s="1"/>
  <c r="N69" i="77"/>
  <c r="J29" i="73"/>
  <c r="J33" i="73"/>
  <c r="J49" i="73"/>
  <c r="J59" i="73"/>
  <c r="J73" i="73"/>
  <c r="V16" i="74"/>
  <c r="V48" i="74"/>
  <c r="V56" i="74"/>
  <c r="V65" i="74"/>
  <c r="V70" i="74"/>
  <c r="V85" i="76"/>
  <c r="V77" i="76"/>
  <c r="V65" i="76"/>
  <c r="V57" i="76"/>
  <c r="V45" i="76"/>
  <c r="V17" i="76"/>
  <c r="V84" i="76"/>
  <c r="V72" i="76"/>
  <c r="V56" i="76"/>
  <c r="V48" i="76"/>
  <c r="V40" i="76"/>
  <c r="V36" i="76"/>
  <c r="V71" i="76"/>
  <c r="V59" i="76"/>
  <c r="V47" i="76"/>
  <c r="V88" i="76"/>
  <c r="V86" i="76"/>
  <c r="V78" i="76"/>
  <c r="V74" i="76"/>
  <c r="V66" i="76"/>
  <c r="V58" i="76"/>
  <c r="V50" i="76"/>
  <c r="V18" i="76"/>
  <c r="V73" i="76"/>
  <c r="V61" i="76"/>
  <c r="V49" i="76"/>
  <c r="V41" i="76"/>
  <c r="V37" i="76"/>
  <c r="V33" i="76"/>
  <c r="V80" i="76"/>
  <c r="V68" i="76"/>
  <c r="V60" i="76"/>
  <c r="V32" i="76"/>
  <c r="V28" i="76"/>
  <c r="V24" i="76"/>
  <c r="V79" i="76"/>
  <c r="V75" i="76"/>
  <c r="V67" i="76"/>
  <c r="V63" i="76"/>
  <c r="V51" i="76"/>
  <c r="V23" i="76"/>
  <c r="V21" i="76"/>
  <c r="V19" i="76"/>
  <c r="V81" i="76"/>
  <c r="V69" i="76"/>
  <c r="V53" i="76"/>
  <c r="V29" i="76"/>
  <c r="V25" i="76"/>
  <c r="V76" i="76"/>
  <c r="V64" i="76"/>
  <c r="V52" i="76"/>
  <c r="V44" i="76"/>
  <c r="V16" i="76"/>
  <c r="X23" i="76"/>
  <c r="Z23" i="76" s="1"/>
  <c r="V27" i="76"/>
  <c r="V31" i="76"/>
  <c r="J33" i="76"/>
  <c r="N50" i="76"/>
  <c r="X63" i="76"/>
  <c r="J66" i="73"/>
  <c r="J72" i="73"/>
  <c r="V61" i="74"/>
  <c r="Z53" i="76"/>
  <c r="X55" i="76"/>
  <c r="Z55" i="76" s="1"/>
  <c r="Z63" i="76"/>
  <c r="L74" i="76"/>
  <c r="N74" i="76" s="1"/>
  <c r="Z81" i="77"/>
  <c r="X81" i="77"/>
  <c r="J19" i="73"/>
  <c r="J47" i="73"/>
  <c r="J65" i="73"/>
  <c r="V34" i="74"/>
  <c r="V38" i="74"/>
  <c r="V46" i="74"/>
  <c r="V54" i="74"/>
  <c r="V55" i="76"/>
  <c r="Z83" i="76"/>
  <c r="X83" i="76"/>
  <c r="Z69" i="77"/>
  <c r="V81" i="77"/>
  <c r="D12" i="76"/>
  <c r="L13" i="76"/>
  <c r="N13" i="76" s="1"/>
  <c r="X16" i="76"/>
  <c r="Z16" i="76" s="1"/>
  <c r="N96" i="77"/>
  <c r="R18" i="78"/>
  <c r="R24" i="78"/>
  <c r="R19" i="78"/>
  <c r="X12" i="78"/>
  <c r="Z12" i="78" s="1"/>
  <c r="R27" i="78"/>
  <c r="R16" i="78"/>
  <c r="R29" i="78"/>
  <c r="Z20" i="79"/>
  <c r="T91" i="79"/>
  <c r="N56" i="79"/>
  <c r="J88" i="76"/>
  <c r="J90" i="76"/>
  <c r="V100" i="77"/>
  <c r="V84" i="77"/>
  <c r="V72" i="77"/>
  <c r="V56" i="77"/>
  <c r="V52" i="77"/>
  <c r="V48" i="77"/>
  <c r="V106" i="77"/>
  <c r="V94" i="77"/>
  <c r="V113" i="77"/>
  <c r="V101" i="77"/>
  <c r="V85" i="77"/>
  <c r="V77" i="77"/>
  <c r="V57" i="77"/>
  <c r="V53" i="77"/>
  <c r="V49" i="77"/>
  <c r="V116" i="77"/>
  <c r="V108" i="77"/>
  <c r="V104" i="77"/>
  <c r="V92" i="77"/>
  <c r="V118" i="77"/>
  <c r="V110" i="77"/>
  <c r="V98" i="77"/>
  <c r="V35" i="77"/>
  <c r="V38" i="77"/>
  <c r="H123" i="77"/>
  <c r="V60" i="77"/>
  <c r="V74" i="77"/>
  <c r="V80" i="77"/>
  <c r="X88" i="77"/>
  <c r="Z88" i="77" s="1"/>
  <c r="V91" i="77"/>
  <c r="V109" i="77"/>
  <c r="N118" i="77"/>
  <c r="X14" i="78"/>
  <c r="F17" i="78"/>
  <c r="R23" i="78"/>
  <c r="R44" i="79"/>
  <c r="L86" i="79"/>
  <c r="Z27" i="80"/>
  <c r="J89" i="81"/>
  <c r="J75" i="81"/>
  <c r="J71" i="81"/>
  <c r="J65" i="81"/>
  <c r="J59" i="81"/>
  <c r="J53" i="81"/>
  <c r="J43" i="81"/>
  <c r="J27" i="81"/>
  <c r="J23" i="81"/>
  <c r="L12" i="81"/>
  <c r="J76" i="81"/>
  <c r="J66" i="81"/>
  <c r="J60" i="81"/>
  <c r="J54" i="81"/>
  <c r="J44" i="81"/>
  <c r="J94" i="81"/>
  <c r="J91" i="81"/>
  <c r="J77" i="81"/>
  <c r="J61" i="81"/>
  <c r="J55" i="81"/>
  <c r="J45" i="81"/>
  <c r="J37" i="81"/>
  <c r="J33" i="81"/>
  <c r="J19" i="81"/>
  <c r="J78" i="81"/>
  <c r="J72" i="81"/>
  <c r="J56" i="81"/>
  <c r="J28" i="81"/>
  <c r="J79" i="81"/>
  <c r="J67" i="81"/>
  <c r="J29" i="81"/>
  <c r="J81" i="81"/>
  <c r="J73" i="81"/>
  <c r="J69" i="81"/>
  <c r="J57" i="81"/>
  <c r="J47" i="81"/>
  <c r="J25" i="81"/>
  <c r="J21" i="81"/>
  <c r="J48" i="81"/>
  <c r="J84" i="81"/>
  <c r="J83" i="81"/>
  <c r="J63" i="81"/>
  <c r="J49" i="81"/>
  <c r="J39" i="81"/>
  <c r="J35" i="81"/>
  <c r="J31" i="81"/>
  <c r="J87" i="81"/>
  <c r="J51" i="81"/>
  <c r="J20" i="81"/>
  <c r="J62" i="81"/>
  <c r="J42" i="81"/>
  <c r="J32" i="81"/>
  <c r="J80" i="81"/>
  <c r="J64" i="81"/>
  <c r="J58" i="81"/>
  <c r="J52" i="81"/>
  <c r="J30" i="81"/>
  <c r="J18" i="81"/>
  <c r="J85" i="81"/>
  <c r="J50" i="81"/>
  <c r="J40" i="81"/>
  <c r="J14" i="81"/>
  <c r="J46" i="81"/>
  <c r="J26" i="81"/>
  <c r="J24" i="81"/>
  <c r="J74" i="81"/>
  <c r="J70" i="81"/>
  <c r="J38" i="81"/>
  <c r="J68" i="81"/>
  <c r="J36" i="81"/>
  <c r="H16" i="81"/>
  <c r="N12" i="81"/>
  <c r="H23" i="75"/>
  <c r="V38" i="75"/>
  <c r="V42" i="75"/>
  <c r="J37" i="76"/>
  <c r="J41" i="76"/>
  <c r="J49" i="76"/>
  <c r="J59" i="76"/>
  <c r="J73" i="76"/>
  <c r="J45" i="77"/>
  <c r="J51" i="77"/>
  <c r="V69" i="77"/>
  <c r="J72" i="77"/>
  <c r="N90" i="77"/>
  <c r="X96" i="77"/>
  <c r="J111" i="77"/>
  <c r="J115" i="77"/>
  <c r="J118" i="77"/>
  <c r="Z23" i="78"/>
  <c r="R33" i="78"/>
  <c r="R32" i="79"/>
  <c r="R89" i="79"/>
  <c r="R72" i="81"/>
  <c r="R56" i="81"/>
  <c r="R29" i="81"/>
  <c r="R28" i="81"/>
  <c r="R24" i="81"/>
  <c r="R20" i="81"/>
  <c r="P16" i="81"/>
  <c r="R80" i="81"/>
  <c r="R79" i="81"/>
  <c r="R68" i="81"/>
  <c r="R67" i="81"/>
  <c r="R62" i="81"/>
  <c r="R47" i="81"/>
  <c r="R46" i="81"/>
  <c r="R38" i="81"/>
  <c r="R34" i="81"/>
  <c r="R30" i="81"/>
  <c r="R81" i="81"/>
  <c r="R73" i="81"/>
  <c r="R69" i="81"/>
  <c r="R57" i="81"/>
  <c r="R84" i="81"/>
  <c r="R83" i="81"/>
  <c r="R49" i="81"/>
  <c r="R48" i="81"/>
  <c r="R87" i="81"/>
  <c r="R74" i="81"/>
  <c r="R70" i="81"/>
  <c r="R58" i="81"/>
  <c r="R51" i="81"/>
  <c r="R50" i="81"/>
  <c r="R26" i="81"/>
  <c r="R22" i="81"/>
  <c r="R42" i="81"/>
  <c r="R41" i="81"/>
  <c r="R65" i="81"/>
  <c r="R64" i="81"/>
  <c r="R53" i="81"/>
  <c r="R52" i="81"/>
  <c r="R36" i="81"/>
  <c r="R32" i="81"/>
  <c r="X12" i="81"/>
  <c r="R94" i="81"/>
  <c r="R91" i="81"/>
  <c r="R66" i="81"/>
  <c r="R55" i="81"/>
  <c r="R54" i="81"/>
  <c r="R85" i="81"/>
  <c r="R18" i="81"/>
  <c r="R37" i="81"/>
  <c r="R78" i="81"/>
  <c r="R43" i="81"/>
  <c r="R40" i="81"/>
  <c r="R35" i="81"/>
  <c r="R21" i="81"/>
  <c r="R14" i="81"/>
  <c r="R76" i="81"/>
  <c r="R89" i="81"/>
  <c r="R61" i="81"/>
  <c r="R33" i="81"/>
  <c r="R19" i="81"/>
  <c r="R63" i="81"/>
  <c r="R59" i="81"/>
  <c r="R44" i="81"/>
  <c r="R31" i="81"/>
  <c r="R27" i="81"/>
  <c r="R16" i="81"/>
  <c r="R77" i="81"/>
  <c r="R45" i="81"/>
  <c r="R25" i="81"/>
  <c r="J22" i="81"/>
  <c r="F29" i="78"/>
  <c r="F33" i="78"/>
  <c r="F19" i="78"/>
  <c r="F23" i="78"/>
  <c r="L12" i="78"/>
  <c r="N12" i="78" s="1"/>
  <c r="R17" i="78"/>
  <c r="Z12" i="75"/>
  <c r="V28" i="75"/>
  <c r="V32" i="75"/>
  <c r="J36" i="75"/>
  <c r="J40" i="75"/>
  <c r="J44" i="75"/>
  <c r="J47" i="76"/>
  <c r="J57" i="76"/>
  <c r="J71" i="76"/>
  <c r="J85" i="76"/>
  <c r="V55" i="77"/>
  <c r="V62" i="77"/>
  <c r="J76" i="77"/>
  <c r="J82" i="77"/>
  <c r="V88" i="77"/>
  <c r="J95" i="77"/>
  <c r="Z96" i="77"/>
  <c r="J103" i="77"/>
  <c r="V111" i="77"/>
  <c r="Z118" i="77"/>
  <c r="F16" i="78"/>
  <c r="R25" i="78"/>
  <c r="R26" i="78"/>
  <c r="D12" i="79"/>
  <c r="L22" i="79"/>
  <c r="N22" i="79" s="1"/>
  <c r="R23" i="79"/>
  <c r="R63" i="79"/>
  <c r="R75" i="81"/>
  <c r="J21" i="75"/>
  <c r="J35" i="75"/>
  <c r="V37" i="75"/>
  <c r="V41" i="75"/>
  <c r="V45" i="75"/>
  <c r="V47" i="75"/>
  <c r="V49" i="75"/>
  <c r="J36" i="76"/>
  <c r="J40" i="76"/>
  <c r="J46" i="76"/>
  <c r="J56" i="76"/>
  <c r="J84" i="76"/>
  <c r="J36" i="77"/>
  <c r="V37" i="77"/>
  <c r="V47" i="77"/>
  <c r="J50" i="77"/>
  <c r="J57" i="77"/>
  <c r="V59" i="77"/>
  <c r="V73" i="77"/>
  <c r="V78" i="77"/>
  <c r="Z79" i="77"/>
  <c r="L81" i="77"/>
  <c r="V83" i="77"/>
  <c r="Z84" i="77"/>
  <c r="V93" i="77"/>
  <c r="V96" i="77"/>
  <c r="L110" i="77"/>
  <c r="D21" i="78"/>
  <c r="J78" i="79"/>
  <c r="J74" i="79"/>
  <c r="J68" i="79"/>
  <c r="J62" i="79"/>
  <c r="J52" i="79"/>
  <c r="J42" i="79"/>
  <c r="J38" i="79"/>
  <c r="J34" i="79"/>
  <c r="J91" i="79"/>
  <c r="J89" i="79"/>
  <c r="J69" i="79"/>
  <c r="J63" i="79"/>
  <c r="J53" i="79"/>
  <c r="J43" i="79"/>
  <c r="J29" i="79"/>
  <c r="J25" i="79"/>
  <c r="J70" i="79"/>
  <c r="J64" i="79"/>
  <c r="J54" i="79"/>
  <c r="J44" i="79"/>
  <c r="N12" i="79"/>
  <c r="J93" i="79"/>
  <c r="J79" i="79"/>
  <c r="J75" i="79"/>
  <c r="J71" i="79"/>
  <c r="J55" i="79"/>
  <c r="J45" i="79"/>
  <c r="J39" i="79"/>
  <c r="J35" i="79"/>
  <c r="J98" i="79"/>
  <c r="J95" i="79"/>
  <c r="J81" i="79"/>
  <c r="J65" i="79"/>
  <c r="J57" i="79"/>
  <c r="J47" i="79"/>
  <c r="J82" i="79"/>
  <c r="J76" i="79"/>
  <c r="J72" i="79"/>
  <c r="J58" i="79"/>
  <c r="J48" i="79"/>
  <c r="J40" i="79"/>
  <c r="J36" i="79"/>
  <c r="J83" i="79"/>
  <c r="J59" i="79"/>
  <c r="J31" i="79"/>
  <c r="J27" i="79"/>
  <c r="J84" i="79"/>
  <c r="J66" i="79"/>
  <c r="J32" i="79"/>
  <c r="J18" i="79"/>
  <c r="J86" i="79"/>
  <c r="J60" i="79"/>
  <c r="J50" i="79"/>
  <c r="J28" i="79"/>
  <c r="J24" i="79"/>
  <c r="J22" i="79"/>
  <c r="J20" i="79"/>
  <c r="R18" i="79"/>
  <c r="X22" i="79"/>
  <c r="Z23" i="79"/>
  <c r="X23" i="79"/>
  <c r="X56" i="79"/>
  <c r="Z56" i="79" s="1"/>
  <c r="J67" i="79"/>
  <c r="X70" i="79"/>
  <c r="J87" i="79"/>
  <c r="R71" i="81"/>
  <c r="J77" i="76"/>
  <c r="J83" i="76"/>
  <c r="T45" i="77"/>
  <c r="V51" i="77"/>
  <c r="V79" i="77"/>
  <c r="J86" i="77"/>
  <c r="J89" i="77"/>
  <c r="V90" i="77"/>
  <c r="Z115" i="77"/>
  <c r="V125" i="77"/>
  <c r="F18" i="78"/>
  <c r="F24" i="78"/>
  <c r="R93" i="79"/>
  <c r="R80" i="79"/>
  <c r="R79" i="79"/>
  <c r="R75" i="79"/>
  <c r="R71" i="79"/>
  <c r="R56" i="79"/>
  <c r="R55" i="79"/>
  <c r="R39" i="79"/>
  <c r="R35" i="79"/>
  <c r="R16" i="79"/>
  <c r="R98" i="79"/>
  <c r="R95" i="79"/>
  <c r="R47" i="79"/>
  <c r="R46" i="79"/>
  <c r="R30" i="79"/>
  <c r="R26" i="79"/>
  <c r="R82" i="79"/>
  <c r="R81" i="79"/>
  <c r="R65" i="79"/>
  <c r="R58" i="79"/>
  <c r="R57" i="79"/>
  <c r="R17" i="79"/>
  <c r="R76" i="79"/>
  <c r="R72" i="79"/>
  <c r="R48" i="79"/>
  <c r="R40" i="79"/>
  <c r="R36" i="79"/>
  <c r="R84" i="79"/>
  <c r="R83" i="79"/>
  <c r="R66" i="79"/>
  <c r="R86" i="79"/>
  <c r="R85" i="79"/>
  <c r="R77" i="79"/>
  <c r="R73" i="79"/>
  <c r="R50" i="79"/>
  <c r="R49" i="79"/>
  <c r="R41" i="79"/>
  <c r="R37" i="79"/>
  <c r="R33" i="79"/>
  <c r="R22" i="79"/>
  <c r="R20" i="79"/>
  <c r="R61" i="79"/>
  <c r="R60" i="79"/>
  <c r="R28" i="79"/>
  <c r="R24" i="79"/>
  <c r="P20" i="79"/>
  <c r="R87" i="79"/>
  <c r="R68" i="79"/>
  <c r="R67" i="79"/>
  <c r="R52" i="79"/>
  <c r="R51" i="79"/>
  <c r="R70" i="79"/>
  <c r="R69" i="79"/>
  <c r="R54" i="79"/>
  <c r="R53" i="79"/>
  <c r="R29" i="79"/>
  <c r="R25" i="79"/>
  <c r="Z22" i="79"/>
  <c r="R38" i="79"/>
  <c r="R43" i="79"/>
  <c r="R91" i="79"/>
  <c r="J41" i="81"/>
  <c r="V27" i="75"/>
  <c r="V31" i="75"/>
  <c r="J39" i="75"/>
  <c r="J43" i="75"/>
  <c r="X13" i="76"/>
  <c r="Z13" i="76" s="1"/>
  <c r="J16" i="76"/>
  <c r="J26" i="76"/>
  <c r="J30" i="76"/>
  <c r="J44" i="76"/>
  <c r="J54" i="76"/>
  <c r="J70" i="76"/>
  <c r="J82" i="76"/>
  <c r="V40" i="77"/>
  <c r="J42" i="77"/>
  <c r="V45" i="77"/>
  <c r="J53" i="77"/>
  <c r="V54" i="77"/>
  <c r="V67" i="77"/>
  <c r="L69" i="77"/>
  <c r="J75" i="77"/>
  <c r="J81" i="77"/>
  <c r="V87" i="77"/>
  <c r="N92" i="77"/>
  <c r="J97" i="77"/>
  <c r="J99" i="77"/>
  <c r="Z100" i="77"/>
  <c r="N110" i="77"/>
  <c r="J113" i="77"/>
  <c r="V114" i="77"/>
  <c r="V115" i="77"/>
  <c r="V121" i="77"/>
  <c r="P21" i="78"/>
  <c r="R31" i="79"/>
  <c r="L50" i="79"/>
  <c r="R62" i="79"/>
  <c r="R74" i="79"/>
  <c r="N21" i="80"/>
  <c r="Z58" i="77"/>
  <c r="V61" i="77"/>
  <c r="V64" i="77"/>
  <c r="V76" i="77"/>
  <c r="V82" i="77"/>
  <c r="V95" i="77"/>
  <c r="V117" i="77"/>
  <c r="R21" i="78"/>
  <c r="F27" i="78"/>
  <c r="N76" i="82"/>
  <c r="H78" i="82"/>
  <c r="L76" i="82"/>
  <c r="V21" i="75"/>
  <c r="V23" i="75"/>
  <c r="V25" i="75"/>
  <c r="J29" i="75"/>
  <c r="J33" i="75"/>
  <c r="J51" i="75"/>
  <c r="N16" i="76"/>
  <c r="J52" i="76"/>
  <c r="J64" i="76"/>
  <c r="J76" i="76"/>
  <c r="J94" i="76"/>
  <c r="J97" i="76"/>
  <c r="J116" i="77"/>
  <c r="J108" i="77"/>
  <c r="J104" i="77"/>
  <c r="J90" i="77"/>
  <c r="J80" i="77"/>
  <c r="J68" i="77"/>
  <c r="J64" i="77"/>
  <c r="J60" i="77"/>
  <c r="J98" i="77"/>
  <c r="J92" i="77"/>
  <c r="J117" i="77"/>
  <c r="J109" i="77"/>
  <c r="J105" i="77"/>
  <c r="J93" i="77"/>
  <c r="J71" i="77"/>
  <c r="J65" i="77"/>
  <c r="J61" i="77"/>
  <c r="J112" i="77"/>
  <c r="J114" i="77"/>
  <c r="J102" i="77"/>
  <c r="J96" i="77"/>
  <c r="J88" i="77"/>
  <c r="V36" i="77"/>
  <c r="J38" i="77"/>
  <c r="J49" i="77"/>
  <c r="V50" i="77"/>
  <c r="J56" i="77"/>
  <c r="V58" i="77"/>
  <c r="J69" i="77"/>
  <c r="V70" i="77"/>
  <c r="V71" i="77"/>
  <c r="J85" i="77"/>
  <c r="V89" i="77"/>
  <c r="V99" i="77"/>
  <c r="V102" i="77"/>
  <c r="V103" i="77"/>
  <c r="V119" i="77"/>
  <c r="Z16" i="78"/>
  <c r="J26" i="79"/>
  <c r="J37" i="79"/>
  <c r="R42" i="79"/>
  <c r="R45" i="79"/>
  <c r="R59" i="79"/>
  <c r="V26" i="75"/>
  <c r="V30" i="75"/>
  <c r="J38" i="75"/>
  <c r="J21" i="76"/>
  <c r="J23" i="76"/>
  <c r="J25" i="76"/>
  <c r="J29" i="76"/>
  <c r="J63" i="76"/>
  <c r="J69" i="76"/>
  <c r="V39" i="77"/>
  <c r="J74" i="77"/>
  <c r="X75" i="77"/>
  <c r="J91" i="77"/>
  <c r="J94" i="77"/>
  <c r="V97" i="77"/>
  <c r="J101" i="77"/>
  <c r="X103" i="77"/>
  <c r="Z103" i="77" s="1"/>
  <c r="V105" i="77"/>
  <c r="Z110" i="77"/>
  <c r="X113" i="77"/>
  <c r="J31" i="78"/>
  <c r="J29" i="78"/>
  <c r="J17" i="78"/>
  <c r="J33" i="78"/>
  <c r="J18" i="78"/>
  <c r="J19" i="78"/>
  <c r="J24" i="78"/>
  <c r="J25" i="78"/>
  <c r="J23" i="78"/>
  <c r="J21" i="78"/>
  <c r="J27" i="78"/>
  <c r="L23" i="78"/>
  <c r="N23" i="78" s="1"/>
  <c r="F26" i="78"/>
  <c r="H20" i="79"/>
  <c r="N47" i="79"/>
  <c r="J61" i="79"/>
  <c r="J73" i="79"/>
  <c r="R78" i="79"/>
  <c r="J16" i="81"/>
  <c r="V33" i="78"/>
  <c r="V80" i="79"/>
  <c r="D16" i="80"/>
  <c r="J30" i="80"/>
  <c r="V18" i="81"/>
  <c r="X16" i="83"/>
  <c r="V17" i="78"/>
  <c r="H16" i="80"/>
  <c r="J22" i="80"/>
  <c r="X23" i="80"/>
  <c r="V26" i="80"/>
  <c r="R30" i="80"/>
  <c r="V79" i="81"/>
  <c r="V67" i="81"/>
  <c r="V47" i="81"/>
  <c r="V62" i="81"/>
  <c r="V46" i="81"/>
  <c r="V38" i="81"/>
  <c r="V34" i="81"/>
  <c r="V30" i="81"/>
  <c r="V83" i="81"/>
  <c r="V81" i="81"/>
  <c r="V73" i="81"/>
  <c r="V69" i="81"/>
  <c r="V57" i="81"/>
  <c r="V49" i="81"/>
  <c r="V25" i="81"/>
  <c r="V21" i="81"/>
  <c r="V84" i="81"/>
  <c r="V48" i="81"/>
  <c r="V40" i="81"/>
  <c r="V87" i="81"/>
  <c r="V85" i="81"/>
  <c r="V63" i="81"/>
  <c r="V51" i="81"/>
  <c r="V39" i="81"/>
  <c r="V35" i="81"/>
  <c r="V31" i="81"/>
  <c r="V65" i="81"/>
  <c r="V53" i="81"/>
  <c r="V41" i="81"/>
  <c r="V76" i="81"/>
  <c r="V64" i="81"/>
  <c r="V60" i="81"/>
  <c r="V52" i="81"/>
  <c r="V44" i="81"/>
  <c r="V36" i="81"/>
  <c r="V32" i="81"/>
  <c r="Z12" i="81"/>
  <c r="V94" i="81"/>
  <c r="V91" i="81"/>
  <c r="V89" i="81"/>
  <c r="V75" i="81"/>
  <c r="V71" i="81"/>
  <c r="V59" i="81"/>
  <c r="V55" i="81"/>
  <c r="V43" i="81"/>
  <c r="V27" i="81"/>
  <c r="V23" i="81"/>
  <c r="V19" i="81"/>
  <c r="V77" i="81"/>
  <c r="V61" i="81"/>
  <c r="L19" i="81"/>
  <c r="N29" i="81"/>
  <c r="L29" i="81"/>
  <c r="V42" i="81"/>
  <c r="Z20" i="82"/>
  <c r="V87" i="79"/>
  <c r="V89" i="79"/>
  <c r="V91" i="79"/>
  <c r="J14" i="80"/>
  <c r="J16" i="80"/>
  <c r="J18" i="80"/>
  <c r="J19" i="80"/>
  <c r="R23" i="80"/>
  <c r="J39" i="80"/>
  <c r="L14" i="81"/>
  <c r="T16" i="81"/>
  <c r="L40" i="81"/>
  <c r="F56" i="84"/>
  <c r="F55" i="84"/>
  <c r="F44" i="84"/>
  <c r="F40" i="84"/>
  <c r="F36" i="84"/>
  <c r="F75" i="84"/>
  <c r="F74" i="84"/>
  <c r="F67" i="84"/>
  <c r="F66" i="84"/>
  <c r="F31" i="84"/>
  <c r="F27" i="84"/>
  <c r="F58" i="84"/>
  <c r="F57" i="84"/>
  <c r="F46" i="84"/>
  <c r="F45" i="84"/>
  <c r="F18" i="84"/>
  <c r="F17" i="84"/>
  <c r="F41" i="84"/>
  <c r="F37" i="84"/>
  <c r="F79" i="84"/>
  <c r="F77" i="84"/>
  <c r="F68" i="84"/>
  <c r="F48" i="84"/>
  <c r="F47" i="84"/>
  <c r="F32" i="84"/>
  <c r="F28" i="84"/>
  <c r="F81" i="84"/>
  <c r="F59" i="84"/>
  <c r="F19" i="84"/>
  <c r="F50" i="84"/>
  <c r="F49" i="84"/>
  <c r="F42" i="84"/>
  <c r="F69" i="84"/>
  <c r="F61" i="84"/>
  <c r="F60" i="84"/>
  <c r="F33" i="84"/>
  <c r="F29" i="84"/>
  <c r="F25" i="84"/>
  <c r="F24" i="84"/>
  <c r="F86" i="84"/>
  <c r="F83" i="84"/>
  <c r="F54" i="84"/>
  <c r="F53" i="84"/>
  <c r="F30" i="84"/>
  <c r="F26" i="84"/>
  <c r="F73" i="84"/>
  <c r="F72" i="84"/>
  <c r="F65" i="84"/>
  <c r="F64" i="84"/>
  <c r="F23" i="84"/>
  <c r="F71" i="84"/>
  <c r="F51" i="84"/>
  <c r="F35" i="84"/>
  <c r="F21" i="84"/>
  <c r="F63" i="84"/>
  <c r="D21" i="84"/>
  <c r="F52" i="84"/>
  <c r="F38" i="84"/>
  <c r="F70" i="84"/>
  <c r="F34" i="84"/>
  <c r="V27" i="78"/>
  <c r="V29" i="78"/>
  <c r="F34" i="80"/>
  <c r="F20" i="80"/>
  <c r="F19" i="80"/>
  <c r="F22" i="80"/>
  <c r="F21" i="80"/>
  <c r="F26" i="80"/>
  <c r="F25" i="80"/>
  <c r="F28" i="80"/>
  <c r="F27" i="80"/>
  <c r="V30" i="80"/>
  <c r="N19" i="81"/>
  <c r="V22" i="81"/>
  <c r="X50" i="82"/>
  <c r="J21" i="80"/>
  <c r="J23" i="80"/>
  <c r="J27" i="80"/>
  <c r="J28" i="80"/>
  <c r="V86" i="79"/>
  <c r="L12" i="80"/>
  <c r="P16" i="80"/>
  <c r="R19" i="80"/>
  <c r="V22" i="80"/>
  <c r="F24" i="80"/>
  <c r="V28" i="80"/>
  <c r="F32" i="80"/>
  <c r="R39" i="80"/>
  <c r="V24" i="81"/>
  <c r="X29" i="81"/>
  <c r="Z51" i="81"/>
  <c r="X51" i="81"/>
  <c r="Z53" i="81"/>
  <c r="X52" i="82"/>
  <c r="D12" i="83"/>
  <c r="L14" i="83"/>
  <c r="T21" i="78"/>
  <c r="V26" i="78"/>
  <c r="V23" i="79"/>
  <c r="V27" i="79"/>
  <c r="V31" i="79"/>
  <c r="V59" i="79"/>
  <c r="V83" i="79"/>
  <c r="N12" i="80"/>
  <c r="R14" i="80"/>
  <c r="R16" i="80"/>
  <c r="J24" i="80"/>
  <c r="F36" i="80"/>
  <c r="X14" i="81"/>
  <c r="N18" i="81"/>
  <c r="Z19" i="81"/>
  <c r="V33" i="81"/>
  <c r="Z65" i="81"/>
  <c r="D83" i="81"/>
  <c r="L83" i="81" s="1"/>
  <c r="R71" i="82"/>
  <c r="R52" i="82"/>
  <c r="R51" i="82"/>
  <c r="R27" i="82"/>
  <c r="R23" i="82"/>
  <c r="R66" i="82"/>
  <c r="R43" i="82"/>
  <c r="R42" i="82"/>
  <c r="R61" i="82"/>
  <c r="R54" i="82"/>
  <c r="R53" i="82"/>
  <c r="R37" i="82"/>
  <c r="R33" i="82"/>
  <c r="R73" i="82"/>
  <c r="R72" i="82"/>
  <c r="R45" i="82"/>
  <c r="R44" i="82"/>
  <c r="R28" i="82"/>
  <c r="R24" i="82"/>
  <c r="R67" i="82"/>
  <c r="R55" i="82"/>
  <c r="R74" i="82"/>
  <c r="R62" i="82"/>
  <c r="R46" i="82"/>
  <c r="R38" i="82"/>
  <c r="R34" i="82"/>
  <c r="R78" i="82"/>
  <c r="R76" i="82"/>
  <c r="R30" i="82"/>
  <c r="R29" i="82"/>
  <c r="R25" i="82"/>
  <c r="R68" i="82"/>
  <c r="R57" i="82"/>
  <c r="R56" i="82"/>
  <c r="R21" i="82"/>
  <c r="R16" i="82"/>
  <c r="R64" i="82"/>
  <c r="R63" i="82"/>
  <c r="R48" i="82"/>
  <c r="R47" i="82"/>
  <c r="R39" i="82"/>
  <c r="R35" i="82"/>
  <c r="R31" i="82"/>
  <c r="R20" i="82"/>
  <c r="R18" i="82"/>
  <c r="R85" i="82"/>
  <c r="R82" i="82"/>
  <c r="R70" i="82"/>
  <c r="R69" i="82"/>
  <c r="R65" i="82"/>
  <c r="R50" i="82"/>
  <c r="R49" i="82"/>
  <c r="R58" i="82"/>
  <c r="V19" i="78"/>
  <c r="V21" i="78"/>
  <c r="V84" i="79"/>
  <c r="R25" i="80"/>
  <c r="R24" i="80"/>
  <c r="R27" i="80"/>
  <c r="R26" i="80"/>
  <c r="R34" i="80"/>
  <c r="R21" i="80"/>
  <c r="R20" i="80"/>
  <c r="T16" i="80"/>
  <c r="V19" i="80"/>
  <c r="J32" i="80"/>
  <c r="J36" i="80"/>
  <c r="V26" i="81"/>
  <c r="P78" i="82"/>
  <c r="L30" i="82"/>
  <c r="R70" i="83"/>
  <c r="R66" i="83"/>
  <c r="R55" i="83"/>
  <c r="R54" i="83"/>
  <c r="R43" i="83"/>
  <c r="R42" i="83"/>
  <c r="R38" i="83"/>
  <c r="R34" i="83"/>
  <c r="R61" i="83"/>
  <c r="R82" i="83"/>
  <c r="R87" i="83"/>
  <c r="R84" i="83"/>
  <c r="R72" i="83"/>
  <c r="R71" i="83"/>
  <c r="R67" i="83"/>
  <c r="R39" i="83"/>
  <c r="R35" i="83"/>
  <c r="R63" i="83"/>
  <c r="R62" i="83"/>
  <c r="R73" i="83"/>
  <c r="R57" i="83"/>
  <c r="R76" i="83"/>
  <c r="R80" i="83"/>
  <c r="R78" i="83"/>
  <c r="R60" i="83"/>
  <c r="R59" i="83"/>
  <c r="R69" i="83"/>
  <c r="R58" i="83"/>
  <c r="R53" i="83"/>
  <c r="R30" i="83"/>
  <c r="R22" i="83"/>
  <c r="R17" i="83"/>
  <c r="R56" i="83"/>
  <c r="R46" i="83"/>
  <c r="R37" i="83"/>
  <c r="R21" i="83"/>
  <c r="R19" i="83"/>
  <c r="R65" i="83"/>
  <c r="R50" i="83"/>
  <c r="R40" i="83"/>
  <c r="R27" i="83"/>
  <c r="R23" i="83"/>
  <c r="P19" i="83"/>
  <c r="R47" i="83"/>
  <c r="R74" i="83"/>
  <c r="R32" i="83"/>
  <c r="R31" i="83"/>
  <c r="R51" i="83"/>
  <c r="R28" i="83"/>
  <c r="R24" i="83"/>
  <c r="R68" i="83"/>
  <c r="R75" i="83"/>
  <c r="R48" i="83"/>
  <c r="R44" i="83"/>
  <c r="R64" i="83"/>
  <c r="R41" i="83"/>
  <c r="R36" i="83"/>
  <c r="R33" i="83"/>
  <c r="R29" i="83"/>
  <c r="R25" i="83"/>
  <c r="R16" i="83"/>
  <c r="V27" i="80"/>
  <c r="V21" i="80"/>
  <c r="V39" i="80"/>
  <c r="V36" i="80"/>
  <c r="V34" i="80"/>
  <c r="V20" i="80"/>
  <c r="V23" i="80"/>
  <c r="V14" i="80"/>
  <c r="V16" i="80"/>
  <c r="V18" i="80"/>
  <c r="L30" i="80"/>
  <c r="X18" i="81"/>
  <c r="Z18" i="81" s="1"/>
  <c r="V26" i="79"/>
  <c r="V30" i="79"/>
  <c r="V46" i="79"/>
  <c r="V58" i="79"/>
  <c r="X12" i="80"/>
  <c r="V24" i="80"/>
  <c r="F30" i="80"/>
  <c r="V14" i="81"/>
  <c r="V37" i="81"/>
  <c r="V50" i="81"/>
  <c r="V56" i="81"/>
  <c r="V78" i="81"/>
  <c r="R60" i="82"/>
  <c r="X12" i="83"/>
  <c r="R52" i="83"/>
  <c r="F70" i="81"/>
  <c r="F74" i="81"/>
  <c r="F83" i="81"/>
  <c r="F85" i="81"/>
  <c r="F25" i="82"/>
  <c r="F29" i="82"/>
  <c r="V32" i="82"/>
  <c r="V36" i="82"/>
  <c r="V40" i="82"/>
  <c r="V52" i="82"/>
  <c r="J56" i="82"/>
  <c r="V60" i="82"/>
  <c r="J68" i="82"/>
  <c r="J76" i="82"/>
  <c r="J78" i="82"/>
  <c r="V61" i="83"/>
  <c r="V45" i="83"/>
  <c r="V29" i="83"/>
  <c r="V87" i="83"/>
  <c r="V84" i="83"/>
  <c r="V82" i="83"/>
  <c r="V72" i="83"/>
  <c r="V56" i="83"/>
  <c r="V44" i="83"/>
  <c r="V71" i="83"/>
  <c r="V62" i="83"/>
  <c r="V46" i="83"/>
  <c r="V30" i="83"/>
  <c r="V73" i="83"/>
  <c r="V57" i="83"/>
  <c r="V68" i="83"/>
  <c r="V64" i="83"/>
  <c r="V48" i="83"/>
  <c r="V40" i="83"/>
  <c r="V74" i="83"/>
  <c r="V58" i="83"/>
  <c r="V50" i="83"/>
  <c r="V59" i="83"/>
  <c r="V70" i="83"/>
  <c r="V66" i="83"/>
  <c r="V54" i="83"/>
  <c r="V42" i="83"/>
  <c r="V22" i="83"/>
  <c r="V26" i="83"/>
  <c r="V39" i="83"/>
  <c r="V53" i="83"/>
  <c r="N66" i="85"/>
  <c r="F47" i="81"/>
  <c r="F48" i="81"/>
  <c r="X78" i="81"/>
  <c r="Z12" i="82"/>
  <c r="L15" i="82"/>
  <c r="V22" i="82"/>
  <c r="V26" i="82"/>
  <c r="J34" i="82"/>
  <c r="J38" i="82"/>
  <c r="X41" i="82"/>
  <c r="J46" i="82"/>
  <c r="V50" i="82"/>
  <c r="F54" i="82"/>
  <c r="F55" i="82"/>
  <c r="V58" i="82"/>
  <c r="J62" i="82"/>
  <c r="F67" i="82"/>
  <c r="V70" i="82"/>
  <c r="J74" i="82"/>
  <c r="V80" i="82"/>
  <c r="V82" i="82"/>
  <c r="V85" i="82"/>
  <c r="Z12" i="83"/>
  <c r="V16" i="83"/>
  <c r="J24" i="83"/>
  <c r="J28" i="83"/>
  <c r="J32" i="83"/>
  <c r="V52" i="83"/>
  <c r="V55" i="83"/>
  <c r="J57" i="83"/>
  <c r="J59" i="83"/>
  <c r="N62" i="84"/>
  <c r="L62" i="84"/>
  <c r="N36" i="85"/>
  <c r="F25" i="81"/>
  <c r="F57" i="81"/>
  <c r="F68" i="81"/>
  <c r="F69" i="81"/>
  <c r="F73" i="81"/>
  <c r="F80" i="81"/>
  <c r="F81" i="81"/>
  <c r="N15" i="82"/>
  <c r="T18" i="82"/>
  <c r="F24" i="82"/>
  <c r="F28" i="82"/>
  <c r="V31" i="82"/>
  <c r="V35" i="82"/>
  <c r="V39" i="82"/>
  <c r="F43" i="82"/>
  <c r="F44" i="82"/>
  <c r="J45" i="82"/>
  <c r="V47" i="82"/>
  <c r="J55" i="82"/>
  <c r="V59" i="82"/>
  <c r="V63" i="82"/>
  <c r="J67" i="82"/>
  <c r="F72" i="82"/>
  <c r="J73" i="82"/>
  <c r="V25" i="83"/>
  <c r="J31" i="83"/>
  <c r="V33" i="83"/>
  <c r="J35" i="83"/>
  <c r="V36" i="83"/>
  <c r="V41" i="83"/>
  <c r="V49" i="83"/>
  <c r="L63" i="83"/>
  <c r="T103" i="85"/>
  <c r="V103" i="85" s="1"/>
  <c r="X36" i="85"/>
  <c r="D16" i="81"/>
  <c r="F29" i="81"/>
  <c r="F30" i="81"/>
  <c r="F34" i="81"/>
  <c r="F38" i="81"/>
  <c r="F46" i="81"/>
  <c r="F62" i="81"/>
  <c r="V16" i="82"/>
  <c r="V18" i="82"/>
  <c r="V20" i="82"/>
  <c r="J24" i="82"/>
  <c r="J28" i="82"/>
  <c r="F33" i="82"/>
  <c r="F37" i="82"/>
  <c r="J44" i="82"/>
  <c r="V48" i="82"/>
  <c r="F52" i="82"/>
  <c r="F53" i="82"/>
  <c r="J54" i="82"/>
  <c r="V56" i="82"/>
  <c r="F61" i="82"/>
  <c r="V64" i="82"/>
  <c r="V68" i="82"/>
  <c r="J72" i="82"/>
  <c r="H19" i="83"/>
  <c r="J43" i="83"/>
  <c r="J47" i="83"/>
  <c r="X77" i="84"/>
  <c r="Z36" i="85"/>
  <c r="V57" i="82"/>
  <c r="F66" i="82"/>
  <c r="V75" i="83"/>
  <c r="V78" i="83"/>
  <c r="N25" i="85"/>
  <c r="F24" i="81"/>
  <c r="F28" i="81"/>
  <c r="F55" i="81"/>
  <c r="F56" i="81"/>
  <c r="F72" i="81"/>
  <c r="F91" i="81"/>
  <c r="F94" i="81"/>
  <c r="F23" i="82"/>
  <c r="F27" i="82"/>
  <c r="V30" i="82"/>
  <c r="V34" i="82"/>
  <c r="V38" i="82"/>
  <c r="J42" i="82"/>
  <c r="V46" i="82"/>
  <c r="F50" i="82"/>
  <c r="F51" i="82"/>
  <c r="J52" i="82"/>
  <c r="V62" i="82"/>
  <c r="J66" i="82"/>
  <c r="F70" i="82"/>
  <c r="F71" i="82"/>
  <c r="V74" i="82"/>
  <c r="V76" i="82"/>
  <c r="V78" i="82"/>
  <c r="F82" i="82"/>
  <c r="F85" i="82"/>
  <c r="J22" i="83"/>
  <c r="V24" i="83"/>
  <c r="V28" i="83"/>
  <c r="V35" i="83"/>
  <c r="L24" i="84"/>
  <c r="T79" i="84"/>
  <c r="F60" i="81"/>
  <c r="F61" i="81"/>
  <c r="F76" i="81"/>
  <c r="F77" i="81"/>
  <c r="V15" i="82"/>
  <c r="D18" i="82"/>
  <c r="X30" i="82"/>
  <c r="F32" i="82"/>
  <c r="F36" i="82"/>
  <c r="F40" i="82"/>
  <c r="L52" i="82"/>
  <c r="V55" i="82"/>
  <c r="F59" i="82"/>
  <c r="F60" i="82"/>
  <c r="V67" i="82"/>
  <c r="J71" i="82"/>
  <c r="X76" i="82"/>
  <c r="L22" i="83"/>
  <c r="V31" i="83"/>
  <c r="V51" i="83"/>
  <c r="F53" i="81"/>
  <c r="F54" i="81"/>
  <c r="F65" i="81"/>
  <c r="F66" i="81"/>
  <c r="F18" i="82"/>
  <c r="F20" i="82"/>
  <c r="V24" i="82"/>
  <c r="V28" i="82"/>
  <c r="J32" i="82"/>
  <c r="J36" i="82"/>
  <c r="J40" i="82"/>
  <c r="V44" i="82"/>
  <c r="F48" i="82"/>
  <c r="F49" i="82"/>
  <c r="J50" i="82"/>
  <c r="J60" i="82"/>
  <c r="F64" i="82"/>
  <c r="F65" i="82"/>
  <c r="F69" i="82"/>
  <c r="J70" i="82"/>
  <c r="V72" i="82"/>
  <c r="J82" i="82"/>
  <c r="J85" i="82"/>
  <c r="J75" i="83"/>
  <c r="J69" i="83"/>
  <c r="J65" i="83"/>
  <c r="J51" i="83"/>
  <c r="J41" i="83"/>
  <c r="J37" i="83"/>
  <c r="J33" i="83"/>
  <c r="J76" i="83"/>
  <c r="J52" i="83"/>
  <c r="J80" i="83"/>
  <c r="J78" i="83"/>
  <c r="J70" i="83"/>
  <c r="J66" i="83"/>
  <c r="J60" i="83"/>
  <c r="J54" i="83"/>
  <c r="J42" i="83"/>
  <c r="J38" i="83"/>
  <c r="J34" i="83"/>
  <c r="J61" i="83"/>
  <c r="J55" i="83"/>
  <c r="J82" i="83"/>
  <c r="J56" i="83"/>
  <c r="J44" i="83"/>
  <c r="J87" i="83"/>
  <c r="J84" i="83"/>
  <c r="J72" i="83"/>
  <c r="J62" i="83"/>
  <c r="J46" i="83"/>
  <c r="J74" i="83"/>
  <c r="J58" i="83"/>
  <c r="J50" i="83"/>
  <c r="J16" i="83"/>
  <c r="J26" i="83"/>
  <c r="V32" i="83"/>
  <c r="V43" i="83"/>
  <c r="J53" i="83"/>
  <c r="J71" i="83"/>
  <c r="V80" i="83"/>
  <c r="P12" i="84"/>
  <c r="X13" i="84"/>
  <c r="F73" i="85"/>
  <c r="F57" i="85"/>
  <c r="F56" i="85"/>
  <c r="F92" i="85"/>
  <c r="F91" i="85"/>
  <c r="F84" i="85"/>
  <c r="F80" i="85"/>
  <c r="F74" i="85"/>
  <c r="F70" i="85"/>
  <c r="F69" i="85"/>
  <c r="F50" i="85"/>
  <c r="F49" i="85"/>
  <c r="F93" i="85"/>
  <c r="F85" i="85"/>
  <c r="F81" i="85"/>
  <c r="F76" i="85"/>
  <c r="F75" i="85"/>
  <c r="F101" i="85"/>
  <c r="F83" i="85"/>
  <c r="F86" i="85"/>
  <c r="F63" i="85"/>
  <c r="F48" i="85"/>
  <c r="F21" i="85"/>
  <c r="F94" i="85"/>
  <c r="F53" i="85"/>
  <c r="F44" i="85"/>
  <c r="F40" i="85"/>
  <c r="F89" i="85"/>
  <c r="F77" i="85"/>
  <c r="F58" i="85"/>
  <c r="F54" i="85"/>
  <c r="F35" i="85"/>
  <c r="F31" i="85"/>
  <c r="F27" i="85"/>
  <c r="F26" i="85"/>
  <c r="F82" i="85"/>
  <c r="F71" i="85"/>
  <c r="F59" i="85"/>
  <c r="F25" i="85"/>
  <c r="F87" i="85"/>
  <c r="F68" i="85"/>
  <c r="F64" i="85"/>
  <c r="F41" i="85"/>
  <c r="F37" i="85"/>
  <c r="F36" i="85"/>
  <c r="D23" i="85"/>
  <c r="F23" i="85" s="1"/>
  <c r="F95" i="85"/>
  <c r="F90" i="85"/>
  <c r="F78" i="85"/>
  <c r="F60" i="85"/>
  <c r="F45" i="85"/>
  <c r="F32" i="85"/>
  <c r="F28" i="85"/>
  <c r="L12" i="85"/>
  <c r="F65" i="85"/>
  <c r="F61" i="85"/>
  <c r="F55" i="85"/>
  <c r="F19" i="85"/>
  <c r="F18" i="85"/>
  <c r="F72" i="85"/>
  <c r="F42" i="85"/>
  <c r="F38" i="85"/>
  <c r="F33" i="85"/>
  <c r="F29" i="85"/>
  <c r="F88" i="85"/>
  <c r="F79" i="85"/>
  <c r="F66" i="85"/>
  <c r="F62" i="85"/>
  <c r="F52" i="85"/>
  <c r="F43" i="85"/>
  <c r="F39" i="85"/>
  <c r="F97" i="85"/>
  <c r="F67" i="85"/>
  <c r="F47" i="85"/>
  <c r="F34" i="85"/>
  <c r="F30" i="85"/>
  <c r="F51" i="85"/>
  <c r="F42" i="81"/>
  <c r="F43" i="81"/>
  <c r="F59" i="81"/>
  <c r="F71" i="81"/>
  <c r="F75" i="81"/>
  <c r="F89" i="81"/>
  <c r="L12" i="82"/>
  <c r="F21" i="82"/>
  <c r="F22" i="82"/>
  <c r="F26" i="82"/>
  <c r="V33" i="82"/>
  <c r="V37" i="82"/>
  <c r="V45" i="82"/>
  <c r="J49" i="82"/>
  <c r="V53" i="82"/>
  <c r="F57" i="82"/>
  <c r="F58" i="82"/>
  <c r="J59" i="82"/>
  <c r="V61" i="82"/>
  <c r="J65" i="82"/>
  <c r="J69" i="82"/>
  <c r="V73" i="82"/>
  <c r="F80" i="82"/>
  <c r="V23" i="83"/>
  <c r="V27" i="83"/>
  <c r="J39" i="83"/>
  <c r="V47" i="83"/>
  <c r="J49" i="83"/>
  <c r="X53" i="83"/>
  <c r="V63" i="83"/>
  <c r="V65" i="83"/>
  <c r="V67" i="83"/>
  <c r="F32" i="81"/>
  <c r="F36" i="81"/>
  <c r="F51" i="81"/>
  <c r="F52" i="81"/>
  <c r="F64" i="81"/>
  <c r="N12" i="82"/>
  <c r="J18" i="82"/>
  <c r="J20" i="82"/>
  <c r="J22" i="82"/>
  <c r="J26" i="82"/>
  <c r="F30" i="82"/>
  <c r="F31" i="82"/>
  <c r="F35" i="82"/>
  <c r="F39" i="82"/>
  <c r="V42" i="82"/>
  <c r="F47" i="82"/>
  <c r="J48" i="82"/>
  <c r="V54" i="82"/>
  <c r="J58" i="82"/>
  <c r="F63" i="82"/>
  <c r="J64" i="82"/>
  <c r="F76" i="82"/>
  <c r="T19" i="83"/>
  <c r="V34" i="83"/>
  <c r="V37" i="83"/>
  <c r="J45" i="83"/>
  <c r="J73" i="83"/>
  <c r="V76" i="83"/>
  <c r="X47" i="84"/>
  <c r="R94" i="85"/>
  <c r="R93" i="85"/>
  <c r="R86" i="85"/>
  <c r="R85" i="85"/>
  <c r="R81" i="85"/>
  <c r="R62" i="85"/>
  <c r="R61" i="85"/>
  <c r="R77" i="85"/>
  <c r="R76" i="85"/>
  <c r="R97" i="85"/>
  <c r="R82" i="85"/>
  <c r="R78" i="85"/>
  <c r="R54" i="85"/>
  <c r="R89" i="85"/>
  <c r="R88" i="85"/>
  <c r="R72" i="85"/>
  <c r="R91" i="85"/>
  <c r="R90" i="85"/>
  <c r="R84" i="85"/>
  <c r="R71" i="85"/>
  <c r="R60" i="85"/>
  <c r="R41" i="85"/>
  <c r="R37" i="85"/>
  <c r="R18" i="85"/>
  <c r="R92" i="85"/>
  <c r="R80" i="85"/>
  <c r="R74" i="85"/>
  <c r="R68" i="85"/>
  <c r="R45" i="85"/>
  <c r="R32" i="85"/>
  <c r="R28" i="85"/>
  <c r="X12" i="85"/>
  <c r="R87" i="85"/>
  <c r="R55" i="85"/>
  <c r="R19" i="85"/>
  <c r="R95" i="85"/>
  <c r="R75" i="85"/>
  <c r="R69" i="85"/>
  <c r="R65" i="85"/>
  <c r="R50" i="85"/>
  <c r="R42" i="85"/>
  <c r="R38" i="85"/>
  <c r="R66" i="85"/>
  <c r="R56" i="85"/>
  <c r="R51" i="85"/>
  <c r="R33" i="85"/>
  <c r="R29" i="85"/>
  <c r="R83" i="85"/>
  <c r="R47" i="85"/>
  <c r="R46" i="85"/>
  <c r="R20" i="85"/>
  <c r="R79" i="85"/>
  <c r="R52" i="85"/>
  <c r="R43" i="85"/>
  <c r="R39" i="85"/>
  <c r="R67" i="85"/>
  <c r="R34" i="85"/>
  <c r="R30" i="85"/>
  <c r="R73" i="85"/>
  <c r="R70" i="85"/>
  <c r="R57" i="85"/>
  <c r="R53" i="85"/>
  <c r="R26" i="85"/>
  <c r="R21" i="85"/>
  <c r="R101" i="85"/>
  <c r="R63" i="85"/>
  <c r="R36" i="85"/>
  <c r="R35" i="85"/>
  <c r="R31" i="85"/>
  <c r="R27" i="85"/>
  <c r="P23" i="85"/>
  <c r="R64" i="85"/>
  <c r="R59" i="85"/>
  <c r="R49" i="85"/>
  <c r="L56" i="85"/>
  <c r="N56" i="85" s="1"/>
  <c r="R58" i="85"/>
  <c r="X94" i="85"/>
  <c r="Z94" i="85" s="1"/>
  <c r="V32" i="84"/>
  <c r="J36" i="84"/>
  <c r="J40" i="84"/>
  <c r="J44" i="84"/>
  <c r="V48" i="84"/>
  <c r="J56" i="84"/>
  <c r="V60" i="84"/>
  <c r="J66" i="84"/>
  <c r="V68" i="84"/>
  <c r="J74" i="84"/>
  <c r="J21" i="85"/>
  <c r="V37" i="85"/>
  <c r="V41" i="85"/>
  <c r="J53" i="85"/>
  <c r="J57" i="85"/>
  <c r="L62" i="85"/>
  <c r="N62" i="85" s="1"/>
  <c r="V71" i="85"/>
  <c r="J73" i="85"/>
  <c r="Z75" i="85"/>
  <c r="V82" i="85"/>
  <c r="V84" i="85"/>
  <c r="X56" i="86"/>
  <c r="Z16" i="89"/>
  <c r="T30" i="89"/>
  <c r="J55" i="84"/>
  <c r="J65" i="84"/>
  <c r="J73" i="84"/>
  <c r="J30" i="85"/>
  <c r="J34" i="85"/>
  <c r="V54" i="85"/>
  <c r="V59" i="85"/>
  <c r="V60" i="85"/>
  <c r="J67" i="85"/>
  <c r="J70" i="85"/>
  <c r="X16" i="86"/>
  <c r="L50" i="86"/>
  <c r="X52" i="88"/>
  <c r="Z52" i="88" s="1"/>
  <c r="P51" i="88"/>
  <c r="X51" i="88" s="1"/>
  <c r="J71" i="84"/>
  <c r="V75" i="84"/>
  <c r="V77" i="84"/>
  <c r="V79" i="84"/>
  <c r="J20" i="85"/>
  <c r="V36" i="85"/>
  <c r="V40" i="85"/>
  <c r="J46" i="85"/>
  <c r="V48" i="85"/>
  <c r="X49" i="85"/>
  <c r="Z49" i="85" s="1"/>
  <c r="J56" i="85"/>
  <c r="J62" i="85"/>
  <c r="J66" i="85"/>
  <c r="J83" i="85"/>
  <c r="J91" i="85"/>
  <c r="J73" i="86"/>
  <c r="J69" i="86"/>
  <c r="J63" i="86"/>
  <c r="J57" i="86"/>
  <c r="J47" i="86"/>
  <c r="J17" i="86"/>
  <c r="J64" i="86"/>
  <c r="J48" i="86"/>
  <c r="J40" i="86"/>
  <c r="J36" i="86"/>
  <c r="J79" i="86"/>
  <c r="J31" i="86"/>
  <c r="J27" i="86"/>
  <c r="J80" i="86"/>
  <c r="J74" i="86"/>
  <c r="J70" i="86"/>
  <c r="J58" i="86"/>
  <c r="J32" i="86"/>
  <c r="J18" i="86"/>
  <c r="J81" i="86"/>
  <c r="J65" i="86"/>
  <c r="J49" i="86"/>
  <c r="J41" i="86"/>
  <c r="J37" i="86"/>
  <c r="J33" i="86"/>
  <c r="J23" i="86"/>
  <c r="J66" i="86"/>
  <c r="J50" i="86"/>
  <c r="J28" i="86"/>
  <c r="J24" i="86"/>
  <c r="J22" i="86"/>
  <c r="J20" i="86"/>
  <c r="J84" i="86"/>
  <c r="J83" i="86"/>
  <c r="J75" i="86"/>
  <c r="J71" i="86"/>
  <c r="J67" i="86"/>
  <c r="J86" i="86"/>
  <c r="J60" i="86"/>
  <c r="J52" i="86"/>
  <c r="J42" i="86"/>
  <c r="J38" i="86"/>
  <c r="J34" i="86"/>
  <c r="J61" i="86"/>
  <c r="J53" i="86"/>
  <c r="J43" i="86"/>
  <c r="J29" i="86"/>
  <c r="J25" i="86"/>
  <c r="J77" i="86"/>
  <c r="J55" i="86"/>
  <c r="J45" i="86"/>
  <c r="J39" i="86"/>
  <c r="J35" i="86"/>
  <c r="J93" i="86"/>
  <c r="J90" i="86"/>
  <c r="J78" i="86"/>
  <c r="J62" i="86"/>
  <c r="J56" i="86"/>
  <c r="J59" i="86"/>
  <c r="H21" i="84"/>
  <c r="J34" i="84"/>
  <c r="V36" i="84"/>
  <c r="V40" i="84"/>
  <c r="V44" i="84"/>
  <c r="J52" i="84"/>
  <c r="V56" i="84"/>
  <c r="J62" i="84"/>
  <c r="J70" i="84"/>
  <c r="V21" i="85"/>
  <c r="V23" i="85"/>
  <c r="V25" i="85"/>
  <c r="J29" i="85"/>
  <c r="J33" i="85"/>
  <c r="V57" i="85"/>
  <c r="V58" i="85"/>
  <c r="V70" i="85"/>
  <c r="V73" i="85"/>
  <c r="V81" i="85"/>
  <c r="N12" i="86"/>
  <c r="D12" i="86"/>
  <c r="L14" i="86"/>
  <c r="L43" i="86"/>
  <c r="L70" i="84"/>
  <c r="J92" i="85"/>
  <c r="J84" i="85"/>
  <c r="J80" i="85"/>
  <c r="J68" i="85"/>
  <c r="J58" i="85"/>
  <c r="J48" i="85"/>
  <c r="J93" i="85"/>
  <c r="J85" i="85"/>
  <c r="J81" i="85"/>
  <c r="J75" i="85"/>
  <c r="J61" i="85"/>
  <c r="J51" i="85"/>
  <c r="J94" i="85"/>
  <c r="J86" i="85"/>
  <c r="J95" i="85"/>
  <c r="J87" i="85"/>
  <c r="J77" i="85"/>
  <c r="J71" i="85"/>
  <c r="J63" i="85"/>
  <c r="J97" i="85"/>
  <c r="J90" i="85"/>
  <c r="J38" i="85"/>
  <c r="J42" i="85"/>
  <c r="V53" i="85"/>
  <c r="J69" i="85"/>
  <c r="J72" i="85"/>
  <c r="V93" i="85"/>
  <c r="R74" i="86"/>
  <c r="R70" i="86"/>
  <c r="R58" i="86"/>
  <c r="R23" i="86"/>
  <c r="R18" i="86"/>
  <c r="R81" i="86"/>
  <c r="R66" i="86"/>
  <c r="R65" i="86"/>
  <c r="R50" i="86"/>
  <c r="R49" i="86"/>
  <c r="R41" i="86"/>
  <c r="R37" i="86"/>
  <c r="R33" i="86"/>
  <c r="R22" i="86"/>
  <c r="R20" i="86"/>
  <c r="R84" i="86"/>
  <c r="R83" i="86"/>
  <c r="R28" i="86"/>
  <c r="R24" i="86"/>
  <c r="P20" i="86"/>
  <c r="R86" i="86"/>
  <c r="R75" i="86"/>
  <c r="R71" i="86"/>
  <c r="R67" i="86"/>
  <c r="R60" i="86"/>
  <c r="R59" i="86"/>
  <c r="R52" i="86"/>
  <c r="R51" i="86"/>
  <c r="R43" i="86"/>
  <c r="R42" i="86"/>
  <c r="R38" i="86"/>
  <c r="R34" i="86"/>
  <c r="R61" i="86"/>
  <c r="R54" i="86"/>
  <c r="R53" i="86"/>
  <c r="R29" i="86"/>
  <c r="R25" i="86"/>
  <c r="R88" i="86"/>
  <c r="R77" i="86"/>
  <c r="R76" i="86"/>
  <c r="R72" i="86"/>
  <c r="R68" i="86"/>
  <c r="R93" i="86"/>
  <c r="R90" i="86"/>
  <c r="R56" i="86"/>
  <c r="R55" i="86"/>
  <c r="R39" i="86"/>
  <c r="R35" i="86"/>
  <c r="R16" i="86"/>
  <c r="R78" i="86"/>
  <c r="R63" i="86"/>
  <c r="R62" i="86"/>
  <c r="R47" i="86"/>
  <c r="R46" i="86"/>
  <c r="R30" i="86"/>
  <c r="R26" i="86"/>
  <c r="R64" i="86"/>
  <c r="R48" i="86"/>
  <c r="R40" i="86"/>
  <c r="R36" i="86"/>
  <c r="R80" i="86"/>
  <c r="R79" i="86"/>
  <c r="N20" i="86"/>
  <c r="H86" i="86"/>
  <c r="R57" i="86"/>
  <c r="N12" i="84"/>
  <c r="J24" i="84"/>
  <c r="V26" i="84"/>
  <c r="V30" i="84"/>
  <c r="J38" i="84"/>
  <c r="J42" i="84"/>
  <c r="J50" i="84"/>
  <c r="V54" i="84"/>
  <c r="J60" i="84"/>
  <c r="V66" i="84"/>
  <c r="V74" i="84"/>
  <c r="J19" i="85"/>
  <c r="V39" i="85"/>
  <c r="V43" i="85"/>
  <c r="J50" i="85"/>
  <c r="J55" i="85"/>
  <c r="J65" i="85"/>
  <c r="V85" i="85"/>
  <c r="R17" i="86"/>
  <c r="J49" i="84"/>
  <c r="J59" i="84"/>
  <c r="V63" i="84"/>
  <c r="V71" i="84"/>
  <c r="J81" i="84"/>
  <c r="N12" i="85"/>
  <c r="J18" i="85"/>
  <c r="V20" i="85"/>
  <c r="J28" i="85"/>
  <c r="J32" i="85"/>
  <c r="J45" i="85"/>
  <c r="V46" i="85"/>
  <c r="Z47" i="85"/>
  <c r="V62" i="85"/>
  <c r="J74" i="85"/>
  <c r="J78" i="85"/>
  <c r="X12" i="86"/>
  <c r="R27" i="86"/>
  <c r="R31" i="86"/>
  <c r="R73" i="86"/>
  <c r="Z21" i="89"/>
  <c r="X21" i="89"/>
  <c r="J28" i="84"/>
  <c r="J32" i="84"/>
  <c r="J48" i="84"/>
  <c r="V52" i="84"/>
  <c r="V64" i="84"/>
  <c r="J68" i="84"/>
  <c r="V72" i="84"/>
  <c r="V29" i="85"/>
  <c r="V33" i="85"/>
  <c r="J37" i="85"/>
  <c r="J41" i="85"/>
  <c r="V47" i="85"/>
  <c r="J60" i="85"/>
  <c r="V61" i="85"/>
  <c r="Z66" i="85"/>
  <c r="L22" i="86"/>
  <c r="N22" i="86" s="1"/>
  <c r="L45" i="86"/>
  <c r="J54" i="86"/>
  <c r="R69" i="86"/>
  <c r="F22" i="87"/>
  <c r="F21" i="87"/>
  <c r="F20" i="87"/>
  <c r="F18" i="87"/>
  <c r="F16" i="87"/>
  <c r="F24" i="87"/>
  <c r="F23" i="87"/>
  <c r="D18" i="87"/>
  <c r="F26" i="87"/>
  <c r="F30" i="87"/>
  <c r="L12" i="87"/>
  <c r="Z18" i="88"/>
  <c r="Z51" i="88"/>
  <c r="V61" i="84"/>
  <c r="V69" i="84"/>
  <c r="J77" i="84"/>
  <c r="J79" i="84"/>
  <c r="V76" i="85"/>
  <c r="V64" i="85"/>
  <c r="V52" i="85"/>
  <c r="V44" i="85"/>
  <c r="V99" i="85"/>
  <c r="V97" i="85"/>
  <c r="V95" i="85"/>
  <c r="V87" i="85"/>
  <c r="V89" i="85"/>
  <c r="V65" i="85"/>
  <c r="V45" i="85"/>
  <c r="V88" i="85"/>
  <c r="V101" i="85"/>
  <c r="V91" i="85"/>
  <c r="V83" i="85"/>
  <c r="V79" i="85"/>
  <c r="V67" i="85"/>
  <c r="V94" i="85"/>
  <c r="V86" i="85"/>
  <c r="H23" i="85"/>
  <c r="J36" i="85"/>
  <c r="V38" i="85"/>
  <c r="V42" i="85"/>
  <c r="J49" i="85"/>
  <c r="V50" i="85"/>
  <c r="V51" i="85"/>
  <c r="V56" i="85"/>
  <c r="J59" i="85"/>
  <c r="J64" i="85"/>
  <c r="V66" i="85"/>
  <c r="Z69" i="85"/>
  <c r="J82" i="85"/>
  <c r="V90" i="85"/>
  <c r="J51" i="86"/>
  <c r="J76" i="86"/>
  <c r="J18" i="84"/>
  <c r="V34" i="84"/>
  <c r="V38" i="84"/>
  <c r="V42" i="84"/>
  <c r="J46" i="84"/>
  <c r="V50" i="84"/>
  <c r="J58" i="84"/>
  <c r="V62" i="84"/>
  <c r="V70" i="84"/>
  <c r="V19" i="85"/>
  <c r="J23" i="85"/>
  <c r="J25" i="85"/>
  <c r="J27" i="85"/>
  <c r="J31" i="85"/>
  <c r="J35" i="85"/>
  <c r="J54" i="85"/>
  <c r="V55" i="85"/>
  <c r="V69" i="85"/>
  <c r="V75" i="85"/>
  <c r="N77" i="85"/>
  <c r="V78" i="85"/>
  <c r="R45" i="86"/>
  <c r="J88" i="86"/>
  <c r="F52" i="91"/>
  <c r="F51" i="91"/>
  <c r="F54" i="91"/>
  <c r="F53" i="91"/>
  <c r="F46" i="91"/>
  <c r="F60" i="91"/>
  <c r="F48" i="91"/>
  <c r="F26" i="91"/>
  <c r="F22" i="91"/>
  <c r="F40" i="91"/>
  <c r="F36" i="91"/>
  <c r="F41" i="91"/>
  <c r="F27" i="91"/>
  <c r="F23" i="91"/>
  <c r="F62" i="91"/>
  <c r="F58" i="91"/>
  <c r="F42" i="91"/>
  <c r="F37" i="91"/>
  <c r="F33" i="91"/>
  <c r="F50" i="91"/>
  <c r="F43" i="91"/>
  <c r="F47" i="91"/>
  <c r="F18" i="91"/>
  <c r="F16" i="91"/>
  <c r="F14" i="91"/>
  <c r="F38" i="91"/>
  <c r="F34" i="91"/>
  <c r="F30" i="91"/>
  <c r="F29" i="91"/>
  <c r="D16" i="91"/>
  <c r="F32" i="91"/>
  <c r="F56" i="91"/>
  <c r="F49" i="91"/>
  <c r="F45" i="91"/>
  <c r="F35" i="91"/>
  <c r="F19" i="91"/>
  <c r="F28" i="91"/>
  <c r="F24" i="91"/>
  <c r="F20" i="91"/>
  <c r="F31" i="91"/>
  <c r="L12" i="91"/>
  <c r="F65" i="91"/>
  <c r="F39" i="91"/>
  <c r="F25" i="91"/>
  <c r="F21" i="91"/>
  <c r="Z56" i="91"/>
  <c r="X56" i="91"/>
  <c r="J17" i="84"/>
  <c r="V19" i="84"/>
  <c r="V21" i="84"/>
  <c r="V23" i="84"/>
  <c r="J27" i="84"/>
  <c r="J31" i="84"/>
  <c r="J45" i="84"/>
  <c r="V51" i="84"/>
  <c r="J57" i="84"/>
  <c r="V59" i="84"/>
  <c r="J67" i="84"/>
  <c r="V81" i="84"/>
  <c r="V83" i="84"/>
  <c r="Z12" i="85"/>
  <c r="J26" i="85"/>
  <c r="V28" i="85"/>
  <c r="V32" i="85"/>
  <c r="J40" i="85"/>
  <c r="J44" i="85"/>
  <c r="N53" i="85"/>
  <c r="V68" i="85"/>
  <c r="V74" i="85"/>
  <c r="V80" i="85"/>
  <c r="J89" i="85"/>
  <c r="V92" i="85"/>
  <c r="J101" i="85"/>
  <c r="J16" i="86"/>
  <c r="J26" i="86"/>
  <c r="J30" i="86"/>
  <c r="J44" i="86"/>
  <c r="J72" i="86"/>
  <c r="N19" i="88"/>
  <c r="Z28" i="88"/>
  <c r="Z39" i="88"/>
  <c r="N32" i="90"/>
  <c r="L32" i="90"/>
  <c r="T40" i="90"/>
  <c r="V74" i="86"/>
  <c r="J16" i="87"/>
  <c r="J18" i="87"/>
  <c r="J20" i="87"/>
  <c r="J22" i="87"/>
  <c r="F22" i="90"/>
  <c r="F31" i="90"/>
  <c r="F30" i="90"/>
  <c r="F23" i="90"/>
  <c r="F47" i="90"/>
  <c r="F44" i="90"/>
  <c r="F33" i="90"/>
  <c r="F32" i="90"/>
  <c r="F15" i="90"/>
  <c r="F14" i="90"/>
  <c r="F34" i="90"/>
  <c r="F36" i="90"/>
  <c r="F35" i="90"/>
  <c r="F19" i="90"/>
  <c r="F17" i="90"/>
  <c r="D17" i="90"/>
  <c r="Z19" i="90"/>
  <c r="Z52" i="92"/>
  <c r="X52" i="92"/>
  <c r="V23" i="86"/>
  <c r="V27" i="86"/>
  <c r="V31" i="86"/>
  <c r="V79" i="86"/>
  <c r="J21" i="87"/>
  <c r="R24" i="87"/>
  <c r="H16" i="88"/>
  <c r="F19" i="88"/>
  <c r="F20" i="88"/>
  <c r="F24" i="88"/>
  <c r="F38" i="88"/>
  <c r="R40" i="88"/>
  <c r="D51" i="88"/>
  <c r="L51" i="88" s="1"/>
  <c r="N51" i="88" s="1"/>
  <c r="R63" i="88"/>
  <c r="J29" i="90"/>
  <c r="J47" i="90"/>
  <c r="J44" i="90"/>
  <c r="J32" i="90"/>
  <c r="J24" i="90"/>
  <c r="J14" i="90"/>
  <c r="J34" i="90"/>
  <c r="J20" i="90"/>
  <c r="J35" i="90"/>
  <c r="J25" i="90"/>
  <c r="J21" i="90"/>
  <c r="J19" i="90"/>
  <c r="J17" i="90"/>
  <c r="J27" i="90"/>
  <c r="H17" i="90"/>
  <c r="V19" i="90"/>
  <c r="X28" i="90"/>
  <c r="Z28" i="90" s="1"/>
  <c r="L18" i="91"/>
  <c r="N18" i="91" s="1"/>
  <c r="V57" i="86"/>
  <c r="V69" i="86"/>
  <c r="V73" i="86"/>
  <c r="P18" i="87"/>
  <c r="R22" i="87"/>
  <c r="R23" i="87"/>
  <c r="F58" i="88"/>
  <c r="F49" i="88"/>
  <c r="F48" i="88"/>
  <c r="F52" i="88"/>
  <c r="F35" i="88"/>
  <c r="F31" i="88"/>
  <c r="F53" i="88"/>
  <c r="F51" i="88"/>
  <c r="J19" i="88"/>
  <c r="F27" i="88"/>
  <c r="J31" i="88"/>
  <c r="R32" i="88"/>
  <c r="R35" i="88"/>
  <c r="J47" i="88"/>
  <c r="R48" i="88"/>
  <c r="R52" i="88"/>
  <c r="F54" i="88"/>
  <c r="N19" i="89"/>
  <c r="V24" i="90"/>
  <c r="F26" i="90"/>
  <c r="F29" i="90"/>
  <c r="F38" i="90"/>
  <c r="Z19" i="91"/>
  <c r="V58" i="91"/>
  <c r="R93" i="95"/>
  <c r="R68" i="95"/>
  <c r="R79" i="95"/>
  <c r="R74" i="95"/>
  <c r="R70" i="95"/>
  <c r="R69" i="95"/>
  <c r="R62" i="95"/>
  <c r="R61" i="95"/>
  <c r="R81" i="95"/>
  <c r="R80" i="95"/>
  <c r="R75" i="95"/>
  <c r="R71" i="95"/>
  <c r="R64" i="95"/>
  <c r="R63" i="95"/>
  <c r="R52" i="95"/>
  <c r="R51" i="95"/>
  <c r="R82" i="95"/>
  <c r="R76" i="95"/>
  <c r="R72" i="95"/>
  <c r="R67" i="95"/>
  <c r="R56" i="95"/>
  <c r="R55" i="95"/>
  <c r="R88" i="95"/>
  <c r="R45" i="95"/>
  <c r="R38" i="95"/>
  <c r="R34" i="95"/>
  <c r="R90" i="95"/>
  <c r="R29" i="95"/>
  <c r="R25" i="95"/>
  <c r="R59" i="95"/>
  <c r="R53" i="95"/>
  <c r="R46" i="95"/>
  <c r="R42" i="95"/>
  <c r="X12" i="95"/>
  <c r="Z12" i="95" s="1"/>
  <c r="R78" i="95"/>
  <c r="R54" i="95"/>
  <c r="R50" i="95"/>
  <c r="R35" i="95"/>
  <c r="R16" i="95"/>
  <c r="R73" i="95"/>
  <c r="R39" i="95"/>
  <c r="R65" i="95"/>
  <c r="R60" i="95"/>
  <c r="R57" i="95"/>
  <c r="R22" i="95"/>
  <c r="R17" i="95"/>
  <c r="R86" i="95"/>
  <c r="R66" i="95"/>
  <c r="R47" i="95"/>
  <c r="R36" i="95"/>
  <c r="R21" i="95"/>
  <c r="R19" i="95"/>
  <c r="R43" i="95"/>
  <c r="R40" i="95"/>
  <c r="R31" i="95"/>
  <c r="R27" i="95"/>
  <c r="R23" i="95"/>
  <c r="P19" i="95"/>
  <c r="R58" i="95"/>
  <c r="R48" i="95"/>
  <c r="R44" i="95"/>
  <c r="R84" i="95"/>
  <c r="R77" i="95"/>
  <c r="R37" i="95"/>
  <c r="R24" i="95"/>
  <c r="R32" i="95"/>
  <c r="R30" i="95"/>
  <c r="R28" i="95"/>
  <c r="R26" i="95"/>
  <c r="R33" i="95"/>
  <c r="R49" i="95"/>
  <c r="R41" i="95"/>
  <c r="V26" i="86"/>
  <c r="V30" i="86"/>
  <c r="V46" i="86"/>
  <c r="V62" i="86"/>
  <c r="V78" i="86"/>
  <c r="L14" i="87"/>
  <c r="R16" i="87"/>
  <c r="R18" i="87"/>
  <c r="R20" i="87"/>
  <c r="V22" i="87"/>
  <c r="J32" i="87"/>
  <c r="J35" i="87"/>
  <c r="J45" i="88"/>
  <c r="J37" i="88"/>
  <c r="J33" i="88"/>
  <c r="J29" i="88"/>
  <c r="J53" i="88"/>
  <c r="J42" i="88"/>
  <c r="J26" i="88"/>
  <c r="J54" i="88"/>
  <c r="F23" i="88"/>
  <c r="J27" i="88"/>
  <c r="F34" i="88"/>
  <c r="Z48" i="88"/>
  <c r="X48" i="88"/>
  <c r="J19" i="89"/>
  <c r="J23" i="90"/>
  <c r="F42" i="90"/>
  <c r="V21" i="91"/>
  <c r="V25" i="91"/>
  <c r="V32" i="91"/>
  <c r="Z42" i="91"/>
  <c r="T18" i="87"/>
  <c r="P16" i="88"/>
  <c r="F37" i="88"/>
  <c r="F42" i="88"/>
  <c r="F46" i="88"/>
  <c r="R47" i="88"/>
  <c r="R60" i="88"/>
  <c r="L12" i="89"/>
  <c r="F37" i="89"/>
  <c r="F34" i="89"/>
  <c r="F18" i="89"/>
  <c r="F16" i="89"/>
  <c r="F14" i="89"/>
  <c r="F24" i="89"/>
  <c r="F23" i="89"/>
  <c r="F26" i="89"/>
  <c r="F25" i="89"/>
  <c r="Z14" i="89"/>
  <c r="X14" i="89"/>
  <c r="V33" i="90"/>
  <c r="V34" i="90"/>
  <c r="V26" i="90"/>
  <c r="V40" i="90"/>
  <c r="V38" i="90"/>
  <c r="V36" i="90"/>
  <c r="V28" i="90"/>
  <c r="V30" i="90"/>
  <c r="V22" i="90"/>
  <c r="V29" i="90"/>
  <c r="V31" i="90"/>
  <c r="V23" i="90"/>
  <c r="X12" i="90"/>
  <c r="V17" i="90"/>
  <c r="F20" i="90"/>
  <c r="V21" i="90"/>
  <c r="V35" i="90"/>
  <c r="J38" i="90"/>
  <c r="J42" i="90"/>
  <c r="V44" i="90"/>
  <c r="N16" i="91"/>
  <c r="H58" i="91"/>
  <c r="V46" i="91"/>
  <c r="F83" i="92"/>
  <c r="F79" i="92"/>
  <c r="F59" i="92"/>
  <c r="F58" i="92"/>
  <c r="F47" i="92"/>
  <c r="F43" i="92"/>
  <c r="F39" i="92"/>
  <c r="F74" i="92"/>
  <c r="F34" i="92"/>
  <c r="F30" i="92"/>
  <c r="F85" i="92"/>
  <c r="F84" i="92"/>
  <c r="F69" i="92"/>
  <c r="F61" i="92"/>
  <c r="F60" i="92"/>
  <c r="F49" i="92"/>
  <c r="F48" i="92"/>
  <c r="F21" i="92"/>
  <c r="F80" i="92"/>
  <c r="F76" i="92"/>
  <c r="F75" i="92"/>
  <c r="F44" i="92"/>
  <c r="F40" i="92"/>
  <c r="F87" i="92"/>
  <c r="F86" i="92"/>
  <c r="F71" i="92"/>
  <c r="F70" i="92"/>
  <c r="F81" i="92"/>
  <c r="F77" i="92"/>
  <c r="F65" i="92"/>
  <c r="F64" i="92"/>
  <c r="F53" i="92"/>
  <c r="F52" i="92"/>
  <c r="F45" i="92"/>
  <c r="F41" i="92"/>
  <c r="F89" i="92"/>
  <c r="F72" i="92"/>
  <c r="F36" i="92"/>
  <c r="F32" i="92"/>
  <c r="F28" i="92"/>
  <c r="L12" i="92"/>
  <c r="N12" i="92" s="1"/>
  <c r="F67" i="92"/>
  <c r="F62" i="92"/>
  <c r="F57" i="92"/>
  <c r="F42" i="92"/>
  <c r="F20" i="92"/>
  <c r="F38" i="92"/>
  <c r="F25" i="92"/>
  <c r="F93" i="92"/>
  <c r="F82" i="92"/>
  <c r="F55" i="92"/>
  <c r="F50" i="92"/>
  <c r="F78" i="92"/>
  <c r="F68" i="92"/>
  <c r="F63" i="92"/>
  <c r="F26" i="92"/>
  <c r="F18" i="92"/>
  <c r="F56" i="92"/>
  <c r="F19" i="92"/>
  <c r="F66" i="92"/>
  <c r="F51" i="92"/>
  <c r="F37" i="92"/>
  <c r="F35" i="92"/>
  <c r="F73" i="92"/>
  <c r="F46" i="92"/>
  <c r="F33" i="92"/>
  <c r="F31" i="92"/>
  <c r="F27" i="92"/>
  <c r="D23" i="92"/>
  <c r="Z12" i="86"/>
  <c r="V16" i="86"/>
  <c r="V44" i="86"/>
  <c r="V56" i="86"/>
  <c r="V68" i="86"/>
  <c r="V72" i="86"/>
  <c r="V76" i="86"/>
  <c r="V88" i="86"/>
  <c r="V90" i="86"/>
  <c r="V93" i="86"/>
  <c r="Z12" i="87"/>
  <c r="V16" i="87"/>
  <c r="V18" i="87"/>
  <c r="V20" i="87"/>
  <c r="J30" i="87"/>
  <c r="N12" i="88"/>
  <c r="R14" i="88"/>
  <c r="R16" i="88"/>
  <c r="R18" i="88"/>
  <c r="R31" i="88"/>
  <c r="R51" i="88"/>
  <c r="J58" i="88"/>
  <c r="J22" i="89"/>
  <c r="J24" i="89"/>
  <c r="J25" i="89"/>
  <c r="F22" i="89"/>
  <c r="L25" i="89"/>
  <c r="Z12" i="90"/>
  <c r="J31" i="90"/>
  <c r="V25" i="86"/>
  <c r="V29" i="86"/>
  <c r="V45" i="86"/>
  <c r="V53" i="86"/>
  <c r="V61" i="86"/>
  <c r="V77" i="86"/>
  <c r="V21" i="87"/>
  <c r="R39" i="88"/>
  <c r="R38" i="88"/>
  <c r="R34" i="88"/>
  <c r="R30" i="88"/>
  <c r="R56" i="88"/>
  <c r="R44" i="88"/>
  <c r="R43" i="88"/>
  <c r="R28" i="88"/>
  <c r="R27" i="88"/>
  <c r="R58" i="88"/>
  <c r="T16" i="88"/>
  <c r="R19" i="88"/>
  <c r="F22" i="88"/>
  <c r="F26" i="88"/>
  <c r="F30" i="88"/>
  <c r="F41" i="88"/>
  <c r="J46" i="88"/>
  <c r="J49" i="88"/>
  <c r="D16" i="89"/>
  <c r="F30" i="89"/>
  <c r="F25" i="90"/>
  <c r="F28" i="90"/>
  <c r="V47" i="91"/>
  <c r="V65" i="91"/>
  <c r="V62" i="91"/>
  <c r="V60" i="91"/>
  <c r="V42" i="91"/>
  <c r="V49" i="91"/>
  <c r="V53" i="91"/>
  <c r="V37" i="91"/>
  <c r="V33" i="91"/>
  <c r="V29" i="91"/>
  <c r="T16" i="91"/>
  <c r="V50" i="91"/>
  <c r="V51" i="91"/>
  <c r="V38" i="91"/>
  <c r="V34" i="91"/>
  <c r="V30" i="91"/>
  <c r="V54" i="91"/>
  <c r="V48" i="91"/>
  <c r="V45" i="91"/>
  <c r="V35" i="91"/>
  <c r="V31" i="91"/>
  <c r="V40" i="91"/>
  <c r="V39" i="91"/>
  <c r="V26" i="91"/>
  <c r="V22" i="91"/>
  <c r="V56" i="91"/>
  <c r="V41" i="91"/>
  <c r="V27" i="91"/>
  <c r="V23" i="91"/>
  <c r="V19" i="91"/>
  <c r="X12" i="91"/>
  <c r="P16" i="91"/>
  <c r="V44" i="91"/>
  <c r="F54" i="92"/>
  <c r="R26" i="93"/>
  <c r="R18" i="93"/>
  <c r="P16" i="93"/>
  <c r="R19" i="93"/>
  <c r="R28" i="93"/>
  <c r="R20" i="93"/>
  <c r="X12" i="93"/>
  <c r="R24" i="93"/>
  <c r="R16" i="93"/>
  <c r="R14" i="93"/>
  <c r="R22" i="93"/>
  <c r="R31" i="93"/>
  <c r="V34" i="86"/>
  <c r="V38" i="86"/>
  <c r="V42" i="86"/>
  <c r="V54" i="86"/>
  <c r="J26" i="87"/>
  <c r="J28" i="87"/>
  <c r="V51" i="88"/>
  <c r="V49" i="88"/>
  <c r="V41" i="88"/>
  <c r="V44" i="88"/>
  <c r="V63" i="88"/>
  <c r="V60" i="88"/>
  <c r="V58" i="88"/>
  <c r="V46" i="88"/>
  <c r="V14" i="88"/>
  <c r="V16" i="88"/>
  <c r="V18" i="88"/>
  <c r="J22" i="88"/>
  <c r="R23" i="88"/>
  <c r="J30" i="88"/>
  <c r="F33" i="88"/>
  <c r="V34" i="88"/>
  <c r="F36" i="88"/>
  <c r="R37" i="88"/>
  <c r="R42" i="88"/>
  <c r="F45" i="88"/>
  <c r="F63" i="88"/>
  <c r="R21" i="89"/>
  <c r="R20" i="89"/>
  <c r="P16" i="89"/>
  <c r="R30" i="89"/>
  <c r="R28" i="89"/>
  <c r="X12" i="89"/>
  <c r="R32" i="89"/>
  <c r="H16" i="89"/>
  <c r="F21" i="89"/>
  <c r="J30" i="89"/>
  <c r="R37" i="89"/>
  <c r="X20" i="90"/>
  <c r="V32" i="90"/>
  <c r="J36" i="90"/>
  <c r="Z12" i="91"/>
  <c r="Z29" i="91"/>
  <c r="V36" i="91"/>
  <c r="V66" i="92"/>
  <c r="V54" i="92"/>
  <c r="V18" i="92"/>
  <c r="V81" i="92"/>
  <c r="V77" i="92"/>
  <c r="V65" i="92"/>
  <c r="V53" i="92"/>
  <c r="V45" i="92"/>
  <c r="V41" i="92"/>
  <c r="V37" i="92"/>
  <c r="V72" i="92"/>
  <c r="V56" i="92"/>
  <c r="V36" i="92"/>
  <c r="V32" i="92"/>
  <c r="V28" i="92"/>
  <c r="V93" i="92"/>
  <c r="V67" i="92"/>
  <c r="V55" i="92"/>
  <c r="V19" i="92"/>
  <c r="V82" i="92"/>
  <c r="V78" i="92"/>
  <c r="V73" i="92"/>
  <c r="V57" i="92"/>
  <c r="V33" i="92"/>
  <c r="V84" i="92"/>
  <c r="V68" i="92"/>
  <c r="V60" i="92"/>
  <c r="V48" i="92"/>
  <c r="V83" i="92"/>
  <c r="V79" i="92"/>
  <c r="V75" i="92"/>
  <c r="V59" i="92"/>
  <c r="V47" i="92"/>
  <c r="V43" i="92"/>
  <c r="V39" i="92"/>
  <c r="V76" i="92"/>
  <c r="V58" i="92"/>
  <c r="V34" i="92"/>
  <c r="V26" i="92"/>
  <c r="V74" i="92"/>
  <c r="V63" i="92"/>
  <c r="V30" i="92"/>
  <c r="V87" i="92"/>
  <c r="V85" i="92"/>
  <c r="V61" i="92"/>
  <c r="V64" i="92"/>
  <c r="V51" i="92"/>
  <c r="V35" i="92"/>
  <c r="V23" i="92"/>
  <c r="V46" i="92"/>
  <c r="V44" i="92"/>
  <c r="T23" i="92"/>
  <c r="V71" i="92"/>
  <c r="V69" i="92"/>
  <c r="V62" i="92"/>
  <c r="V49" i="92"/>
  <c r="V31" i="92"/>
  <c r="V27" i="92"/>
  <c r="V86" i="92"/>
  <c r="V52" i="92"/>
  <c r="V42" i="92"/>
  <c r="V40" i="92"/>
  <c r="V29" i="92"/>
  <c r="V20" i="92"/>
  <c r="V50" i="92"/>
  <c r="V38" i="92"/>
  <c r="F29" i="92"/>
  <c r="V43" i="86"/>
  <c r="V51" i="86"/>
  <c r="V59" i="86"/>
  <c r="V67" i="86"/>
  <c r="V71" i="86"/>
  <c r="V75" i="86"/>
  <c r="X12" i="88"/>
  <c r="J36" i="88"/>
  <c r="F40" i="88"/>
  <c r="J41" i="88"/>
  <c r="V23" i="89"/>
  <c r="V30" i="89"/>
  <c r="V28" i="89"/>
  <c r="V26" i="89"/>
  <c r="Z12" i="89"/>
  <c r="V19" i="89"/>
  <c r="J16" i="89"/>
  <c r="V37" i="89"/>
  <c r="V15" i="90"/>
  <c r="J22" i="90"/>
  <c r="J28" i="90"/>
  <c r="V42" i="90"/>
  <c r="V16" i="91"/>
  <c r="V20" i="91"/>
  <c r="V24" i="91"/>
  <c r="V24" i="86"/>
  <c r="V28" i="86"/>
  <c r="V52" i="86"/>
  <c r="V60" i="86"/>
  <c r="V84" i="86"/>
  <c r="V86" i="86"/>
  <c r="J24" i="87"/>
  <c r="V30" i="87"/>
  <c r="V32" i="87"/>
  <c r="F21" i="88"/>
  <c r="F25" i="88"/>
  <c r="R26" i="88"/>
  <c r="F39" i="88"/>
  <c r="J40" i="88"/>
  <c r="F44" i="88"/>
  <c r="R46" i="88"/>
  <c r="R49" i="88"/>
  <c r="R53" i="88"/>
  <c r="F56" i="88"/>
  <c r="J63" i="88"/>
  <c r="X18" i="89"/>
  <c r="Z18" i="89" s="1"/>
  <c r="J21" i="89"/>
  <c r="V22" i="89"/>
  <c r="F28" i="89"/>
  <c r="J34" i="89"/>
  <c r="V25" i="90"/>
  <c r="J33" i="90"/>
  <c r="V28" i="91"/>
  <c r="V43" i="91"/>
  <c r="T20" i="86"/>
  <c r="V33" i="86"/>
  <c r="V37" i="86"/>
  <c r="V41" i="86"/>
  <c r="V49" i="86"/>
  <c r="V65" i="86"/>
  <c r="V81" i="86"/>
  <c r="H18" i="87"/>
  <c r="D16" i="88"/>
  <c r="J21" i="88"/>
  <c r="R22" i="88"/>
  <c r="J25" i="88"/>
  <c r="V26" i="88"/>
  <c r="F29" i="88"/>
  <c r="V30" i="88"/>
  <c r="F32" i="88"/>
  <c r="R33" i="88"/>
  <c r="R45" i="88"/>
  <c r="Z46" i="88"/>
  <c r="J48" i="88"/>
  <c r="V53" i="88"/>
  <c r="V18" i="89"/>
  <c r="F20" i="89"/>
  <c r="P17" i="90"/>
  <c r="X14" i="90"/>
  <c r="V20" i="90"/>
  <c r="F24" i="90"/>
  <c r="F27" i="90"/>
  <c r="J30" i="90"/>
  <c r="L35" i="90"/>
  <c r="F40" i="90"/>
  <c r="V47" i="90"/>
  <c r="L14" i="91"/>
  <c r="V80" i="92"/>
  <c r="P12" i="92"/>
  <c r="X86" i="92"/>
  <c r="Z86" i="92" s="1"/>
  <c r="L26" i="90"/>
  <c r="X32" i="90"/>
  <c r="J21" i="91"/>
  <c r="R22" i="91"/>
  <c r="J25" i="91"/>
  <c r="R26" i="91"/>
  <c r="J51" i="91"/>
  <c r="H91" i="92"/>
  <c r="X25" i="92"/>
  <c r="Z25" i="92" s="1"/>
  <c r="L56" i="92"/>
  <c r="N56" i="92" s="1"/>
  <c r="Z62" i="92"/>
  <c r="J64" i="92"/>
  <c r="J83" i="92"/>
  <c r="R27" i="90"/>
  <c r="R28" i="90"/>
  <c r="R38" i="90"/>
  <c r="R40" i="90"/>
  <c r="J30" i="91"/>
  <c r="R31" i="91"/>
  <c r="J34" i="91"/>
  <c r="R35" i="91"/>
  <c r="J38" i="91"/>
  <c r="J44" i="91"/>
  <c r="R45" i="91"/>
  <c r="J65" i="91"/>
  <c r="N37" i="92"/>
  <c r="X75" i="92"/>
  <c r="V87" i="94"/>
  <c r="V83" i="94"/>
  <c r="V79" i="94"/>
  <c r="V67" i="94"/>
  <c r="V55" i="94"/>
  <c r="V19" i="94"/>
  <c r="V100" i="94"/>
  <c r="V58" i="94"/>
  <c r="V46" i="94"/>
  <c r="V42" i="94"/>
  <c r="V38" i="94"/>
  <c r="V89" i="94"/>
  <c r="V73" i="94"/>
  <c r="V57" i="94"/>
  <c r="V33" i="94"/>
  <c r="V29" i="94"/>
  <c r="V84" i="94"/>
  <c r="V80" i="94"/>
  <c r="V68" i="94"/>
  <c r="V60" i="94"/>
  <c r="V48" i="94"/>
  <c r="V20" i="94"/>
  <c r="V90" i="94"/>
  <c r="V74" i="94"/>
  <c r="V62" i="94"/>
  <c r="V50" i="94"/>
  <c r="V34" i="94"/>
  <c r="V30" i="94"/>
  <c r="V93" i="94"/>
  <c r="V85" i="94"/>
  <c r="V81" i="94"/>
  <c r="V92" i="94"/>
  <c r="V76" i="94"/>
  <c r="V64" i="94"/>
  <c r="V52" i="94"/>
  <c r="V44" i="94"/>
  <c r="V40" i="94"/>
  <c r="V75" i="94"/>
  <c r="V71" i="94"/>
  <c r="V94" i="94"/>
  <c r="V56" i="94"/>
  <c r="V41" i="94"/>
  <c r="V77" i="94"/>
  <c r="V51" i="94"/>
  <c r="V39" i="94"/>
  <c r="V36" i="94"/>
  <c r="V27" i="94"/>
  <c r="V21" i="94"/>
  <c r="V18" i="94"/>
  <c r="V54" i="94"/>
  <c r="V88" i="94"/>
  <c r="V69" i="94"/>
  <c r="V59" i="94"/>
  <c r="V37" i="94"/>
  <c r="V96" i="94"/>
  <c r="V78" i="94"/>
  <c r="V32" i="94"/>
  <c r="V86" i="94"/>
  <c r="V65" i="94"/>
  <c r="V49" i="94"/>
  <c r="V91" i="94"/>
  <c r="V82" i="94"/>
  <c r="T23" i="94"/>
  <c r="V72" i="94"/>
  <c r="V63" i="94"/>
  <c r="V35" i="94"/>
  <c r="V28" i="94"/>
  <c r="V26" i="94"/>
  <c r="V25" i="94"/>
  <c r="V61" i="94"/>
  <c r="V53" i="94"/>
  <c r="V45" i="94"/>
  <c r="V43" i="94"/>
  <c r="V70" i="94"/>
  <c r="Z37" i="94"/>
  <c r="R21" i="90"/>
  <c r="R25" i="90"/>
  <c r="J14" i="91"/>
  <c r="J16" i="91"/>
  <c r="J18" i="91"/>
  <c r="J20" i="91"/>
  <c r="R21" i="91"/>
  <c r="J24" i="91"/>
  <c r="R25" i="91"/>
  <c r="J28" i="91"/>
  <c r="J43" i="91"/>
  <c r="J56" i="92"/>
  <c r="J58" i="92"/>
  <c r="Z75" i="92"/>
  <c r="J20" i="93"/>
  <c r="D12" i="94"/>
  <c r="L13" i="94"/>
  <c r="V31" i="94"/>
  <c r="N78" i="94"/>
  <c r="X44" i="91"/>
  <c r="Z51" i="91"/>
  <c r="X26" i="94"/>
  <c r="N60" i="94"/>
  <c r="L60" i="94"/>
  <c r="J52" i="91"/>
  <c r="J53" i="91"/>
  <c r="J54" i="91"/>
  <c r="J46" i="91"/>
  <c r="J49" i="91"/>
  <c r="J42" i="91"/>
  <c r="J58" i="91"/>
  <c r="L25" i="92"/>
  <c r="N25" i="92" s="1"/>
  <c r="X26" i="92"/>
  <c r="Z14" i="93"/>
  <c r="T16" i="93"/>
  <c r="X18" i="93"/>
  <c r="J60" i="94"/>
  <c r="X66" i="94"/>
  <c r="Z66" i="94" s="1"/>
  <c r="Z44" i="91"/>
  <c r="Z26" i="94"/>
  <c r="Z26" i="92"/>
  <c r="X50" i="92"/>
  <c r="Z50" i="92" s="1"/>
  <c r="Z58" i="92"/>
  <c r="H16" i="93"/>
  <c r="J26" i="93"/>
  <c r="J24" i="93"/>
  <c r="J14" i="93"/>
  <c r="J16" i="93"/>
  <c r="J18" i="93"/>
  <c r="J19" i="93"/>
  <c r="J31" i="93"/>
  <c r="L12" i="93"/>
  <c r="R58" i="91"/>
  <c r="R56" i="91"/>
  <c r="R48" i="91"/>
  <c r="R47" i="91"/>
  <c r="R40" i="91"/>
  <c r="R39" i="91"/>
  <c r="R60" i="91"/>
  <c r="R51" i="91"/>
  <c r="R50" i="91"/>
  <c r="R19" i="91"/>
  <c r="J40" i="91"/>
  <c r="R46" i="91"/>
  <c r="J84" i="92"/>
  <c r="J74" i="92"/>
  <c r="J60" i="92"/>
  <c r="J48" i="92"/>
  <c r="J34" i="92"/>
  <c r="J30" i="92"/>
  <c r="J85" i="92"/>
  <c r="J75" i="92"/>
  <c r="J69" i="92"/>
  <c r="J61" i="92"/>
  <c r="J49" i="92"/>
  <c r="J21" i="92"/>
  <c r="J86" i="92"/>
  <c r="J80" i="92"/>
  <c r="J76" i="92"/>
  <c r="J70" i="92"/>
  <c r="J62" i="92"/>
  <c r="J50" i="92"/>
  <c r="J44" i="92"/>
  <c r="J40" i="92"/>
  <c r="J26" i="92"/>
  <c r="J87" i="92"/>
  <c r="J71" i="92"/>
  <c r="J63" i="92"/>
  <c r="J51" i="92"/>
  <c r="J35" i="92"/>
  <c r="J31" i="92"/>
  <c r="J27" i="92"/>
  <c r="J25" i="92"/>
  <c r="J23" i="92"/>
  <c r="J91" i="92"/>
  <c r="J89" i="92"/>
  <c r="J81" i="92"/>
  <c r="J77" i="92"/>
  <c r="J65" i="92"/>
  <c r="J53" i="92"/>
  <c r="J45" i="92"/>
  <c r="J41" i="92"/>
  <c r="J72" i="92"/>
  <c r="J66" i="92"/>
  <c r="J54" i="92"/>
  <c r="J36" i="92"/>
  <c r="J32" i="92"/>
  <c r="J28" i="92"/>
  <c r="J93" i="92"/>
  <c r="J67" i="92"/>
  <c r="J55" i="92"/>
  <c r="J37" i="92"/>
  <c r="J19" i="92"/>
  <c r="N52" i="92"/>
  <c r="Z70" i="92"/>
  <c r="N12" i="93"/>
  <c r="X25" i="94"/>
  <c r="Z25" i="94" s="1"/>
  <c r="Z21" i="95"/>
  <c r="N91" i="94"/>
  <c r="Z64" i="94"/>
  <c r="J91" i="94"/>
  <c r="V14" i="93"/>
  <c r="V31" i="93"/>
  <c r="L18" i="94"/>
  <c r="N37" i="94"/>
  <c r="J44" i="94"/>
  <c r="Z50" i="94"/>
  <c r="L54" i="94"/>
  <c r="N88" i="94"/>
  <c r="Z91" i="94"/>
  <c r="N16" i="95"/>
  <c r="N33" i="95"/>
  <c r="J59" i="94"/>
  <c r="X60" i="94"/>
  <c r="Z60" i="94" s="1"/>
  <c r="J90" i="94"/>
  <c r="F76" i="95"/>
  <c r="F72" i="95"/>
  <c r="F86" i="95"/>
  <c r="F84" i="95"/>
  <c r="F67" i="95"/>
  <c r="F88" i="95"/>
  <c r="F77" i="95"/>
  <c r="F73" i="95"/>
  <c r="F57" i="95"/>
  <c r="F56" i="95"/>
  <c r="F90" i="95"/>
  <c r="F79" i="95"/>
  <c r="F78" i="95"/>
  <c r="F59" i="95"/>
  <c r="F58" i="95"/>
  <c r="F47" i="95"/>
  <c r="F46" i="95"/>
  <c r="F93" i="95"/>
  <c r="F80" i="95"/>
  <c r="F75" i="95"/>
  <c r="F71" i="95"/>
  <c r="F70" i="95"/>
  <c r="F63" i="95"/>
  <c r="F62" i="95"/>
  <c r="F51" i="95"/>
  <c r="F50" i="95"/>
  <c r="F82" i="95"/>
  <c r="F81" i="95"/>
  <c r="F61" i="95"/>
  <c r="F21" i="95"/>
  <c r="F19" i="95"/>
  <c r="F74" i="95"/>
  <c r="F48" i="95"/>
  <c r="F44" i="95"/>
  <c r="F37" i="95"/>
  <c r="D19" i="95"/>
  <c r="F41" i="95"/>
  <c r="F32" i="95"/>
  <c r="F28" i="95"/>
  <c r="F24" i="95"/>
  <c r="F64" i="95"/>
  <c r="F52" i="95"/>
  <c r="F49" i="95"/>
  <c r="F45" i="95"/>
  <c r="F69" i="95"/>
  <c r="F38" i="95"/>
  <c r="F34" i="95"/>
  <c r="F29" i="95"/>
  <c r="F25" i="95"/>
  <c r="F53" i="95"/>
  <c r="F42" i="95"/>
  <c r="L12" i="95"/>
  <c r="F35" i="95"/>
  <c r="F65" i="95"/>
  <c r="F54" i="95"/>
  <c r="F39" i="95"/>
  <c r="F30" i="95"/>
  <c r="F26" i="95"/>
  <c r="F60" i="95"/>
  <c r="H86" i="95"/>
  <c r="F40" i="95"/>
  <c r="D16" i="93"/>
  <c r="P12" i="94"/>
  <c r="N18" i="94"/>
  <c r="J69" i="94"/>
  <c r="X78" i="94"/>
  <c r="Z78" i="94" s="1"/>
  <c r="Z96" i="94"/>
  <c r="X96" i="94"/>
  <c r="Z56" i="95"/>
  <c r="X56" i="95"/>
  <c r="J61" i="97"/>
  <c r="J55" i="97"/>
  <c r="J45" i="97"/>
  <c r="J29" i="97"/>
  <c r="J25" i="97"/>
  <c r="J21" i="97"/>
  <c r="J19" i="97"/>
  <c r="J17" i="97"/>
  <c r="J15" i="97"/>
  <c r="J73" i="97"/>
  <c r="J72" i="97"/>
  <c r="J62" i="97"/>
  <c r="J56" i="97"/>
  <c r="J46" i="97"/>
  <c r="J63" i="97"/>
  <c r="J57" i="97"/>
  <c r="J47" i="97"/>
  <c r="J39" i="97"/>
  <c r="J35" i="97"/>
  <c r="J64" i="97"/>
  <c r="J58" i="97"/>
  <c r="J48" i="97"/>
  <c r="J30" i="97"/>
  <c r="J26" i="97"/>
  <c r="J22" i="97"/>
  <c r="J65" i="97"/>
  <c r="J32" i="97"/>
  <c r="J24" i="97"/>
  <c r="J69" i="97"/>
  <c r="J59" i="97"/>
  <c r="J27" i="97"/>
  <c r="J52" i="97"/>
  <c r="J49" i="97"/>
  <c r="J38" i="97"/>
  <c r="J41" i="97"/>
  <c r="J66" i="97"/>
  <c r="J42" i="97"/>
  <c r="H17" i="97"/>
  <c r="N12" i="97"/>
  <c r="J70" i="97"/>
  <c r="J53" i="97"/>
  <c r="J36" i="97"/>
  <c r="J33" i="97"/>
  <c r="J20" i="97"/>
  <c r="L12" i="97"/>
  <c r="J50" i="97"/>
  <c r="J31" i="97"/>
  <c r="J43" i="97"/>
  <c r="J77" i="97"/>
  <c r="J54" i="97"/>
  <c r="J34" i="97"/>
  <c r="J60" i="97"/>
  <c r="J37" i="97"/>
  <c r="J51" i="97"/>
  <c r="J68" i="97"/>
  <c r="J44" i="97"/>
  <c r="J40" i="97"/>
  <c r="J23" i="97"/>
  <c r="Z52" i="94"/>
  <c r="N56" i="94"/>
  <c r="J92" i="94"/>
  <c r="F22" i="95"/>
  <c r="Z33" i="95"/>
  <c r="V56" i="95"/>
  <c r="L17" i="97"/>
  <c r="D75" i="97"/>
  <c r="F17" i="97"/>
  <c r="N48" i="94"/>
  <c r="N71" i="94"/>
  <c r="J83" i="94"/>
  <c r="L22" i="95"/>
  <c r="N22" i="95" s="1"/>
  <c r="F36" i="95"/>
  <c r="Z52" i="95"/>
  <c r="V52" i="95"/>
  <c r="F68" i="95"/>
  <c r="X19" i="93"/>
  <c r="J29" i="94"/>
  <c r="X37" i="94"/>
  <c r="J43" i="94"/>
  <c r="J48" i="94"/>
  <c r="J61" i="94"/>
  <c r="X71" i="94"/>
  <c r="Z71" i="94" s="1"/>
  <c r="J79" i="94"/>
  <c r="J81" i="94"/>
  <c r="J85" i="94"/>
  <c r="F55" i="95"/>
  <c r="F66" i="95"/>
  <c r="L22" i="93"/>
  <c r="J93" i="94"/>
  <c r="J75" i="94"/>
  <c r="J63" i="94"/>
  <c r="J51" i="94"/>
  <c r="J35" i="94"/>
  <c r="J31" i="94"/>
  <c r="J27" i="94"/>
  <c r="J25" i="94"/>
  <c r="J23" i="94"/>
  <c r="J94" i="94"/>
  <c r="J86" i="94"/>
  <c r="J82" i="94"/>
  <c r="J76" i="94"/>
  <c r="J70" i="94"/>
  <c r="J64" i="94"/>
  <c r="J52" i="94"/>
  <c r="H23" i="94"/>
  <c r="J77" i="94"/>
  <c r="J71" i="94"/>
  <c r="J65" i="94"/>
  <c r="J53" i="94"/>
  <c r="J45" i="94"/>
  <c r="J41" i="94"/>
  <c r="J96" i="94"/>
  <c r="J78" i="94"/>
  <c r="J72" i="94"/>
  <c r="J66" i="94"/>
  <c r="J54" i="94"/>
  <c r="J36" i="94"/>
  <c r="J32" i="94"/>
  <c r="J28" i="94"/>
  <c r="J18" i="94"/>
  <c r="J100" i="94"/>
  <c r="J88" i="94"/>
  <c r="J56" i="94"/>
  <c r="J46" i="94"/>
  <c r="J42" i="94"/>
  <c r="J38" i="94"/>
  <c r="J89" i="94"/>
  <c r="J73" i="94"/>
  <c r="J84" i="94"/>
  <c r="J80" i="94"/>
  <c r="J68" i="94"/>
  <c r="J58" i="94"/>
  <c r="J20" i="94"/>
  <c r="J26" i="94"/>
  <c r="N58" i="94"/>
  <c r="Z62" i="94"/>
  <c r="L66" i="94"/>
  <c r="F17" i="95"/>
  <c r="L22" i="96"/>
  <c r="D20" i="96"/>
  <c r="L20" i="96" s="1"/>
  <c r="J67" i="97"/>
  <c r="X73" i="97"/>
  <c r="Z73" i="97" s="1"/>
  <c r="P72" i="97"/>
  <c r="X72" i="97" s="1"/>
  <c r="Z72" i="97" s="1"/>
  <c r="F20" i="93"/>
  <c r="F19" i="93"/>
  <c r="F24" i="93"/>
  <c r="F22" i="93"/>
  <c r="F31" i="93"/>
  <c r="J47" i="94"/>
  <c r="X48" i="94"/>
  <c r="Z48" i="94" s="1"/>
  <c r="N66" i="94"/>
  <c r="N21" i="95"/>
  <c r="Z22" i="95"/>
  <c r="X62" i="97"/>
  <c r="Z62" i="97" s="1"/>
  <c r="V33" i="95"/>
  <c r="J47" i="95"/>
  <c r="J70" i="95"/>
  <c r="X22" i="96"/>
  <c r="P20" i="96"/>
  <c r="X20" i="96" s="1"/>
  <c r="J67" i="95"/>
  <c r="J55" i="95"/>
  <c r="J43" i="95"/>
  <c r="J88" i="95"/>
  <c r="J77" i="95"/>
  <c r="J73" i="95"/>
  <c r="J57" i="95"/>
  <c r="J78" i="95"/>
  <c r="J68" i="95"/>
  <c r="J58" i="95"/>
  <c r="J79" i="95"/>
  <c r="J74" i="95"/>
  <c r="J60" i="95"/>
  <c r="J48" i="95"/>
  <c r="J81" i="95"/>
  <c r="J75" i="95"/>
  <c r="J71" i="95"/>
  <c r="J63" i="95"/>
  <c r="J82" i="95"/>
  <c r="J64" i="95"/>
  <c r="J52" i="95"/>
  <c r="J65" i="95"/>
  <c r="J16" i="95"/>
  <c r="J26" i="95"/>
  <c r="J30" i="95"/>
  <c r="J39" i="95"/>
  <c r="Z44" i="95"/>
  <c r="N50" i="95"/>
  <c r="L60" i="95"/>
  <c r="N60" i="95" s="1"/>
  <c r="J86" i="95"/>
  <c r="J35" i="95"/>
  <c r="V44" i="95"/>
  <c r="J50" i="95"/>
  <c r="J54" i="95"/>
  <c r="Z58" i="95"/>
  <c r="N12" i="95"/>
  <c r="T90" i="95"/>
  <c r="V36" i="95"/>
  <c r="J42" i="95"/>
  <c r="J46" i="95"/>
  <c r="J53" i="95"/>
  <c r="Z66" i="95"/>
  <c r="V57" i="95"/>
  <c r="J59" i="95"/>
  <c r="J62" i="95"/>
  <c r="J76" i="95"/>
  <c r="T24" i="96"/>
  <c r="V79" i="95"/>
  <c r="V59" i="95"/>
  <c r="V47" i="95"/>
  <c r="V74" i="95"/>
  <c r="V70" i="95"/>
  <c r="V81" i="95"/>
  <c r="V69" i="95"/>
  <c r="V61" i="95"/>
  <c r="V49" i="95"/>
  <c r="V80" i="95"/>
  <c r="V64" i="95"/>
  <c r="V75" i="95"/>
  <c r="V71" i="95"/>
  <c r="V86" i="95"/>
  <c r="V84" i="95"/>
  <c r="V82" i="95"/>
  <c r="V66" i="95"/>
  <c r="V54" i="95"/>
  <c r="V42" i="95"/>
  <c r="V38" i="95"/>
  <c r="V67" i="95"/>
  <c r="V90" i="95"/>
  <c r="V88" i="95"/>
  <c r="V78" i="95"/>
  <c r="V58" i="95"/>
  <c r="V77" i="95"/>
  <c r="V73" i="95"/>
  <c r="V22" i="95"/>
  <c r="V26" i="95"/>
  <c r="V30" i="95"/>
  <c r="J34" i="95"/>
  <c r="J38" i="95"/>
  <c r="V39" i="95"/>
  <c r="V60" i="95"/>
  <c r="J69" i="95"/>
  <c r="J33" i="95"/>
  <c r="J45" i="95"/>
  <c r="J49" i="95"/>
  <c r="Z54" i="95"/>
  <c r="J56" i="95"/>
  <c r="N53" i="97"/>
  <c r="L53" i="97"/>
  <c r="J24" i="95"/>
  <c r="J28" i="95"/>
  <c r="J32" i="95"/>
  <c r="J41" i="95"/>
  <c r="V50" i="95"/>
  <c r="L52" i="95"/>
  <c r="N52" i="95" s="1"/>
  <c r="V53" i="95"/>
  <c r="V76" i="95"/>
  <c r="J84" i="95"/>
  <c r="V25" i="95"/>
  <c r="V29" i="95"/>
  <c r="J37" i="95"/>
  <c r="V46" i="95"/>
  <c r="L58" i="95"/>
  <c r="N58" i="95" s="1"/>
  <c r="V62" i="95"/>
  <c r="X64" i="95"/>
  <c r="Z64" i="95" s="1"/>
  <c r="X15" i="97"/>
  <c r="N67" i="97"/>
  <c r="Z14" i="96"/>
  <c r="V15" i="97"/>
  <c r="F26" i="97"/>
  <c r="R29" i="97"/>
  <c r="F31" i="97"/>
  <c r="F43" i="97"/>
  <c r="R48" i="97"/>
  <c r="F58" i="97"/>
  <c r="V62" i="97"/>
  <c r="F64" i="97"/>
  <c r="R69" i="97"/>
  <c r="R73" i="97"/>
  <c r="D16" i="96"/>
  <c r="R24" i="97"/>
  <c r="V29" i="97"/>
  <c r="N31" i="97"/>
  <c r="F50" i="97"/>
  <c r="R55" i="97"/>
  <c r="R61" i="97"/>
  <c r="N64" i="97"/>
  <c r="F67" i="97"/>
  <c r="Z69" i="97"/>
  <c r="V73" i="97"/>
  <c r="J21" i="96"/>
  <c r="R24" i="96"/>
  <c r="F70" i="97"/>
  <c r="F69" i="97"/>
  <c r="F54" i="97"/>
  <c r="F53" i="97"/>
  <c r="F38" i="97"/>
  <c r="F34" i="97"/>
  <c r="F61" i="97"/>
  <c r="F45" i="97"/>
  <c r="F44" i="97"/>
  <c r="F29" i="97"/>
  <c r="F25" i="97"/>
  <c r="F21" i="97"/>
  <c r="F20" i="97"/>
  <c r="F73" i="97"/>
  <c r="F56" i="97"/>
  <c r="F55" i="97"/>
  <c r="F72" i="97"/>
  <c r="F63" i="97"/>
  <c r="F62" i="97"/>
  <c r="F47" i="97"/>
  <c r="F46" i="97"/>
  <c r="F39" i="97"/>
  <c r="F35" i="97"/>
  <c r="F23" i="97"/>
  <c r="V24" i="97"/>
  <c r="F28" i="97"/>
  <c r="R37" i="97"/>
  <c r="V48" i="97"/>
  <c r="F60" i="97"/>
  <c r="V61" i="97"/>
  <c r="R68" i="97"/>
  <c r="V69" i="97"/>
  <c r="R72" i="97"/>
  <c r="R22" i="96"/>
  <c r="J31" i="96"/>
  <c r="V21" i="97"/>
  <c r="V34" i="97"/>
  <c r="R43" i="97"/>
  <c r="Z44" i="97"/>
  <c r="V47" i="97"/>
  <c r="V54" i="97"/>
  <c r="F66" i="97"/>
  <c r="V72" i="97"/>
  <c r="V22" i="96"/>
  <c r="F15" i="97"/>
  <c r="F30" i="97"/>
  <c r="V31" i="97"/>
  <c r="R39" i="97"/>
  <c r="F41" i="97"/>
  <c r="V43" i="97"/>
  <c r="V44" i="97"/>
  <c r="V64" i="97"/>
  <c r="X84" i="95"/>
  <c r="J22" i="96"/>
  <c r="H16" i="96"/>
  <c r="P16" i="96"/>
  <c r="R21" i="96"/>
  <c r="R58" i="97"/>
  <c r="R31" i="97"/>
  <c r="R30" i="97"/>
  <c r="R26" i="97"/>
  <c r="R22" i="97"/>
  <c r="X12" i="97"/>
  <c r="R77" i="97"/>
  <c r="R65" i="97"/>
  <c r="R49" i="97"/>
  <c r="R40" i="97"/>
  <c r="R36" i="97"/>
  <c r="R32" i="97"/>
  <c r="R59" i="97"/>
  <c r="R27" i="97"/>
  <c r="R23" i="97"/>
  <c r="R28" i="97"/>
  <c r="X31" i="97"/>
  <c r="Z31" i="97" s="1"/>
  <c r="F49" i="97"/>
  <c r="F52" i="97"/>
  <c r="R57" i="97"/>
  <c r="R60" i="97"/>
  <c r="R63" i="97"/>
  <c r="R16" i="96"/>
  <c r="R18" i="96"/>
  <c r="R20" i="96"/>
  <c r="V77" i="97"/>
  <c r="V65" i="97"/>
  <c r="V49" i="97"/>
  <c r="V40" i="97"/>
  <c r="V36" i="97"/>
  <c r="V32" i="97"/>
  <c r="V67" i="97"/>
  <c r="V59" i="97"/>
  <c r="V51" i="97"/>
  <c r="V27" i="97"/>
  <c r="V23" i="97"/>
  <c r="V66" i="97"/>
  <c r="V50" i="97"/>
  <c r="V42" i="97"/>
  <c r="R25" i="97"/>
  <c r="F27" i="97"/>
  <c r="V28" i="97"/>
  <c r="V30" i="97"/>
  <c r="R33" i="97"/>
  <c r="R46" i="97"/>
  <c r="F59" i="97"/>
  <c r="V60" i="97"/>
  <c r="V63" i="97"/>
  <c r="R67" i="97"/>
  <c r="R70" i="97"/>
  <c r="N12" i="96"/>
  <c r="R14" i="96"/>
  <c r="J26" i="96"/>
  <c r="R31" i="96"/>
  <c r="Z12" i="97"/>
  <c r="P17" i="97"/>
  <c r="R19" i="97"/>
  <c r="R20" i="97"/>
  <c r="F22" i="97"/>
  <c r="V25" i="97"/>
  <c r="V33" i="97"/>
  <c r="R53" i="97"/>
  <c r="V57" i="97"/>
  <c r="R66" i="97"/>
  <c r="V70" i="97"/>
  <c r="R28" i="96"/>
  <c r="Z20" i="97"/>
  <c r="F24" i="97"/>
  <c r="F32" i="97"/>
  <c r="R41" i="97"/>
  <c r="R42" i="97"/>
  <c r="V46" i="97"/>
  <c r="F48" i="97"/>
  <c r="F51" i="97"/>
  <c r="Z53" i="97"/>
  <c r="R56" i="97"/>
  <c r="X57" i="97"/>
  <c r="Z57" i="97" s="1"/>
  <c r="F65" i="97"/>
  <c r="L69" i="97"/>
  <c r="V14" i="96"/>
  <c r="R15" i="97"/>
  <c r="T17" i="97"/>
  <c r="V19" i="97"/>
  <c r="V20" i="97"/>
  <c r="V22" i="97"/>
  <c r="R35" i="97"/>
  <c r="F37" i="97"/>
  <c r="R38" i="97"/>
  <c r="F40" i="97"/>
  <c r="V41" i="97"/>
  <c r="Z42" i="97"/>
  <c r="R45" i="97"/>
  <c r="N48" i="97"/>
  <c r="R52" i="97"/>
  <c r="V53" i="97"/>
  <c r="V56" i="97"/>
  <c r="R62" i="97"/>
  <c r="F68" i="97"/>
  <c r="H78" i="67" l="1"/>
  <c r="J74" i="67"/>
  <c r="D56" i="88"/>
  <c r="L16" i="88"/>
  <c r="P24" i="93"/>
  <c r="X16" i="93"/>
  <c r="Z16" i="88"/>
  <c r="T56" i="88"/>
  <c r="H62" i="91"/>
  <c r="D58" i="91"/>
  <c r="L16" i="91"/>
  <c r="P86" i="86"/>
  <c r="X20" i="86"/>
  <c r="P99" i="85"/>
  <c r="X23" i="85"/>
  <c r="Z23" i="85" s="1"/>
  <c r="R23" i="85"/>
  <c r="P80" i="83"/>
  <c r="X19" i="83"/>
  <c r="F74" i="83"/>
  <c r="F58" i="83"/>
  <c r="F50" i="83"/>
  <c r="F49" i="83"/>
  <c r="F69" i="83"/>
  <c r="F65" i="83"/>
  <c r="F41" i="83"/>
  <c r="F37" i="83"/>
  <c r="F76" i="83"/>
  <c r="F75" i="83"/>
  <c r="F59" i="83"/>
  <c r="F70" i="83"/>
  <c r="F66" i="83"/>
  <c r="F54" i="83"/>
  <c r="F53" i="83"/>
  <c r="F80" i="83"/>
  <c r="F78" i="83"/>
  <c r="F61" i="83"/>
  <c r="F60" i="83"/>
  <c r="F71" i="83"/>
  <c r="F67" i="83"/>
  <c r="F39" i="83"/>
  <c r="F68" i="83"/>
  <c r="F64" i="83"/>
  <c r="F63" i="83"/>
  <c r="F82" i="83"/>
  <c r="F52" i="83"/>
  <c r="F36" i="83"/>
  <c r="F29" i="83"/>
  <c r="F25" i="83"/>
  <c r="F73" i="83"/>
  <c r="F62" i="83"/>
  <c r="F55" i="83"/>
  <c r="L12" i="83"/>
  <c r="F45" i="83"/>
  <c r="F42" i="83"/>
  <c r="F34" i="83"/>
  <c r="F26" i="83"/>
  <c r="F87" i="83"/>
  <c r="F56" i="83"/>
  <c r="F46" i="83"/>
  <c r="F30" i="83"/>
  <c r="F17" i="83"/>
  <c r="F16" i="83"/>
  <c r="F40" i="83"/>
  <c r="F27" i="83"/>
  <c r="F23" i="83"/>
  <c r="F22" i="83"/>
  <c r="F84" i="83"/>
  <c r="F72" i="83"/>
  <c r="F21" i="83"/>
  <c r="F19" i="83"/>
  <c r="F47" i="83"/>
  <c r="F43" i="83"/>
  <c r="F38" i="83"/>
  <c r="F35" i="83"/>
  <c r="F31" i="83"/>
  <c r="D19" i="83"/>
  <c r="F51" i="83"/>
  <c r="F44" i="83"/>
  <c r="F32" i="83"/>
  <c r="F28" i="83"/>
  <c r="F24" i="83"/>
  <c r="F48" i="83"/>
  <c r="F57" i="83"/>
  <c r="F33" i="83"/>
  <c r="H127" i="77"/>
  <c r="T53" i="75"/>
  <c r="T120" i="66"/>
  <c r="V54" i="66"/>
  <c r="H63" i="60"/>
  <c r="N16" i="58"/>
  <c r="H76" i="58"/>
  <c r="N16" i="54"/>
  <c r="H22" i="54"/>
  <c r="T78" i="57"/>
  <c r="P66" i="60"/>
  <c r="F123" i="42"/>
  <c r="F89" i="42"/>
  <c r="F88" i="42"/>
  <c r="F77" i="42"/>
  <c r="F104" i="42"/>
  <c r="F103" i="42"/>
  <c r="F84" i="42"/>
  <c r="F111" i="42"/>
  <c r="F99" i="42"/>
  <c r="F95" i="42"/>
  <c r="F100" i="42"/>
  <c r="F96" i="42"/>
  <c r="F92" i="42"/>
  <c r="F91" i="42"/>
  <c r="F80" i="42"/>
  <c r="F79" i="42"/>
  <c r="F116" i="42"/>
  <c r="F107" i="42"/>
  <c r="F106" i="42"/>
  <c r="F117" i="42"/>
  <c r="F115" i="42"/>
  <c r="F86" i="42"/>
  <c r="F87" i="42"/>
  <c r="F83" i="42"/>
  <c r="F82" i="42"/>
  <c r="F67" i="42"/>
  <c r="F66" i="42"/>
  <c r="F93" i="42"/>
  <c r="F69" i="42"/>
  <c r="F60" i="42"/>
  <c r="F57" i="42"/>
  <c r="F56" i="42"/>
  <c r="F28" i="42"/>
  <c r="F101" i="42"/>
  <c r="F97" i="42"/>
  <c r="F76" i="42"/>
  <c r="F65" i="42"/>
  <c r="F48" i="42"/>
  <c r="F44" i="42"/>
  <c r="F40" i="42"/>
  <c r="F39" i="42"/>
  <c r="D26" i="42"/>
  <c r="F26" i="42" s="1"/>
  <c r="F109" i="42"/>
  <c r="F73" i="42"/>
  <c r="F35" i="42"/>
  <c r="F31" i="42"/>
  <c r="F61" i="42"/>
  <c r="F58" i="42"/>
  <c r="F22" i="42"/>
  <c r="F21" i="42"/>
  <c r="F119" i="42"/>
  <c r="F94" i="42"/>
  <c r="F70" i="42"/>
  <c r="F49" i="42"/>
  <c r="F45" i="42"/>
  <c r="F41" i="42"/>
  <c r="F112" i="42"/>
  <c r="F36" i="42"/>
  <c r="F32" i="42"/>
  <c r="F110" i="42"/>
  <c r="F102" i="42"/>
  <c r="F74" i="42"/>
  <c r="F71" i="42"/>
  <c r="F62" i="42"/>
  <c r="F51" i="42"/>
  <c r="F50" i="42"/>
  <c r="F23" i="42"/>
  <c r="F98" i="42"/>
  <c r="F85" i="42"/>
  <c r="F63" i="42"/>
  <c r="F59" i="42"/>
  <c r="F46" i="42"/>
  <c r="F42" i="42"/>
  <c r="F75" i="42"/>
  <c r="F53" i="42"/>
  <c r="F52" i="42"/>
  <c r="F37" i="42"/>
  <c r="F33" i="42"/>
  <c r="F108" i="42"/>
  <c r="F55" i="42"/>
  <c r="F54" i="42"/>
  <c r="F47" i="42"/>
  <c r="F43" i="42"/>
  <c r="F64" i="42"/>
  <c r="F38" i="42"/>
  <c r="F29" i="42"/>
  <c r="L12" i="42"/>
  <c r="N12" i="42" s="1"/>
  <c r="F105" i="42"/>
  <c r="F113" i="42"/>
  <c r="F90" i="42"/>
  <c r="F81" i="42"/>
  <c r="F30" i="42"/>
  <c r="F72" i="42"/>
  <c r="F118" i="42"/>
  <c r="F78" i="42"/>
  <c r="F68" i="42"/>
  <c r="F24" i="42"/>
  <c r="F34" i="42"/>
  <c r="R248" i="18"/>
  <c r="R250" i="18"/>
  <c r="R240" i="18"/>
  <c r="R251" i="18"/>
  <c r="R256" i="18"/>
  <c r="R243" i="18"/>
  <c r="R242" i="18"/>
  <c r="R249" i="18"/>
  <c r="R244" i="18"/>
  <c r="R236" i="18"/>
  <c r="R217" i="18"/>
  <c r="R206" i="18"/>
  <c r="R205" i="18"/>
  <c r="R190" i="18"/>
  <c r="R189" i="18"/>
  <c r="R181" i="18"/>
  <c r="R173" i="18"/>
  <c r="R157" i="18"/>
  <c r="R153" i="18"/>
  <c r="R149" i="18"/>
  <c r="P145" i="18"/>
  <c r="R237" i="18"/>
  <c r="R232" i="18"/>
  <c r="R228" i="18"/>
  <c r="R212" i="18"/>
  <c r="R197" i="18"/>
  <c r="R196" i="18"/>
  <c r="R140" i="18"/>
  <c r="R136" i="18"/>
  <c r="R132" i="18"/>
  <c r="R128" i="18"/>
  <c r="R124" i="18"/>
  <c r="R120" i="18"/>
  <c r="R116" i="18"/>
  <c r="R241" i="18"/>
  <c r="R224" i="18"/>
  <c r="R223" i="18"/>
  <c r="R207" i="18"/>
  <c r="R191" i="18"/>
  <c r="R167" i="18"/>
  <c r="R163" i="18"/>
  <c r="R246" i="18"/>
  <c r="R218" i="18"/>
  <c r="R199" i="18"/>
  <c r="R198" i="18"/>
  <c r="R183" i="18"/>
  <c r="R182" i="18"/>
  <c r="R175" i="18"/>
  <c r="R174" i="18"/>
  <c r="R159" i="18"/>
  <c r="R158" i="18"/>
  <c r="R154" i="18"/>
  <c r="R150" i="18"/>
  <c r="R238" i="18"/>
  <c r="R233" i="18"/>
  <c r="R229" i="18"/>
  <c r="R225" i="18"/>
  <c r="R213" i="18"/>
  <c r="R141" i="18"/>
  <c r="R137" i="18"/>
  <c r="R133" i="18"/>
  <c r="R129" i="18"/>
  <c r="R125" i="18"/>
  <c r="R121" i="18"/>
  <c r="R117" i="18"/>
  <c r="R113" i="18"/>
  <c r="R109" i="18"/>
  <c r="R105" i="18"/>
  <c r="R101" i="18"/>
  <c r="R97" i="18"/>
  <c r="R234" i="18"/>
  <c r="R208" i="18"/>
  <c r="R200" i="18"/>
  <c r="R193" i="18"/>
  <c r="R192" i="18"/>
  <c r="R184" i="18"/>
  <c r="R177" i="18"/>
  <c r="R176" i="18"/>
  <c r="R168" i="18"/>
  <c r="R164" i="18"/>
  <c r="R160" i="18"/>
  <c r="R247" i="18"/>
  <c r="R239" i="18"/>
  <c r="R219" i="18"/>
  <c r="R155" i="18"/>
  <c r="R151" i="18"/>
  <c r="R230" i="18"/>
  <c r="R226" i="18"/>
  <c r="R214" i="18"/>
  <c r="R194" i="18"/>
  <c r="R178" i="18"/>
  <c r="R142" i="18"/>
  <c r="R138" i="18"/>
  <c r="R134" i="18"/>
  <c r="R130" i="18"/>
  <c r="R126" i="18"/>
  <c r="R122" i="18"/>
  <c r="R118" i="18"/>
  <c r="R114" i="18"/>
  <c r="R110" i="18"/>
  <c r="R106" i="18"/>
  <c r="R102" i="18"/>
  <c r="R98" i="18"/>
  <c r="R235" i="18"/>
  <c r="R209" i="18"/>
  <c r="R202" i="18"/>
  <c r="R201" i="18"/>
  <c r="R186" i="18"/>
  <c r="R185" i="18"/>
  <c r="R170" i="18"/>
  <c r="R169" i="18"/>
  <c r="R165" i="18"/>
  <c r="R161" i="18"/>
  <c r="R221" i="18"/>
  <c r="R220" i="18"/>
  <c r="R156" i="18"/>
  <c r="R152" i="18"/>
  <c r="R231" i="18"/>
  <c r="R180" i="18"/>
  <c r="R111" i="18"/>
  <c r="R211" i="18"/>
  <c r="R188" i="18"/>
  <c r="R166" i="18"/>
  <c r="R107" i="18"/>
  <c r="R204" i="18"/>
  <c r="R103" i="18"/>
  <c r="R147" i="18"/>
  <c r="R99" i="18"/>
  <c r="R95" i="18"/>
  <c r="X12" i="18"/>
  <c r="Z12" i="18" s="1"/>
  <c r="R222" i="18"/>
  <c r="R215" i="18"/>
  <c r="R171" i="18"/>
  <c r="R112" i="18"/>
  <c r="R179" i="18"/>
  <c r="R108" i="18"/>
  <c r="R187" i="18"/>
  <c r="R148" i="18"/>
  <c r="R145" i="18"/>
  <c r="R104" i="18"/>
  <c r="R227" i="18"/>
  <c r="R216" i="18"/>
  <c r="R210" i="18"/>
  <c r="R203" i="18"/>
  <c r="R100" i="18"/>
  <c r="R252" i="18"/>
  <c r="R195" i="18"/>
  <c r="R172" i="18"/>
  <c r="R96" i="18"/>
  <c r="R115" i="18"/>
  <c r="R119" i="18"/>
  <c r="R162" i="18"/>
  <c r="R123" i="18"/>
  <c r="R127" i="18"/>
  <c r="R131" i="18"/>
  <c r="R143" i="18"/>
  <c r="R135" i="18"/>
  <c r="R139" i="18"/>
  <c r="T236" i="12"/>
  <c r="H236" i="12"/>
  <c r="Z17" i="9"/>
  <c r="T103" i="9"/>
  <c r="Z16" i="6"/>
  <c r="T22" i="6"/>
  <c r="P103" i="9"/>
  <c r="X17" i="9"/>
  <c r="X18" i="98"/>
  <c r="P27" i="98"/>
  <c r="D27" i="44"/>
  <c r="L18" i="44"/>
  <c r="T27" i="47"/>
  <c r="Z18" i="47"/>
  <c r="X18" i="40"/>
  <c r="P27" i="40"/>
  <c r="L18" i="31"/>
  <c r="D27" i="31"/>
  <c r="L18" i="38"/>
  <c r="D27" i="38"/>
  <c r="Z18" i="13"/>
  <c r="T27" i="13"/>
  <c r="T27" i="16"/>
  <c r="Z18" i="16"/>
  <c r="T27" i="8"/>
  <c r="Z18" i="8"/>
  <c r="X16" i="96"/>
  <c r="P24" i="96"/>
  <c r="F92" i="94"/>
  <c r="F91" i="94"/>
  <c r="F44" i="94"/>
  <c r="F40" i="94"/>
  <c r="F75" i="94"/>
  <c r="F63" i="94"/>
  <c r="F62" i="94"/>
  <c r="F51" i="94"/>
  <c r="F50" i="94"/>
  <c r="F35" i="94"/>
  <c r="F31" i="94"/>
  <c r="F27" i="94"/>
  <c r="F26" i="94"/>
  <c r="F94" i="94"/>
  <c r="F93" i="94"/>
  <c r="F86" i="94"/>
  <c r="F82" i="94"/>
  <c r="F70" i="94"/>
  <c r="F25" i="94"/>
  <c r="F77" i="94"/>
  <c r="F76" i="94"/>
  <c r="F65" i="94"/>
  <c r="F64" i="94"/>
  <c r="F53" i="94"/>
  <c r="F52" i="94"/>
  <c r="F45" i="94"/>
  <c r="F41" i="94"/>
  <c r="D23" i="94"/>
  <c r="F23" i="94" s="1"/>
  <c r="F96" i="94"/>
  <c r="F87" i="94"/>
  <c r="F83" i="94"/>
  <c r="F79" i="94"/>
  <c r="F78" i="94"/>
  <c r="F67" i="94"/>
  <c r="F66" i="94"/>
  <c r="F55" i="94"/>
  <c r="F54" i="94"/>
  <c r="F100" i="94"/>
  <c r="F89" i="94"/>
  <c r="F88" i="94"/>
  <c r="F73" i="94"/>
  <c r="F57" i="94"/>
  <c r="F56" i="94"/>
  <c r="F84" i="94"/>
  <c r="F80" i="94"/>
  <c r="F68" i="94"/>
  <c r="F33" i="94"/>
  <c r="L12" i="94"/>
  <c r="N12" i="94" s="1"/>
  <c r="F47" i="94"/>
  <c r="F58" i="94"/>
  <c r="F20" i="94"/>
  <c r="F85" i="94"/>
  <c r="F81" i="94"/>
  <c r="F61" i="94"/>
  <c r="F43" i="94"/>
  <c r="F36" i="94"/>
  <c r="F29" i="94"/>
  <c r="F71" i="94"/>
  <c r="F48" i="94"/>
  <c r="F39" i="94"/>
  <c r="F34" i="94"/>
  <c r="F69" i="94"/>
  <c r="F21" i="94"/>
  <c r="F18" i="94"/>
  <c r="F90" i="94"/>
  <c r="F59" i="94"/>
  <c r="F46" i="94"/>
  <c r="F32" i="94"/>
  <c r="F74" i="94"/>
  <c r="F60" i="94"/>
  <c r="F30" i="94"/>
  <c r="F38" i="94"/>
  <c r="F42" i="94"/>
  <c r="F49" i="94"/>
  <c r="F28" i="94"/>
  <c r="F37" i="94"/>
  <c r="F19" i="94"/>
  <c r="F72" i="94"/>
  <c r="H28" i="87"/>
  <c r="N18" i="87"/>
  <c r="R68" i="84"/>
  <c r="R49" i="84"/>
  <c r="R48" i="84"/>
  <c r="R32" i="84"/>
  <c r="R28" i="84"/>
  <c r="R81" i="84"/>
  <c r="R60" i="84"/>
  <c r="R59" i="84"/>
  <c r="R24" i="84"/>
  <c r="R19" i="84"/>
  <c r="R51" i="84"/>
  <c r="R50" i="84"/>
  <c r="R42" i="84"/>
  <c r="R38" i="84"/>
  <c r="R23" i="84"/>
  <c r="R21" i="84"/>
  <c r="X12" i="84"/>
  <c r="R70" i="84"/>
  <c r="R69" i="84"/>
  <c r="R62" i="84"/>
  <c r="R61" i="84"/>
  <c r="R34" i="84"/>
  <c r="R33" i="84"/>
  <c r="R29" i="84"/>
  <c r="R25" i="84"/>
  <c r="P21" i="84"/>
  <c r="R53" i="84"/>
  <c r="R52" i="84"/>
  <c r="R72" i="84"/>
  <c r="R71" i="84"/>
  <c r="R64" i="84"/>
  <c r="R63" i="84"/>
  <c r="R43" i="84"/>
  <c r="R39" i="84"/>
  <c r="R35" i="84"/>
  <c r="R55" i="84"/>
  <c r="R54" i="84"/>
  <c r="R74" i="84"/>
  <c r="R73" i="84"/>
  <c r="R66" i="84"/>
  <c r="R65" i="84"/>
  <c r="R77" i="84"/>
  <c r="R58" i="84"/>
  <c r="R47" i="84"/>
  <c r="R46" i="84"/>
  <c r="R18" i="84"/>
  <c r="R41" i="84"/>
  <c r="R37" i="84"/>
  <c r="R67" i="84"/>
  <c r="R40" i="84"/>
  <c r="R57" i="84"/>
  <c r="R45" i="84"/>
  <c r="R31" i="84"/>
  <c r="R36" i="84"/>
  <c r="R27" i="84"/>
  <c r="R30" i="84"/>
  <c r="R17" i="84"/>
  <c r="R75" i="84"/>
  <c r="R44" i="84"/>
  <c r="R56" i="84"/>
  <c r="R26" i="84"/>
  <c r="T32" i="80"/>
  <c r="Z16" i="80"/>
  <c r="P32" i="80"/>
  <c r="X16" i="80"/>
  <c r="H32" i="80"/>
  <c r="N16" i="80"/>
  <c r="H82" i="82"/>
  <c r="F97" i="77"/>
  <c r="F96" i="77"/>
  <c r="F89" i="77"/>
  <c r="F88" i="77"/>
  <c r="F41" i="77"/>
  <c r="F37" i="77"/>
  <c r="F91" i="77"/>
  <c r="F90" i="77"/>
  <c r="F98" i="77"/>
  <c r="F82" i="77"/>
  <c r="F81" i="77"/>
  <c r="F70" i="77"/>
  <c r="F69" i="77"/>
  <c r="F42" i="77"/>
  <c r="F38" i="77"/>
  <c r="F119" i="77"/>
  <c r="F118" i="77"/>
  <c r="F101" i="77"/>
  <c r="F100" i="77"/>
  <c r="F125" i="77"/>
  <c r="F107" i="77"/>
  <c r="F95" i="77"/>
  <c r="F87" i="77"/>
  <c r="F86" i="77"/>
  <c r="F116" i="77"/>
  <c r="F109" i="77"/>
  <c r="F84" i="77"/>
  <c r="F79" i="77"/>
  <c r="F73" i="77"/>
  <c r="F52" i="77"/>
  <c r="F47" i="77"/>
  <c r="L12" i="77"/>
  <c r="N12" i="77" s="1"/>
  <c r="F94" i="77"/>
  <c r="F80" i="77"/>
  <c r="F74" i="77"/>
  <c r="F60" i="77"/>
  <c r="F48" i="77"/>
  <c r="F112" i="77"/>
  <c r="F85" i="77"/>
  <c r="F56" i="77"/>
  <c r="F49" i="77"/>
  <c r="F105" i="77"/>
  <c r="F66" i="77"/>
  <c r="F63" i="77"/>
  <c r="F110" i="77"/>
  <c r="F99" i="77"/>
  <c r="F92" i="77"/>
  <c r="F53" i="77"/>
  <c r="F35" i="77"/>
  <c r="F117" i="77"/>
  <c r="F113" i="77"/>
  <c r="F102" i="77"/>
  <c r="F75" i="77"/>
  <c r="F61" i="77"/>
  <c r="F39" i="77"/>
  <c r="F64" i="77"/>
  <c r="F57" i="77"/>
  <c r="F50" i="77"/>
  <c r="F36" i="77"/>
  <c r="F114" i="77"/>
  <c r="F108" i="77"/>
  <c r="F76" i="77"/>
  <c r="F106" i="77"/>
  <c r="F103" i="77"/>
  <c r="F93" i="77"/>
  <c r="F71" i="77"/>
  <c r="F67" i="77"/>
  <c r="F54" i="77"/>
  <c r="F40" i="77"/>
  <c r="F121" i="77"/>
  <c r="F111" i="77"/>
  <c r="F77" i="77"/>
  <c r="F72" i="77"/>
  <c r="F58" i="77"/>
  <c r="F51" i="77"/>
  <c r="F115" i="77"/>
  <c r="F104" i="77"/>
  <c r="F68" i="77"/>
  <c r="F62" i="77"/>
  <c r="F78" i="77"/>
  <c r="D45" i="77"/>
  <c r="F55" i="77"/>
  <c r="F83" i="77"/>
  <c r="F65" i="77"/>
  <c r="F59" i="77"/>
  <c r="F43" i="77"/>
  <c r="L22" i="73"/>
  <c r="D79" i="73"/>
  <c r="D70" i="74"/>
  <c r="L19" i="74"/>
  <c r="H159" i="69"/>
  <c r="F105" i="71"/>
  <c r="F96" i="71"/>
  <c r="F88" i="71"/>
  <c r="F87" i="71"/>
  <c r="F51" i="71"/>
  <c r="F44" i="71"/>
  <c r="F40" i="71"/>
  <c r="F36" i="71"/>
  <c r="F90" i="71"/>
  <c r="F89" i="71"/>
  <c r="F62" i="71"/>
  <c r="F58" i="71"/>
  <c r="F54" i="71"/>
  <c r="F97" i="71"/>
  <c r="F81" i="71"/>
  <c r="F80" i="71"/>
  <c r="F110" i="71"/>
  <c r="F72" i="71"/>
  <c r="F68" i="71"/>
  <c r="F64" i="71"/>
  <c r="F63" i="71"/>
  <c r="F98" i="71"/>
  <c r="F93" i="71"/>
  <c r="F92" i="71"/>
  <c r="F73" i="71"/>
  <c r="F69" i="71"/>
  <c r="F65" i="71"/>
  <c r="F99" i="71"/>
  <c r="F79" i="71"/>
  <c r="F57" i="71"/>
  <c r="F106" i="71"/>
  <c r="F94" i="71"/>
  <c r="F85" i="71"/>
  <c r="F70" i="71"/>
  <c r="F55" i="71"/>
  <c r="F52" i="71"/>
  <c r="L12" i="71"/>
  <c r="N12" i="71" s="1"/>
  <c r="F102" i="71"/>
  <c r="F83" i="71"/>
  <c r="F76" i="71"/>
  <c r="F60" i="71"/>
  <c r="F53" i="71"/>
  <c r="F47" i="71"/>
  <c r="F41" i="71"/>
  <c r="F38" i="71"/>
  <c r="F35" i="71"/>
  <c r="F100" i="71"/>
  <c r="F71" i="71"/>
  <c r="F95" i="71"/>
  <c r="F86" i="71"/>
  <c r="F77" i="71"/>
  <c r="F104" i="71"/>
  <c r="F74" i="71"/>
  <c r="F61" i="71"/>
  <c r="F56" i="71"/>
  <c r="F45" i="71"/>
  <c r="F42" i="71"/>
  <c r="F39" i="71"/>
  <c r="F75" i="71"/>
  <c r="F84" i="71"/>
  <c r="F78" i="71"/>
  <c r="F33" i="71"/>
  <c r="F101" i="71"/>
  <c r="F37" i="71"/>
  <c r="F59" i="71"/>
  <c r="F67" i="71"/>
  <c r="D49" i="71"/>
  <c r="F49" i="71" s="1"/>
  <c r="F46" i="71"/>
  <c r="F34" i="71"/>
  <c r="F91" i="71"/>
  <c r="F82" i="71"/>
  <c r="F66" i="71"/>
  <c r="F43" i="71"/>
  <c r="T110" i="62"/>
  <c r="N17" i="57"/>
  <c r="H74" i="57"/>
  <c r="T22" i="54"/>
  <c r="Z16" i="54"/>
  <c r="D22" i="54"/>
  <c r="L16" i="54"/>
  <c r="D102" i="45"/>
  <c r="L23" i="45"/>
  <c r="N23" i="45" s="1"/>
  <c r="F23" i="45"/>
  <c r="H125" i="42"/>
  <c r="F80" i="33"/>
  <c r="F79" i="33"/>
  <c r="F74" i="33"/>
  <c r="F52" i="33"/>
  <c r="F48" i="33"/>
  <c r="F44" i="33"/>
  <c r="F43" i="33"/>
  <c r="D30" i="33"/>
  <c r="L12" i="33"/>
  <c r="N12" i="33" s="1"/>
  <c r="F84" i="33"/>
  <c r="F63" i="33"/>
  <c r="F62" i="33"/>
  <c r="F39" i="33"/>
  <c r="F35" i="33"/>
  <c r="F85" i="33"/>
  <c r="F68" i="33"/>
  <c r="F86" i="33"/>
  <c r="F78" i="33"/>
  <c r="F75" i="33"/>
  <c r="F53" i="33"/>
  <c r="F49" i="33"/>
  <c r="F45" i="33"/>
  <c r="F64" i="33"/>
  <c r="F40" i="33"/>
  <c r="F36" i="33"/>
  <c r="F69" i="33"/>
  <c r="F55" i="33"/>
  <c r="F54" i="33"/>
  <c r="F27" i="33"/>
  <c r="F26" i="33"/>
  <c r="F70" i="33"/>
  <c r="F65" i="33"/>
  <c r="F50" i="33"/>
  <c r="F46" i="33"/>
  <c r="F71" i="33"/>
  <c r="F28" i="33"/>
  <c r="F81" i="33"/>
  <c r="F72" i="33"/>
  <c r="F59" i="33"/>
  <c r="F58" i="33"/>
  <c r="F51" i="33"/>
  <c r="F47" i="33"/>
  <c r="F66" i="33"/>
  <c r="F37" i="33"/>
  <c r="F60" i="33"/>
  <c r="F34" i="33"/>
  <c r="F77" i="33"/>
  <c r="F73" i="33"/>
  <c r="F32" i="33"/>
  <c r="F67" i="33"/>
  <c r="F38" i="33"/>
  <c r="F90" i="33"/>
  <c r="F82" i="33"/>
  <c r="F61" i="33"/>
  <c r="F57" i="33"/>
  <c r="F42" i="33"/>
  <c r="F30" i="33"/>
  <c r="F76" i="33"/>
  <c r="F33" i="33"/>
  <c r="F56" i="33"/>
  <c r="F41" i="33"/>
  <c r="D27" i="98"/>
  <c r="L18" i="98"/>
  <c r="N18" i="43"/>
  <c r="H27" i="43"/>
  <c r="P27" i="47"/>
  <c r="X18" i="47"/>
  <c r="L18" i="28"/>
  <c r="D27" i="28"/>
  <c r="H27" i="26"/>
  <c r="N18" i="26"/>
  <c r="H27" i="20"/>
  <c r="N18" i="20"/>
  <c r="H27" i="19"/>
  <c r="N18" i="19"/>
  <c r="P27" i="17"/>
  <c r="X18" i="17"/>
  <c r="X18" i="7"/>
  <c r="P27" i="7"/>
  <c r="H27" i="8"/>
  <c r="N18" i="8"/>
  <c r="H40" i="90"/>
  <c r="N17" i="90"/>
  <c r="F87" i="79"/>
  <c r="F86" i="79"/>
  <c r="F67" i="79"/>
  <c r="F51" i="79"/>
  <c r="F50" i="79"/>
  <c r="F22" i="79"/>
  <c r="F20" i="79"/>
  <c r="F78" i="79"/>
  <c r="F74" i="79"/>
  <c r="F62" i="79"/>
  <c r="F61" i="79"/>
  <c r="F42" i="79"/>
  <c r="F38" i="79"/>
  <c r="F34" i="79"/>
  <c r="F69" i="79"/>
  <c r="F68" i="79"/>
  <c r="F53" i="79"/>
  <c r="F52" i="79"/>
  <c r="F29" i="79"/>
  <c r="F25" i="79"/>
  <c r="F91" i="79"/>
  <c r="F89" i="79"/>
  <c r="F64" i="79"/>
  <c r="F63" i="79"/>
  <c r="F44" i="79"/>
  <c r="F43" i="79"/>
  <c r="L12" i="79"/>
  <c r="F93" i="79"/>
  <c r="F46" i="79"/>
  <c r="F45" i="79"/>
  <c r="F81" i="79"/>
  <c r="F80" i="79"/>
  <c r="F65" i="79"/>
  <c r="F57" i="79"/>
  <c r="F56" i="79"/>
  <c r="F17" i="79"/>
  <c r="F16" i="79"/>
  <c r="F98" i="79"/>
  <c r="F95" i="79"/>
  <c r="F76" i="79"/>
  <c r="F72" i="79"/>
  <c r="F48" i="79"/>
  <c r="F47" i="79"/>
  <c r="F40" i="79"/>
  <c r="F36" i="79"/>
  <c r="F83" i="79"/>
  <c r="F82" i="79"/>
  <c r="F59" i="79"/>
  <c r="F58" i="79"/>
  <c r="F31" i="79"/>
  <c r="F27" i="79"/>
  <c r="F85" i="79"/>
  <c r="F84" i="79"/>
  <c r="F77" i="79"/>
  <c r="F73" i="79"/>
  <c r="F49" i="79"/>
  <c r="F41" i="79"/>
  <c r="F37" i="79"/>
  <c r="F33" i="79"/>
  <c r="F32" i="79"/>
  <c r="F66" i="79"/>
  <c r="F54" i="79"/>
  <c r="F30" i="79"/>
  <c r="F23" i="79"/>
  <c r="F71" i="79"/>
  <c r="F28" i="79"/>
  <c r="D20" i="79"/>
  <c r="F35" i="79"/>
  <c r="F26" i="79"/>
  <c r="F24" i="79"/>
  <c r="F55" i="79"/>
  <c r="F79" i="79"/>
  <c r="F70" i="79"/>
  <c r="F18" i="79"/>
  <c r="F60" i="79"/>
  <c r="F75" i="79"/>
  <c r="F39" i="79"/>
  <c r="N16" i="6"/>
  <c r="H22" i="6"/>
  <c r="L18" i="26"/>
  <c r="D27" i="26"/>
  <c r="N18" i="14"/>
  <c r="H27" i="14"/>
  <c r="H24" i="96"/>
  <c r="N16" i="96"/>
  <c r="T93" i="95"/>
  <c r="H30" i="89"/>
  <c r="N16" i="89"/>
  <c r="T58" i="91"/>
  <c r="Z16" i="91"/>
  <c r="Z16" i="81"/>
  <c r="T87" i="81"/>
  <c r="D31" i="78"/>
  <c r="L21" i="78"/>
  <c r="N21" i="78" s="1"/>
  <c r="R60" i="73"/>
  <c r="R25" i="73"/>
  <c r="R20" i="73"/>
  <c r="R75" i="73"/>
  <c r="R67" i="73"/>
  <c r="R52" i="73"/>
  <c r="R51" i="73"/>
  <c r="R43" i="73"/>
  <c r="R39" i="73"/>
  <c r="R24" i="73"/>
  <c r="R77" i="73"/>
  <c r="R35" i="73"/>
  <c r="R34" i="73"/>
  <c r="R30" i="73"/>
  <c r="R26" i="73"/>
  <c r="P22" i="73"/>
  <c r="R22" i="73" s="1"/>
  <c r="R62" i="73"/>
  <c r="R61" i="73"/>
  <c r="R54" i="73"/>
  <c r="R53" i="73"/>
  <c r="R69" i="73"/>
  <c r="R68" i="73"/>
  <c r="R44" i="73"/>
  <c r="R40" i="73"/>
  <c r="R36" i="73"/>
  <c r="R17" i="73"/>
  <c r="R81" i="73"/>
  <c r="R63" i="73"/>
  <c r="R56" i="73"/>
  <c r="R55" i="73"/>
  <c r="R70" i="73"/>
  <c r="R18" i="73"/>
  <c r="R57" i="73"/>
  <c r="R46" i="73"/>
  <c r="R45" i="73"/>
  <c r="R41" i="73"/>
  <c r="R37" i="73"/>
  <c r="R65" i="73"/>
  <c r="R64" i="73"/>
  <c r="R32" i="73"/>
  <c r="R28" i="73"/>
  <c r="R50" i="73"/>
  <c r="R47" i="73"/>
  <c r="R59" i="73"/>
  <c r="R48" i="73"/>
  <c r="R31" i="73"/>
  <c r="R27" i="73"/>
  <c r="R73" i="73"/>
  <c r="R33" i="73"/>
  <c r="R29" i="73"/>
  <c r="X12" i="73"/>
  <c r="Z12" i="73" s="1"/>
  <c r="R49" i="73"/>
  <c r="R74" i="73"/>
  <c r="R19" i="73"/>
  <c r="R38" i="73"/>
  <c r="R42" i="73"/>
  <c r="R58" i="73"/>
  <c r="R71" i="73"/>
  <c r="R72" i="73"/>
  <c r="R66" i="73"/>
  <c r="L17" i="62"/>
  <c r="D103" i="62"/>
  <c r="F109" i="66"/>
  <c r="F97" i="66"/>
  <c r="F96" i="66"/>
  <c r="F89" i="66"/>
  <c r="F88" i="66"/>
  <c r="F65" i="66"/>
  <c r="F61" i="66"/>
  <c r="F104" i="66"/>
  <c r="F103" i="66"/>
  <c r="F80" i="66"/>
  <c r="F79" i="66"/>
  <c r="F52" i="66"/>
  <c r="F48" i="66"/>
  <c r="F44" i="66"/>
  <c r="F40" i="66"/>
  <c r="F111" i="66"/>
  <c r="F110" i="66"/>
  <c r="F75" i="66"/>
  <c r="F71" i="66"/>
  <c r="F98" i="66"/>
  <c r="F90" i="66"/>
  <c r="F82" i="66"/>
  <c r="F81" i="66"/>
  <c r="F66" i="66"/>
  <c r="F62" i="66"/>
  <c r="F58" i="66"/>
  <c r="F57" i="66"/>
  <c r="F113" i="66"/>
  <c r="F112" i="66"/>
  <c r="F105" i="66"/>
  <c r="F56" i="66"/>
  <c r="F49" i="66"/>
  <c r="F45" i="66"/>
  <c r="F41" i="66"/>
  <c r="F37" i="66"/>
  <c r="F36" i="66"/>
  <c r="F92" i="66"/>
  <c r="F91" i="66"/>
  <c r="F76" i="66"/>
  <c r="F72" i="66"/>
  <c r="D54" i="66"/>
  <c r="F116" i="66"/>
  <c r="F99" i="66"/>
  <c r="F83" i="66"/>
  <c r="F67" i="66"/>
  <c r="F63" i="66"/>
  <c r="F59" i="66"/>
  <c r="F117" i="66"/>
  <c r="F115" i="66"/>
  <c r="F106" i="66"/>
  <c r="F50" i="66"/>
  <c r="F46" i="66"/>
  <c r="F42" i="66"/>
  <c r="F38" i="66"/>
  <c r="F95" i="66"/>
  <c r="F94" i="66"/>
  <c r="F87" i="66"/>
  <c r="F86" i="66"/>
  <c r="F51" i="66"/>
  <c r="F47" i="66"/>
  <c r="F43" i="66"/>
  <c r="F39" i="66"/>
  <c r="F69" i="66"/>
  <c r="F101" i="66"/>
  <c r="F93" i="66"/>
  <c r="L12" i="66"/>
  <c r="N12" i="66" s="1"/>
  <c r="F85" i="66"/>
  <c r="F73" i="66"/>
  <c r="F118" i="66"/>
  <c r="F107" i="66"/>
  <c r="F77" i="66"/>
  <c r="F70" i="66"/>
  <c r="F108" i="66"/>
  <c r="F64" i="66"/>
  <c r="F60" i="66"/>
  <c r="F68" i="66"/>
  <c r="F122" i="66"/>
  <c r="F74" i="66"/>
  <c r="F100" i="66"/>
  <c r="F102" i="66"/>
  <c r="F84" i="66"/>
  <c r="F78" i="66"/>
  <c r="P75" i="59"/>
  <c r="L17" i="56"/>
  <c r="D80" i="56"/>
  <c r="T80" i="56"/>
  <c r="Z17" i="56"/>
  <c r="X17" i="56"/>
  <c r="R94" i="51"/>
  <c r="R93" i="51"/>
  <c r="R74" i="51"/>
  <c r="R73" i="51"/>
  <c r="R69" i="51"/>
  <c r="R65" i="51"/>
  <c r="R101" i="51"/>
  <c r="R100" i="51"/>
  <c r="R85" i="51"/>
  <c r="R84" i="51"/>
  <c r="R60" i="51"/>
  <c r="R56" i="51"/>
  <c r="R95" i="51"/>
  <c r="R76" i="51"/>
  <c r="R75" i="51"/>
  <c r="R52" i="51"/>
  <c r="R47" i="51"/>
  <c r="R43" i="51"/>
  <c r="R39" i="51"/>
  <c r="R35" i="51"/>
  <c r="R102" i="51"/>
  <c r="R87" i="51"/>
  <c r="R86" i="51"/>
  <c r="R70" i="51"/>
  <c r="R66" i="51"/>
  <c r="R51" i="51"/>
  <c r="R105" i="51"/>
  <c r="R104" i="51"/>
  <c r="R78" i="51"/>
  <c r="R77" i="51"/>
  <c r="R61" i="51"/>
  <c r="R57" i="51"/>
  <c r="R53" i="51"/>
  <c r="P49" i="51"/>
  <c r="R106" i="51"/>
  <c r="R96" i="51"/>
  <c r="R89" i="51"/>
  <c r="R88" i="51"/>
  <c r="R44" i="51"/>
  <c r="R40" i="51"/>
  <c r="R36" i="51"/>
  <c r="R80" i="51"/>
  <c r="R79" i="51"/>
  <c r="R71" i="51"/>
  <c r="R67" i="51"/>
  <c r="R90" i="51"/>
  <c r="R63" i="51"/>
  <c r="R62" i="51"/>
  <c r="R58" i="51"/>
  <c r="R54" i="51"/>
  <c r="X12" i="51"/>
  <c r="Z12" i="51" s="1"/>
  <c r="R92" i="51"/>
  <c r="R91" i="51"/>
  <c r="R83" i="51"/>
  <c r="R59" i="51"/>
  <c r="R55" i="51"/>
  <c r="R37" i="51"/>
  <c r="R33" i="51"/>
  <c r="R82" i="51"/>
  <c r="R46" i="51"/>
  <c r="R42" i="51"/>
  <c r="R110" i="51"/>
  <c r="R98" i="51"/>
  <c r="R64" i="51"/>
  <c r="R38" i="51"/>
  <c r="R68" i="51"/>
  <c r="R34" i="51"/>
  <c r="R97" i="51"/>
  <c r="R45" i="51"/>
  <c r="R72" i="51"/>
  <c r="R81" i="51"/>
  <c r="R41" i="51"/>
  <c r="R99" i="51"/>
  <c r="T128" i="39"/>
  <c r="V32" i="39"/>
  <c r="R86" i="33"/>
  <c r="R76" i="33"/>
  <c r="R69" i="33"/>
  <c r="R68" i="33"/>
  <c r="R79" i="33"/>
  <c r="R75" i="33"/>
  <c r="R65" i="33"/>
  <c r="R64" i="33"/>
  <c r="R40" i="33"/>
  <c r="R36" i="33"/>
  <c r="R56" i="33"/>
  <c r="R55" i="33"/>
  <c r="R27" i="33"/>
  <c r="R71" i="33"/>
  <c r="R70" i="33"/>
  <c r="R50" i="33"/>
  <c r="R46" i="33"/>
  <c r="R80" i="33"/>
  <c r="R66" i="33"/>
  <c r="R58" i="33"/>
  <c r="R57" i="33"/>
  <c r="R41" i="33"/>
  <c r="R37" i="33"/>
  <c r="R81" i="33"/>
  <c r="R33" i="33"/>
  <c r="R28" i="33"/>
  <c r="R73" i="33"/>
  <c r="R72" i="33"/>
  <c r="R60" i="33"/>
  <c r="R59" i="33"/>
  <c r="R51" i="33"/>
  <c r="R47" i="33"/>
  <c r="R32" i="33"/>
  <c r="R30" i="33"/>
  <c r="R82" i="33"/>
  <c r="R43" i="33"/>
  <c r="R42" i="33"/>
  <c r="R38" i="33"/>
  <c r="R34" i="33"/>
  <c r="P30" i="33"/>
  <c r="R84" i="33"/>
  <c r="R74" i="33"/>
  <c r="R52" i="33"/>
  <c r="R48" i="33"/>
  <c r="R44" i="33"/>
  <c r="X12" i="33"/>
  <c r="Z12" i="33" s="1"/>
  <c r="R85" i="33"/>
  <c r="R63" i="33"/>
  <c r="R39" i="33"/>
  <c r="R35" i="33"/>
  <c r="R54" i="33"/>
  <c r="R77" i="33"/>
  <c r="R26" i="33"/>
  <c r="R67" i="33"/>
  <c r="R61" i="33"/>
  <c r="R90" i="33"/>
  <c r="R62" i="33"/>
  <c r="R78" i="33"/>
  <c r="R53" i="33"/>
  <c r="R49" i="33"/>
  <c r="R45" i="33"/>
  <c r="R100" i="21"/>
  <c r="R99" i="21"/>
  <c r="R83" i="21"/>
  <c r="R68" i="21"/>
  <c r="R67" i="21"/>
  <c r="R40" i="21"/>
  <c r="R39" i="21"/>
  <c r="R35" i="21"/>
  <c r="R31" i="21"/>
  <c r="P27" i="21"/>
  <c r="R94" i="21"/>
  <c r="R90" i="21"/>
  <c r="R102" i="21"/>
  <c r="R101" i="21"/>
  <c r="R77" i="21"/>
  <c r="R70" i="21"/>
  <c r="R69" i="21"/>
  <c r="R49" i="21"/>
  <c r="R45" i="21"/>
  <c r="R41" i="21"/>
  <c r="R22" i="21"/>
  <c r="R84" i="21"/>
  <c r="R36" i="21"/>
  <c r="R32" i="21"/>
  <c r="R79" i="21"/>
  <c r="R78" i="21"/>
  <c r="R51" i="21"/>
  <c r="R50" i="21"/>
  <c r="R46" i="21"/>
  <c r="R42" i="21"/>
  <c r="R105" i="21"/>
  <c r="R85" i="21"/>
  <c r="R74" i="21"/>
  <c r="R73" i="21"/>
  <c r="R62" i="21"/>
  <c r="R61" i="21"/>
  <c r="R37" i="21"/>
  <c r="R33" i="21"/>
  <c r="R107" i="21"/>
  <c r="R97" i="21"/>
  <c r="R96" i="21"/>
  <c r="R92" i="21"/>
  <c r="R80" i="21"/>
  <c r="R75" i="21"/>
  <c r="R64" i="21"/>
  <c r="R63" i="21"/>
  <c r="R47" i="21"/>
  <c r="R43" i="21"/>
  <c r="R89" i="21"/>
  <c r="R88" i="21"/>
  <c r="R76" i="21"/>
  <c r="R57" i="21"/>
  <c r="R56" i="21"/>
  <c r="R48" i="21"/>
  <c r="R44" i="21"/>
  <c r="R29" i="21"/>
  <c r="R27" i="21"/>
  <c r="R103" i="21"/>
  <c r="R66" i="21"/>
  <c r="R53" i="21"/>
  <c r="R34" i="21"/>
  <c r="X12" i="21"/>
  <c r="Z12" i="21" s="1"/>
  <c r="R86" i="21"/>
  <c r="R30" i="21"/>
  <c r="R25" i="21"/>
  <c r="R58" i="21"/>
  <c r="R71" i="21"/>
  <c r="R104" i="21"/>
  <c r="R54" i="21"/>
  <c r="R23" i="21"/>
  <c r="R95" i="21"/>
  <c r="R87" i="21"/>
  <c r="R72" i="21"/>
  <c r="R111" i="21"/>
  <c r="R93" i="21"/>
  <c r="R91" i="21"/>
  <c r="R59" i="21"/>
  <c r="R81" i="21"/>
  <c r="R98" i="21"/>
  <c r="R55" i="21"/>
  <c r="R24" i="21"/>
  <c r="R82" i="21"/>
  <c r="R52" i="21"/>
  <c r="R65" i="21"/>
  <c r="R38" i="21"/>
  <c r="R60" i="21"/>
  <c r="T109" i="21"/>
  <c r="V27" i="21"/>
  <c r="F224" i="12"/>
  <c r="F216" i="12"/>
  <c r="F212" i="12"/>
  <c r="F208" i="12"/>
  <c r="F207" i="12"/>
  <c r="F196" i="12"/>
  <c r="F191" i="12"/>
  <c r="F183" i="12"/>
  <c r="F225" i="12"/>
  <c r="F213" i="12"/>
  <c r="F209" i="12"/>
  <c r="F197" i="12"/>
  <c r="F185" i="12"/>
  <c r="F184" i="12"/>
  <c r="F169" i="12"/>
  <c r="F168" i="12"/>
  <c r="F227" i="12"/>
  <c r="F226" i="12"/>
  <c r="F219" i="12"/>
  <c r="F203" i="12"/>
  <c r="F199" i="12"/>
  <c r="F198" i="12"/>
  <c r="F187" i="12"/>
  <c r="F186" i="12"/>
  <c r="F171" i="12"/>
  <c r="F170" i="12"/>
  <c r="F230" i="12"/>
  <c r="F221" i="12"/>
  <c r="F220" i="12"/>
  <c r="F205" i="12"/>
  <c r="F204" i="12"/>
  <c r="F189" i="12"/>
  <c r="F188" i="12"/>
  <c r="F210" i="12"/>
  <c r="F192" i="12"/>
  <c r="F166" i="12"/>
  <c r="F159" i="12"/>
  <c r="F151" i="12"/>
  <c r="F150" i="12"/>
  <c r="F123" i="12"/>
  <c r="F119" i="12"/>
  <c r="F115" i="12"/>
  <c r="F111" i="12"/>
  <c r="F107" i="12"/>
  <c r="F103" i="12"/>
  <c r="F99" i="12"/>
  <c r="F95" i="12"/>
  <c r="F91" i="12"/>
  <c r="F87" i="12"/>
  <c r="F83" i="12"/>
  <c r="F82" i="12"/>
  <c r="F232" i="12"/>
  <c r="F229" i="12"/>
  <c r="F223" i="12"/>
  <c r="F218" i="12"/>
  <c r="F200" i="12"/>
  <c r="F195" i="12"/>
  <c r="F181" i="12"/>
  <c r="F178" i="12"/>
  <c r="F167" i="12"/>
  <c r="F146" i="12"/>
  <c r="F142" i="12"/>
  <c r="F215" i="12"/>
  <c r="F190" i="12"/>
  <c r="F182" i="12"/>
  <c r="F161" i="12"/>
  <c r="F160" i="12"/>
  <c r="F153" i="12"/>
  <c r="F152" i="12"/>
  <c r="F137" i="12"/>
  <c r="F133" i="12"/>
  <c r="F129" i="12"/>
  <c r="F128" i="12"/>
  <c r="F147" i="12"/>
  <c r="F143" i="12"/>
  <c r="D125" i="12"/>
  <c r="F125" i="12" s="1"/>
  <c r="F238" i="12"/>
  <c r="F233" i="12"/>
  <c r="F193" i="12"/>
  <c r="F172" i="12"/>
  <c r="F162" i="12"/>
  <c r="F154" i="12"/>
  <c r="F138" i="12"/>
  <c r="F134" i="12"/>
  <c r="F130" i="12"/>
  <c r="F211" i="12"/>
  <c r="F206" i="12"/>
  <c r="F201" i="12"/>
  <c r="F179" i="12"/>
  <c r="F121" i="12"/>
  <c r="F117" i="12"/>
  <c r="F113" i="12"/>
  <c r="F109" i="12"/>
  <c r="F105" i="12"/>
  <c r="F101" i="12"/>
  <c r="F97" i="12"/>
  <c r="F93" i="12"/>
  <c r="F89" i="12"/>
  <c r="F85" i="12"/>
  <c r="F231" i="12"/>
  <c r="F194" i="12"/>
  <c r="F176" i="12"/>
  <c r="F164" i="12"/>
  <c r="F163" i="12"/>
  <c r="F156" i="12"/>
  <c r="F155" i="12"/>
  <c r="F148" i="12"/>
  <c r="F144" i="12"/>
  <c r="F140" i="12"/>
  <c r="F139" i="12"/>
  <c r="F234" i="12"/>
  <c r="F222" i="12"/>
  <c r="F214" i="12"/>
  <c r="F180" i="12"/>
  <c r="F135" i="12"/>
  <c r="F131" i="12"/>
  <c r="F173" i="12"/>
  <c r="F202" i="12"/>
  <c r="F174" i="12"/>
  <c r="F165" i="12"/>
  <c r="F149" i="12"/>
  <c r="F145" i="12"/>
  <c r="F141" i="12"/>
  <c r="F112" i="12"/>
  <c r="F88" i="12"/>
  <c r="F158" i="12"/>
  <c r="F132" i="12"/>
  <c r="F110" i="12"/>
  <c r="F86" i="12"/>
  <c r="F217" i="12"/>
  <c r="F108" i="12"/>
  <c r="F84" i="12"/>
  <c r="F177" i="12"/>
  <c r="F175" i="12"/>
  <c r="F127" i="12"/>
  <c r="F106" i="12"/>
  <c r="F104" i="12"/>
  <c r="F136" i="12"/>
  <c r="F102" i="12"/>
  <c r="F100" i="12"/>
  <c r="L12" i="12"/>
  <c r="N12" i="12" s="1"/>
  <c r="F118" i="12"/>
  <c r="F122" i="12"/>
  <c r="F98" i="12"/>
  <c r="F157" i="12"/>
  <c r="F94" i="12"/>
  <c r="F120" i="12"/>
  <c r="F96" i="12"/>
  <c r="F116" i="12"/>
  <c r="F92" i="12"/>
  <c r="F114" i="12"/>
  <c r="F90" i="12"/>
  <c r="T258" i="18"/>
  <c r="L16" i="6"/>
  <c r="D22" i="6"/>
  <c r="D27" i="53"/>
  <c r="L18" i="53"/>
  <c r="T27" i="52"/>
  <c r="Z18" i="52"/>
  <c r="H27" i="47"/>
  <c r="N18" i="47"/>
  <c r="H27" i="46"/>
  <c r="N18" i="46"/>
  <c r="T27" i="49"/>
  <c r="Z18" i="49"/>
  <c r="L18" i="40"/>
  <c r="D27" i="40"/>
  <c r="L18" i="34"/>
  <c r="D27" i="34"/>
  <c r="H27" i="40"/>
  <c r="N18" i="40"/>
  <c r="H27" i="32"/>
  <c r="N18" i="32"/>
  <c r="L18" i="32"/>
  <c r="D27" i="32"/>
  <c r="L18" i="23"/>
  <c r="D27" i="23"/>
  <c r="T27" i="25"/>
  <c r="Z18" i="25"/>
  <c r="L18" i="20"/>
  <c r="D27" i="20"/>
  <c r="L18" i="22"/>
  <c r="D27" i="22"/>
  <c r="Z18" i="14"/>
  <c r="T27" i="14"/>
  <c r="D27" i="10"/>
  <c r="L18" i="10"/>
  <c r="X18" i="8"/>
  <c r="P27" i="8"/>
  <c r="L18" i="8"/>
  <c r="D27" i="8"/>
  <c r="F97" i="51"/>
  <c r="F81" i="51"/>
  <c r="F80" i="51"/>
  <c r="F45" i="51"/>
  <c r="F41" i="51"/>
  <c r="F37" i="51"/>
  <c r="F110" i="51"/>
  <c r="F72" i="51"/>
  <c r="F68" i="51"/>
  <c r="F64" i="51"/>
  <c r="F63" i="51"/>
  <c r="F91" i="51"/>
  <c r="F83" i="51"/>
  <c r="F82" i="51"/>
  <c r="F59" i="51"/>
  <c r="F55" i="51"/>
  <c r="F98" i="51"/>
  <c r="F46" i="51"/>
  <c r="F42" i="51"/>
  <c r="F38" i="51"/>
  <c r="F34" i="51"/>
  <c r="F33" i="51"/>
  <c r="F93" i="51"/>
  <c r="F92" i="51"/>
  <c r="F73" i="51"/>
  <c r="F69" i="51"/>
  <c r="F65" i="51"/>
  <c r="F100" i="51"/>
  <c r="F99" i="51"/>
  <c r="F84" i="51"/>
  <c r="F60" i="51"/>
  <c r="F56" i="51"/>
  <c r="F95" i="51"/>
  <c r="F94" i="51"/>
  <c r="F75" i="51"/>
  <c r="F74" i="51"/>
  <c r="F47" i="51"/>
  <c r="F43" i="51"/>
  <c r="F39" i="51"/>
  <c r="F35" i="51"/>
  <c r="F102" i="51"/>
  <c r="F101" i="51"/>
  <c r="F86" i="51"/>
  <c r="F85" i="51"/>
  <c r="F70" i="51"/>
  <c r="F66" i="51"/>
  <c r="F106" i="51"/>
  <c r="F104" i="51"/>
  <c r="F79" i="51"/>
  <c r="F78" i="51"/>
  <c r="F71" i="51"/>
  <c r="F67" i="51"/>
  <c r="D49" i="51"/>
  <c r="F61" i="51"/>
  <c r="F77" i="51"/>
  <c r="F89" i="51"/>
  <c r="F53" i="51"/>
  <c r="F87" i="51"/>
  <c r="F58" i="51"/>
  <c r="F51" i="51"/>
  <c r="L12" i="51"/>
  <c r="N12" i="51" s="1"/>
  <c r="F105" i="51"/>
  <c r="F88" i="51"/>
  <c r="F54" i="51"/>
  <c r="F36" i="51"/>
  <c r="F90" i="51"/>
  <c r="F52" i="51"/>
  <c r="F96" i="51"/>
  <c r="F76" i="51"/>
  <c r="F57" i="51"/>
  <c r="F62" i="51"/>
  <c r="F49" i="51"/>
  <c r="F44" i="51"/>
  <c r="F40" i="51"/>
  <c r="L18" i="99"/>
  <c r="D27" i="99"/>
  <c r="P27" i="50"/>
  <c r="X18" i="50"/>
  <c r="P27" i="34"/>
  <c r="X18" i="34"/>
  <c r="P27" i="31"/>
  <c r="X18" i="31"/>
  <c r="T27" i="7"/>
  <c r="Z18" i="7"/>
  <c r="X16" i="88"/>
  <c r="P56" i="88"/>
  <c r="P86" i="95"/>
  <c r="X19" i="95"/>
  <c r="Z19" i="95" s="1"/>
  <c r="P28" i="87"/>
  <c r="X18" i="87"/>
  <c r="F78" i="86"/>
  <c r="F77" i="86"/>
  <c r="F62" i="86"/>
  <c r="F46" i="86"/>
  <c r="F45" i="86"/>
  <c r="F30" i="86"/>
  <c r="F26" i="86"/>
  <c r="F93" i="86"/>
  <c r="F90" i="86"/>
  <c r="F73" i="86"/>
  <c r="F69" i="86"/>
  <c r="F57" i="86"/>
  <c r="F56" i="86"/>
  <c r="F17" i="86"/>
  <c r="F16" i="86"/>
  <c r="F64" i="86"/>
  <c r="F63" i="86"/>
  <c r="F48" i="86"/>
  <c r="F47" i="86"/>
  <c r="F40" i="86"/>
  <c r="F36" i="86"/>
  <c r="F79" i="86"/>
  <c r="F31" i="86"/>
  <c r="F27" i="86"/>
  <c r="F74" i="86"/>
  <c r="F70" i="86"/>
  <c r="F58" i="86"/>
  <c r="F18" i="86"/>
  <c r="F81" i="86"/>
  <c r="F80" i="86"/>
  <c r="F65" i="86"/>
  <c r="F49" i="86"/>
  <c r="F41" i="86"/>
  <c r="F37" i="86"/>
  <c r="F33" i="86"/>
  <c r="F32" i="86"/>
  <c r="F84" i="86"/>
  <c r="F75" i="86"/>
  <c r="F71" i="86"/>
  <c r="F67" i="86"/>
  <c r="F66" i="86"/>
  <c r="F59" i="86"/>
  <c r="F51" i="86"/>
  <c r="F50" i="86"/>
  <c r="F22" i="86"/>
  <c r="F20" i="86"/>
  <c r="F83" i="86"/>
  <c r="F42" i="86"/>
  <c r="F38" i="86"/>
  <c r="F34" i="86"/>
  <c r="F88" i="86"/>
  <c r="F76" i="86"/>
  <c r="F72" i="86"/>
  <c r="F68" i="86"/>
  <c r="F44" i="86"/>
  <c r="F43" i="86"/>
  <c r="L12" i="86"/>
  <c r="F53" i="86"/>
  <c r="F28" i="86"/>
  <c r="F24" i="86"/>
  <c r="F60" i="86"/>
  <c r="F86" i="86"/>
  <c r="F54" i="86"/>
  <c r="F35" i="86"/>
  <c r="F61" i="86"/>
  <c r="F39" i="86"/>
  <c r="F29" i="86"/>
  <c r="F25" i="86"/>
  <c r="F52" i="86"/>
  <c r="F23" i="86"/>
  <c r="D20" i="86"/>
  <c r="F55" i="86"/>
  <c r="T85" i="70"/>
  <c r="H70" i="74"/>
  <c r="N19" i="74"/>
  <c r="R113" i="66"/>
  <c r="R105" i="66"/>
  <c r="R49" i="66"/>
  <c r="R45" i="66"/>
  <c r="R41" i="66"/>
  <c r="R37" i="66"/>
  <c r="R116" i="66"/>
  <c r="R115" i="66"/>
  <c r="R92" i="66"/>
  <c r="R76" i="66"/>
  <c r="R72" i="66"/>
  <c r="R117" i="66"/>
  <c r="R100" i="66"/>
  <c r="R99" i="66"/>
  <c r="R84" i="66"/>
  <c r="R83" i="66"/>
  <c r="R68" i="66"/>
  <c r="R67" i="66"/>
  <c r="R63" i="66"/>
  <c r="R59" i="66"/>
  <c r="R118" i="66"/>
  <c r="R107" i="66"/>
  <c r="R106" i="66"/>
  <c r="R50" i="66"/>
  <c r="R46" i="66"/>
  <c r="R42" i="66"/>
  <c r="R38" i="66"/>
  <c r="R101" i="66"/>
  <c r="R94" i="66"/>
  <c r="R93" i="66"/>
  <c r="R86" i="66"/>
  <c r="R85" i="66"/>
  <c r="R77" i="66"/>
  <c r="R73" i="66"/>
  <c r="R69" i="66"/>
  <c r="R108" i="66"/>
  <c r="R64" i="66"/>
  <c r="R60" i="66"/>
  <c r="R96" i="66"/>
  <c r="R95" i="66"/>
  <c r="R88" i="66"/>
  <c r="R87" i="66"/>
  <c r="R51" i="66"/>
  <c r="R47" i="66"/>
  <c r="R43" i="66"/>
  <c r="R39" i="66"/>
  <c r="R122" i="66"/>
  <c r="R103" i="66"/>
  <c r="R102" i="66"/>
  <c r="R79" i="66"/>
  <c r="R78" i="66"/>
  <c r="R74" i="66"/>
  <c r="R70" i="66"/>
  <c r="R112" i="66"/>
  <c r="R111" i="66"/>
  <c r="R75" i="66"/>
  <c r="R71" i="66"/>
  <c r="R56" i="66"/>
  <c r="R36" i="66"/>
  <c r="R61" i="66"/>
  <c r="R57" i="66"/>
  <c r="P54" i="66"/>
  <c r="R54" i="66" s="1"/>
  <c r="R110" i="66"/>
  <c r="R98" i="66"/>
  <c r="R90" i="66"/>
  <c r="R104" i="66"/>
  <c r="R66" i="66"/>
  <c r="R52" i="66"/>
  <c r="R44" i="66"/>
  <c r="R81" i="66"/>
  <c r="R109" i="66"/>
  <c r="R91" i="66"/>
  <c r="R89" i="66"/>
  <c r="R48" i="66"/>
  <c r="R65" i="66"/>
  <c r="X12" i="66"/>
  <c r="Z12" i="66" s="1"/>
  <c r="R40" i="66"/>
  <c r="R97" i="66"/>
  <c r="R82" i="66"/>
  <c r="R80" i="66"/>
  <c r="R58" i="66"/>
  <c r="R62" i="66"/>
  <c r="T96" i="64"/>
  <c r="L16" i="55"/>
  <c r="D33" i="55"/>
  <c r="D78" i="57"/>
  <c r="L74" i="57"/>
  <c r="Z59" i="60"/>
  <c r="T63" i="60"/>
  <c r="X63" i="60" s="1"/>
  <c r="T108" i="51"/>
  <c r="H106" i="45"/>
  <c r="J102" i="45"/>
  <c r="F130" i="39"/>
  <c r="F96" i="39"/>
  <c r="F95" i="39"/>
  <c r="F84" i="39"/>
  <c r="F76" i="39"/>
  <c r="F75" i="39"/>
  <c r="F52" i="39"/>
  <c r="F48" i="39"/>
  <c r="F118" i="39"/>
  <c r="F106" i="39"/>
  <c r="F102" i="39"/>
  <c r="F78" i="39"/>
  <c r="F77" i="39"/>
  <c r="F120" i="39"/>
  <c r="F119" i="39"/>
  <c r="F112" i="39"/>
  <c r="F92" i="39"/>
  <c r="F80" i="39"/>
  <c r="F79" i="39"/>
  <c r="F44" i="39"/>
  <c r="F40" i="39"/>
  <c r="F36" i="39"/>
  <c r="F35" i="39"/>
  <c r="F107" i="39"/>
  <c r="F103" i="39"/>
  <c r="F99" i="39"/>
  <c r="F98" i="39"/>
  <c r="F87" i="39"/>
  <c r="F86" i="39"/>
  <c r="F71" i="39"/>
  <c r="F70" i="39"/>
  <c r="F63" i="39"/>
  <c r="F62" i="39"/>
  <c r="F34" i="39"/>
  <c r="F123" i="39"/>
  <c r="F114" i="39"/>
  <c r="F113" i="39"/>
  <c r="F82" i="39"/>
  <c r="F81" i="39"/>
  <c r="F54" i="39"/>
  <c r="F50" i="39"/>
  <c r="F46" i="39"/>
  <c r="F45" i="39"/>
  <c r="F124" i="39"/>
  <c r="F122" i="39"/>
  <c r="F93" i="39"/>
  <c r="F41" i="39"/>
  <c r="F37" i="39"/>
  <c r="F125" i="39"/>
  <c r="F116" i="39"/>
  <c r="F115" i="39"/>
  <c r="F108" i="39"/>
  <c r="F104" i="39"/>
  <c r="F100" i="39"/>
  <c r="F88" i="39"/>
  <c r="F72" i="39"/>
  <c r="F64" i="39"/>
  <c r="F94" i="39"/>
  <c r="F90" i="39"/>
  <c r="F89" i="39"/>
  <c r="F74" i="39"/>
  <c r="F73" i="39"/>
  <c r="F42" i="39"/>
  <c r="F38" i="39"/>
  <c r="L12" i="39"/>
  <c r="N12" i="39" s="1"/>
  <c r="F97" i="39"/>
  <c r="F91" i="39"/>
  <c r="F83" i="39"/>
  <c r="F65" i="39"/>
  <c r="F53" i="39"/>
  <c r="F43" i="39"/>
  <c r="F30" i="39"/>
  <c r="F55" i="39"/>
  <c r="F28" i="39"/>
  <c r="F109" i="39"/>
  <c r="F105" i="39"/>
  <c r="F85" i="39"/>
  <c r="F58" i="39"/>
  <c r="F39" i="39"/>
  <c r="F68" i="39"/>
  <c r="F61" i="39"/>
  <c r="F126" i="39"/>
  <c r="D32" i="39"/>
  <c r="F66" i="39"/>
  <c r="F59" i="39"/>
  <c r="F56" i="39"/>
  <c r="F117" i="39"/>
  <c r="F110" i="39"/>
  <c r="F69" i="39"/>
  <c r="F29" i="39"/>
  <c r="F101" i="39"/>
  <c r="F67" i="39"/>
  <c r="F49" i="39"/>
  <c r="F60" i="39"/>
  <c r="F47" i="39"/>
  <c r="F51" i="39"/>
  <c r="F57" i="39"/>
  <c r="F27" i="39"/>
  <c r="F111" i="39"/>
  <c r="H135" i="36"/>
  <c r="J132" i="36"/>
  <c r="R111" i="27"/>
  <c r="R110" i="27"/>
  <c r="R98" i="27"/>
  <c r="R90" i="27"/>
  <c r="R66" i="27"/>
  <c r="R62" i="27"/>
  <c r="R105" i="27"/>
  <c r="R99" i="27"/>
  <c r="R92" i="27"/>
  <c r="R91" i="27"/>
  <c r="R83" i="27"/>
  <c r="R67" i="27"/>
  <c r="R63" i="27"/>
  <c r="R59" i="27"/>
  <c r="R117" i="27"/>
  <c r="R116" i="27"/>
  <c r="R93" i="27"/>
  <c r="R77" i="27"/>
  <c r="R73" i="27"/>
  <c r="R118" i="27"/>
  <c r="R101" i="27"/>
  <c r="R100" i="27"/>
  <c r="R85" i="27"/>
  <c r="R84" i="27"/>
  <c r="R69" i="27"/>
  <c r="R68" i="27"/>
  <c r="R64" i="27"/>
  <c r="R60" i="27"/>
  <c r="R119" i="27"/>
  <c r="R108" i="27"/>
  <c r="R107" i="27"/>
  <c r="R102" i="27"/>
  <c r="R95" i="27"/>
  <c r="R94" i="27"/>
  <c r="R87" i="27"/>
  <c r="R86" i="27"/>
  <c r="R78" i="27"/>
  <c r="R74" i="27"/>
  <c r="R70" i="27"/>
  <c r="R109" i="27"/>
  <c r="R65" i="27"/>
  <c r="R61" i="27"/>
  <c r="R97" i="27"/>
  <c r="R96" i="27"/>
  <c r="R89" i="27"/>
  <c r="R88" i="27"/>
  <c r="R52" i="27"/>
  <c r="R48" i="27"/>
  <c r="R44" i="27"/>
  <c r="R40" i="27"/>
  <c r="R55" i="27"/>
  <c r="P55" i="27"/>
  <c r="R37" i="27"/>
  <c r="R79" i="27"/>
  <c r="R104" i="27"/>
  <c r="R75" i="27"/>
  <c r="R71" i="27"/>
  <c r="R49" i="27"/>
  <c r="R46" i="27"/>
  <c r="R43" i="27"/>
  <c r="X12" i="27"/>
  <c r="Z12" i="27" s="1"/>
  <c r="R82" i="27"/>
  <c r="R114" i="27"/>
  <c r="R80" i="27"/>
  <c r="R57" i="27"/>
  <c r="R106" i="27"/>
  <c r="R53" i="27"/>
  <c r="R50" i="27"/>
  <c r="R47" i="27"/>
  <c r="R41" i="27"/>
  <c r="R38" i="27"/>
  <c r="R112" i="27"/>
  <c r="R58" i="27"/>
  <c r="R123" i="27"/>
  <c r="R103" i="27"/>
  <c r="R76" i="27"/>
  <c r="R72" i="27"/>
  <c r="R113" i="27"/>
  <c r="R81" i="27"/>
  <c r="R51" i="27"/>
  <c r="R45" i="27"/>
  <c r="R42" i="27"/>
  <c r="R39" i="27"/>
  <c r="T173" i="30"/>
  <c r="X155" i="3"/>
  <c r="P274" i="3"/>
  <c r="X18" i="100"/>
  <c r="P27" i="100"/>
  <c r="H27" i="52"/>
  <c r="N18" i="52"/>
  <c r="H27" i="50"/>
  <c r="N18" i="50"/>
  <c r="D27" i="52"/>
  <c r="L18" i="52"/>
  <c r="Z18" i="53"/>
  <c r="T27" i="53"/>
  <c r="N18" i="53"/>
  <c r="H27" i="53"/>
  <c r="P27" i="44"/>
  <c r="X18" i="44"/>
  <c r="L18" i="41"/>
  <c r="D27" i="41"/>
  <c r="T27" i="41"/>
  <c r="Z18" i="41"/>
  <c r="P27" i="37"/>
  <c r="X18" i="37"/>
  <c r="T27" i="28"/>
  <c r="Z18" i="28"/>
  <c r="P27" i="25"/>
  <c r="X18" i="25"/>
  <c r="X18" i="20"/>
  <c r="P27" i="20"/>
  <c r="H27" i="16"/>
  <c r="N18" i="16"/>
  <c r="X18" i="11"/>
  <c r="P27" i="11"/>
  <c r="T27" i="10"/>
  <c r="Z18" i="10"/>
  <c r="H27" i="4"/>
  <c r="N18" i="4"/>
  <c r="T27" i="5"/>
  <c r="Z18" i="5"/>
  <c r="H79" i="84"/>
  <c r="N21" i="84"/>
  <c r="P96" i="24"/>
  <c r="X38" i="24"/>
  <c r="Z38" i="24" s="1"/>
  <c r="L18" i="19"/>
  <c r="D27" i="19"/>
  <c r="T28" i="96"/>
  <c r="Z24" i="96"/>
  <c r="H75" i="97"/>
  <c r="N17" i="97"/>
  <c r="L16" i="89"/>
  <c r="D30" i="89"/>
  <c r="Z18" i="87"/>
  <c r="T28" i="87"/>
  <c r="H90" i="86"/>
  <c r="H91" i="79"/>
  <c r="N20" i="79"/>
  <c r="F21" i="78"/>
  <c r="T95" i="79"/>
  <c r="J155" i="69"/>
  <c r="R157" i="69"/>
  <c r="R127" i="69"/>
  <c r="R92" i="69"/>
  <c r="R91" i="69"/>
  <c r="R87" i="69"/>
  <c r="R83" i="69"/>
  <c r="P79" i="69"/>
  <c r="R146" i="69"/>
  <c r="R138" i="69"/>
  <c r="R134" i="69"/>
  <c r="R119" i="69"/>
  <c r="R118" i="69"/>
  <c r="R110" i="69"/>
  <c r="R74" i="69"/>
  <c r="R70" i="69"/>
  <c r="R66" i="69"/>
  <c r="R62" i="69"/>
  <c r="R58" i="69"/>
  <c r="R54" i="69"/>
  <c r="R101" i="69"/>
  <c r="R97" i="69"/>
  <c r="R93" i="69"/>
  <c r="R128" i="69"/>
  <c r="R120" i="69"/>
  <c r="R88" i="69"/>
  <c r="R84" i="69"/>
  <c r="R147" i="69"/>
  <c r="R139" i="69"/>
  <c r="R135" i="69"/>
  <c r="R112" i="69"/>
  <c r="R111" i="69"/>
  <c r="R150" i="69"/>
  <c r="R149" i="69"/>
  <c r="R103" i="69"/>
  <c r="R102" i="69"/>
  <c r="R98" i="69"/>
  <c r="R94" i="69"/>
  <c r="R151" i="69"/>
  <c r="R130" i="69"/>
  <c r="R129" i="69"/>
  <c r="R122" i="69"/>
  <c r="R121" i="69"/>
  <c r="R114" i="69"/>
  <c r="R113" i="69"/>
  <c r="R89" i="69"/>
  <c r="R85" i="69"/>
  <c r="R152" i="69"/>
  <c r="R141" i="69"/>
  <c r="R140" i="69"/>
  <c r="R136" i="69"/>
  <c r="R105" i="69"/>
  <c r="R104" i="69"/>
  <c r="R76" i="69"/>
  <c r="R72" i="69"/>
  <c r="R68" i="69"/>
  <c r="R64" i="69"/>
  <c r="R60" i="69"/>
  <c r="R56" i="69"/>
  <c r="R137" i="69"/>
  <c r="R126" i="69"/>
  <c r="R125" i="69"/>
  <c r="R82" i="69"/>
  <c r="R77" i="69"/>
  <c r="R73" i="69"/>
  <c r="R69" i="69"/>
  <c r="R65" i="69"/>
  <c r="R61" i="69"/>
  <c r="R57" i="69"/>
  <c r="R124" i="69"/>
  <c r="R99" i="69"/>
  <c r="R145" i="69"/>
  <c r="R143" i="69"/>
  <c r="R95" i="69"/>
  <c r="R63" i="69"/>
  <c r="R108" i="69"/>
  <c r="R79" i="69"/>
  <c r="R132" i="69"/>
  <c r="R116" i="69"/>
  <c r="R106" i="69"/>
  <c r="R59" i="69"/>
  <c r="R153" i="69"/>
  <c r="R100" i="69"/>
  <c r="R86" i="69"/>
  <c r="R75" i="69"/>
  <c r="R131" i="69"/>
  <c r="R115" i="69"/>
  <c r="R90" i="69"/>
  <c r="R53" i="69"/>
  <c r="R109" i="69"/>
  <c r="R67" i="69"/>
  <c r="R71" i="69"/>
  <c r="R96" i="69"/>
  <c r="R117" i="69"/>
  <c r="R144" i="69"/>
  <c r="R142" i="69"/>
  <c r="R123" i="69"/>
  <c r="R133" i="69"/>
  <c r="R55" i="69"/>
  <c r="R81" i="69"/>
  <c r="R107" i="69"/>
  <c r="X12" i="69"/>
  <c r="Z12" i="69" s="1"/>
  <c r="X23" i="75"/>
  <c r="Z23" i="75" s="1"/>
  <c r="P49" i="75"/>
  <c r="H66" i="65"/>
  <c r="N18" i="65"/>
  <c r="D64" i="61"/>
  <c r="F99" i="64"/>
  <c r="F96" i="64"/>
  <c r="F85" i="64"/>
  <c r="F84" i="64"/>
  <c r="F61" i="64"/>
  <c r="F60" i="64"/>
  <c r="F45" i="64"/>
  <c r="F41" i="64"/>
  <c r="F63" i="64"/>
  <c r="F62" i="64"/>
  <c r="F55" i="64"/>
  <c r="F86" i="64"/>
  <c r="F74" i="64"/>
  <c r="F73" i="64"/>
  <c r="F81" i="64"/>
  <c r="F65" i="64"/>
  <c r="F64" i="64"/>
  <c r="F82" i="64"/>
  <c r="F66" i="64"/>
  <c r="F83" i="64"/>
  <c r="F59" i="64"/>
  <c r="F58" i="64"/>
  <c r="F94" i="64"/>
  <c r="F77" i="64"/>
  <c r="F90" i="64"/>
  <c r="F71" i="64"/>
  <c r="F54" i="64"/>
  <c r="F68" i="64"/>
  <c r="F80" i="64"/>
  <c r="F57" i="64"/>
  <c r="F52" i="64"/>
  <c r="F49" i="64"/>
  <c r="F42" i="64"/>
  <c r="F33" i="64"/>
  <c r="F29" i="64"/>
  <c r="F87" i="64"/>
  <c r="F92" i="64"/>
  <c r="F75" i="64"/>
  <c r="F72" i="64"/>
  <c r="F46" i="64"/>
  <c r="F39" i="64"/>
  <c r="F38" i="64"/>
  <c r="F78" i="64"/>
  <c r="F69" i="64"/>
  <c r="F37" i="64"/>
  <c r="F35" i="64"/>
  <c r="F30" i="64"/>
  <c r="F26" i="64"/>
  <c r="F25" i="64"/>
  <c r="L12" i="64"/>
  <c r="N12" i="64" s="1"/>
  <c r="F53" i="64"/>
  <c r="F48" i="64"/>
  <c r="F47" i="64"/>
  <c r="F31" i="64"/>
  <c r="F27" i="64"/>
  <c r="F43" i="64"/>
  <c r="F28" i="64"/>
  <c r="F51" i="64"/>
  <c r="F40" i="64"/>
  <c r="F88" i="64"/>
  <c r="F67" i="64"/>
  <c r="F79" i="64"/>
  <c r="F44" i="64"/>
  <c r="D35" i="64"/>
  <c r="F50" i="64"/>
  <c r="F56" i="64"/>
  <c r="F70" i="64"/>
  <c r="F76" i="64"/>
  <c r="F32" i="64"/>
  <c r="J121" i="42"/>
  <c r="N17" i="56"/>
  <c r="H80" i="56"/>
  <c r="T75" i="48"/>
  <c r="P128" i="36"/>
  <c r="X28" i="36"/>
  <c r="R28" i="36"/>
  <c r="H254" i="18"/>
  <c r="R38" i="24"/>
  <c r="T96" i="24"/>
  <c r="F75" i="21"/>
  <c r="F74" i="21"/>
  <c r="F63" i="21"/>
  <c r="F62" i="21"/>
  <c r="F47" i="21"/>
  <c r="F43" i="21"/>
  <c r="F107" i="21"/>
  <c r="F98" i="21"/>
  <c r="F97" i="21"/>
  <c r="F86" i="21"/>
  <c r="F111" i="21"/>
  <c r="F93" i="21"/>
  <c r="F81" i="21"/>
  <c r="F65" i="21"/>
  <c r="F64" i="21"/>
  <c r="F25" i="21"/>
  <c r="F88" i="21"/>
  <c r="F87" i="21"/>
  <c r="F76" i="21"/>
  <c r="F56" i="21"/>
  <c r="F55" i="21"/>
  <c r="F48" i="21"/>
  <c r="F44" i="21"/>
  <c r="F94" i="21"/>
  <c r="F90" i="21"/>
  <c r="F89" i="21"/>
  <c r="F58" i="21"/>
  <c r="F57" i="21"/>
  <c r="F101" i="21"/>
  <c r="F100" i="21"/>
  <c r="F77" i="21"/>
  <c r="F69" i="21"/>
  <c r="F68" i="21"/>
  <c r="F49" i="21"/>
  <c r="F45" i="21"/>
  <c r="F41" i="21"/>
  <c r="F40" i="21"/>
  <c r="D27" i="21"/>
  <c r="F84" i="21"/>
  <c r="F103" i="21"/>
  <c r="F102" i="21"/>
  <c r="F95" i="21"/>
  <c r="F91" i="21"/>
  <c r="F71" i="21"/>
  <c r="F70" i="21"/>
  <c r="F59" i="21"/>
  <c r="F23" i="21"/>
  <c r="F22" i="21"/>
  <c r="F96" i="21"/>
  <c r="F92" i="21"/>
  <c r="F80" i="21"/>
  <c r="F79" i="21"/>
  <c r="F52" i="21"/>
  <c r="F51" i="21"/>
  <c r="F24" i="21"/>
  <c r="L12" i="21"/>
  <c r="N12" i="21" s="1"/>
  <c r="F105" i="21"/>
  <c r="F42" i="21"/>
  <c r="F73" i="21"/>
  <c r="F82" i="21"/>
  <c r="F60" i="21"/>
  <c r="F38" i="21"/>
  <c r="F29" i="21"/>
  <c r="F50" i="21"/>
  <c r="F46" i="21"/>
  <c r="F36" i="21"/>
  <c r="F34" i="21"/>
  <c r="F32" i="21"/>
  <c r="F78" i="21"/>
  <c r="F66" i="21"/>
  <c r="F53" i="21"/>
  <c r="F30" i="21"/>
  <c r="F99" i="21"/>
  <c r="F61" i="21"/>
  <c r="F104" i="21"/>
  <c r="F83" i="21"/>
  <c r="F54" i="21"/>
  <c r="F67" i="21"/>
  <c r="F39" i="21"/>
  <c r="F85" i="21"/>
  <c r="F37" i="21"/>
  <c r="F35" i="21"/>
  <c r="F31" i="21"/>
  <c r="F27" i="21"/>
  <c r="F33" i="21"/>
  <c r="F72" i="21"/>
  <c r="R193" i="12"/>
  <c r="R192" i="12"/>
  <c r="R177" i="12"/>
  <c r="R176" i="12"/>
  <c r="R227" i="12"/>
  <c r="R220" i="12"/>
  <c r="R219" i="12"/>
  <c r="R204" i="12"/>
  <c r="R203" i="12"/>
  <c r="R199" i="12"/>
  <c r="R188" i="12"/>
  <c r="R187" i="12"/>
  <c r="R231" i="12"/>
  <c r="R222" i="12"/>
  <c r="R221" i="12"/>
  <c r="R205" i="12"/>
  <c r="R189" i="12"/>
  <c r="R233" i="12"/>
  <c r="R223" i="12"/>
  <c r="R215" i="12"/>
  <c r="R211" i="12"/>
  <c r="R195" i="12"/>
  <c r="R201" i="12"/>
  <c r="R230" i="12"/>
  <c r="R226" i="12"/>
  <c r="R198" i="12"/>
  <c r="R175" i="12"/>
  <c r="R168" i="12"/>
  <c r="R147" i="12"/>
  <c r="R143" i="12"/>
  <c r="R213" i="12"/>
  <c r="R185" i="12"/>
  <c r="R179" i="12"/>
  <c r="R163" i="12"/>
  <c r="R162" i="12"/>
  <c r="R155" i="12"/>
  <c r="R154" i="12"/>
  <c r="R139" i="12"/>
  <c r="R138" i="12"/>
  <c r="R134" i="12"/>
  <c r="R130" i="12"/>
  <c r="R238" i="12"/>
  <c r="R224" i="12"/>
  <c r="R196" i="12"/>
  <c r="R172" i="12"/>
  <c r="R121" i="12"/>
  <c r="R117" i="12"/>
  <c r="R113" i="12"/>
  <c r="R109" i="12"/>
  <c r="R105" i="12"/>
  <c r="R101" i="12"/>
  <c r="R97" i="12"/>
  <c r="R93" i="12"/>
  <c r="R89" i="12"/>
  <c r="R85" i="12"/>
  <c r="R186" i="12"/>
  <c r="R169" i="12"/>
  <c r="R135" i="12"/>
  <c r="R131" i="12"/>
  <c r="R209" i="12"/>
  <c r="R194" i="12"/>
  <c r="R191" i="12"/>
  <c r="R183" i="12"/>
  <c r="R180" i="12"/>
  <c r="R158" i="12"/>
  <c r="R122" i="12"/>
  <c r="R118" i="12"/>
  <c r="R114" i="12"/>
  <c r="R110" i="12"/>
  <c r="R106" i="12"/>
  <c r="R102" i="12"/>
  <c r="R98" i="12"/>
  <c r="R94" i="12"/>
  <c r="R90" i="12"/>
  <c r="R86" i="12"/>
  <c r="R217" i="12"/>
  <c r="R214" i="12"/>
  <c r="R207" i="12"/>
  <c r="R174" i="12"/>
  <c r="R170" i="12"/>
  <c r="R166" i="12"/>
  <c r="R165" i="12"/>
  <c r="R150" i="12"/>
  <c r="R149" i="12"/>
  <c r="R145" i="12"/>
  <c r="R141" i="12"/>
  <c r="R82" i="12"/>
  <c r="R212" i="12"/>
  <c r="R202" i="12"/>
  <c r="R181" i="12"/>
  <c r="R136" i="12"/>
  <c r="R132" i="12"/>
  <c r="R184" i="12"/>
  <c r="R160" i="12"/>
  <c r="R159" i="12"/>
  <c r="R152" i="12"/>
  <c r="R151" i="12"/>
  <c r="R128" i="12"/>
  <c r="R123" i="12"/>
  <c r="R119" i="12"/>
  <c r="R115" i="12"/>
  <c r="R111" i="12"/>
  <c r="R107" i="12"/>
  <c r="R103" i="12"/>
  <c r="R99" i="12"/>
  <c r="R95" i="12"/>
  <c r="R91" i="12"/>
  <c r="R87" i="12"/>
  <c r="R83" i="12"/>
  <c r="R232" i="12"/>
  <c r="R229" i="12"/>
  <c r="R225" i="12"/>
  <c r="R197" i="12"/>
  <c r="R171" i="12"/>
  <c r="R218" i="12"/>
  <c r="R210" i="12"/>
  <c r="R208" i="12"/>
  <c r="R200" i="12"/>
  <c r="R190" i="12"/>
  <c r="R182" i="12"/>
  <c r="R167" i="12"/>
  <c r="R161" i="12"/>
  <c r="R153" i="12"/>
  <c r="R137" i="12"/>
  <c r="R133" i="12"/>
  <c r="R129" i="12"/>
  <c r="P125" i="12"/>
  <c r="R206" i="12"/>
  <c r="R148" i="12"/>
  <c r="R104" i="12"/>
  <c r="R234" i="12"/>
  <c r="R156" i="12"/>
  <c r="R100" i="12"/>
  <c r="R120" i="12"/>
  <c r="R96" i="12"/>
  <c r="X12" i="12"/>
  <c r="Z12" i="12" s="1"/>
  <c r="R216" i="12"/>
  <c r="R157" i="12"/>
  <c r="R116" i="12"/>
  <c r="R92" i="12"/>
  <c r="R178" i="12"/>
  <c r="R142" i="12"/>
  <c r="R140" i="12"/>
  <c r="R112" i="12"/>
  <c r="R88" i="12"/>
  <c r="R144" i="12"/>
  <c r="R108" i="12"/>
  <c r="R84" i="12"/>
  <c r="R173" i="12"/>
  <c r="R164" i="12"/>
  <c r="R146" i="12"/>
  <c r="R127" i="12"/>
  <c r="X18" i="49"/>
  <c r="P27" i="49"/>
  <c r="X18" i="46"/>
  <c r="P27" i="46"/>
  <c r="D27" i="43"/>
  <c r="L18" i="43"/>
  <c r="Z18" i="40"/>
  <c r="T27" i="40"/>
  <c r="H27" i="25"/>
  <c r="N18" i="25"/>
  <c r="L18" i="29"/>
  <c r="D27" i="29"/>
  <c r="T27" i="17"/>
  <c r="Z18" i="17"/>
  <c r="X18" i="16"/>
  <c r="P27" i="16"/>
  <c r="X18" i="13"/>
  <c r="P27" i="13"/>
  <c r="P27" i="19"/>
  <c r="X18" i="19"/>
  <c r="X18" i="4"/>
  <c r="P27" i="4"/>
  <c r="H27" i="5"/>
  <c r="N18" i="5"/>
  <c r="D27" i="7"/>
  <c r="L18" i="7"/>
  <c r="N28" i="70"/>
  <c r="H85" i="70"/>
  <c r="P64" i="61"/>
  <c r="X60" i="61"/>
  <c r="Z60" i="61" s="1"/>
  <c r="T71" i="59"/>
  <c r="X71" i="59" s="1"/>
  <c r="Z16" i="59"/>
  <c r="D63" i="60"/>
  <c r="L59" i="60"/>
  <c r="N59" i="60" s="1"/>
  <c r="X17" i="57"/>
  <c r="P74" i="57"/>
  <c r="T67" i="61"/>
  <c r="H79" i="48"/>
  <c r="J75" i="48"/>
  <c r="H229" i="15"/>
  <c r="H27" i="98"/>
  <c r="N18" i="98"/>
  <c r="X18" i="53"/>
  <c r="P27" i="53"/>
  <c r="D27" i="47"/>
  <c r="L18" i="47"/>
  <c r="Z18" i="46"/>
  <c r="T27" i="46"/>
  <c r="H27" i="31"/>
  <c r="N18" i="31"/>
  <c r="X18" i="32"/>
  <c r="P27" i="32"/>
  <c r="X18" i="22"/>
  <c r="P27" i="22"/>
  <c r="H27" i="22"/>
  <c r="N18" i="22"/>
  <c r="T27" i="22"/>
  <c r="Z18" i="22"/>
  <c r="T27" i="19"/>
  <c r="Z18" i="19"/>
  <c r="T27" i="11"/>
  <c r="Z18" i="11"/>
  <c r="D79" i="97"/>
  <c r="T83" i="84"/>
  <c r="R118" i="77"/>
  <c r="R117" i="77"/>
  <c r="R110" i="77"/>
  <c r="R109" i="77"/>
  <c r="R105" i="77"/>
  <c r="R93" i="77"/>
  <c r="R65" i="77"/>
  <c r="R61" i="77"/>
  <c r="R119" i="77"/>
  <c r="R111" i="77"/>
  <c r="R100" i="77"/>
  <c r="R99" i="77"/>
  <c r="R121" i="77"/>
  <c r="R106" i="77"/>
  <c r="R94" i="77"/>
  <c r="R75" i="77"/>
  <c r="R74" i="77"/>
  <c r="R66" i="77"/>
  <c r="R62" i="77"/>
  <c r="R47" i="77"/>
  <c r="R45" i="77"/>
  <c r="R35" i="77"/>
  <c r="R125" i="77"/>
  <c r="R97" i="77"/>
  <c r="R90" i="77"/>
  <c r="R89" i="77"/>
  <c r="R92" i="77"/>
  <c r="R91" i="77"/>
  <c r="R86" i="77"/>
  <c r="R81" i="77"/>
  <c r="R53" i="77"/>
  <c r="R42" i="77"/>
  <c r="R39" i="77"/>
  <c r="R102" i="77"/>
  <c r="R70" i="77"/>
  <c r="R57" i="77"/>
  <c r="R50" i="77"/>
  <c r="R36" i="77"/>
  <c r="R103" i="77"/>
  <c r="R95" i="77"/>
  <c r="R82" i="77"/>
  <c r="R77" i="77"/>
  <c r="R76" i="77"/>
  <c r="R71" i="77"/>
  <c r="R64" i="77"/>
  <c r="R58" i="77"/>
  <c r="R43" i="77"/>
  <c r="R114" i="77"/>
  <c r="R108" i="77"/>
  <c r="R87" i="77"/>
  <c r="R67" i="77"/>
  <c r="R54" i="77"/>
  <c r="R40" i="77"/>
  <c r="R115" i="77"/>
  <c r="R72" i="77"/>
  <c r="R51" i="77"/>
  <c r="P45" i="77"/>
  <c r="R84" i="77"/>
  <c r="R83" i="77"/>
  <c r="R79" i="77"/>
  <c r="R78" i="77"/>
  <c r="R59" i="77"/>
  <c r="R37" i="77"/>
  <c r="R104" i="77"/>
  <c r="R98" i="77"/>
  <c r="R96" i="77"/>
  <c r="R73" i="77"/>
  <c r="R55" i="77"/>
  <c r="R48" i="77"/>
  <c r="R88" i="77"/>
  <c r="R68" i="77"/>
  <c r="R52" i="77"/>
  <c r="R41" i="77"/>
  <c r="X12" i="77"/>
  <c r="Z12" i="77" s="1"/>
  <c r="R116" i="77"/>
  <c r="R101" i="77"/>
  <c r="R85" i="77"/>
  <c r="R69" i="77"/>
  <c r="R38" i="77"/>
  <c r="R63" i="77"/>
  <c r="R112" i="77"/>
  <c r="R113" i="77"/>
  <c r="R56" i="77"/>
  <c r="R49" i="77"/>
  <c r="R107" i="77"/>
  <c r="R60" i="77"/>
  <c r="R80" i="77"/>
  <c r="P107" i="62"/>
  <c r="X103" i="62"/>
  <c r="Z103" i="62" s="1"/>
  <c r="H128" i="39"/>
  <c r="J32" i="39"/>
  <c r="R231" i="15"/>
  <c r="R211" i="15"/>
  <c r="R195" i="15"/>
  <c r="R131" i="15"/>
  <c r="R127" i="15"/>
  <c r="R185" i="15"/>
  <c r="R178" i="15"/>
  <c r="R177" i="15"/>
  <c r="R162" i="15"/>
  <c r="R161" i="15"/>
  <c r="R146" i="15"/>
  <c r="R145" i="15"/>
  <c r="R141" i="15"/>
  <c r="R137" i="15"/>
  <c r="R220" i="15"/>
  <c r="R213" i="15"/>
  <c r="R212" i="15"/>
  <c r="R197" i="15"/>
  <c r="R196" i="15"/>
  <c r="R132" i="15"/>
  <c r="R128" i="15"/>
  <c r="R223" i="15"/>
  <c r="R222" i="15"/>
  <c r="R207" i="15"/>
  <c r="R203" i="15"/>
  <c r="R192" i="15"/>
  <c r="R191" i="15"/>
  <c r="R180" i="15"/>
  <c r="R179" i="15"/>
  <c r="R171" i="15"/>
  <c r="R164" i="15"/>
  <c r="R163" i="15"/>
  <c r="R156" i="15"/>
  <c r="R155" i="15"/>
  <c r="R224" i="15"/>
  <c r="R215" i="15"/>
  <c r="R214" i="15"/>
  <c r="R198" i="15"/>
  <c r="R187" i="15"/>
  <c r="R186" i="15"/>
  <c r="R142" i="15"/>
  <c r="R138" i="15"/>
  <c r="R123" i="15"/>
  <c r="R225" i="15"/>
  <c r="R193" i="15"/>
  <c r="R182" i="15"/>
  <c r="R181" i="15"/>
  <c r="R166" i="15"/>
  <c r="R165" i="15"/>
  <c r="R157" i="15"/>
  <c r="R149" i="15"/>
  <c r="R133" i="15"/>
  <c r="R129" i="15"/>
  <c r="R125" i="15"/>
  <c r="P121" i="15"/>
  <c r="R226" i="15"/>
  <c r="R216" i="15"/>
  <c r="R208" i="15"/>
  <c r="R204" i="15"/>
  <c r="R188" i="15"/>
  <c r="R173" i="15"/>
  <c r="R172" i="15"/>
  <c r="R116" i="15"/>
  <c r="R112" i="15"/>
  <c r="R108" i="15"/>
  <c r="R104" i="15"/>
  <c r="R100" i="15"/>
  <c r="R96" i="15"/>
  <c r="R92" i="15"/>
  <c r="R88" i="15"/>
  <c r="R84" i="15"/>
  <c r="R227" i="15"/>
  <c r="R200" i="15"/>
  <c r="R199" i="15"/>
  <c r="R183" i="15"/>
  <c r="R167" i="15"/>
  <c r="R143" i="15"/>
  <c r="R139" i="15"/>
  <c r="R80" i="15"/>
  <c r="R194" i="15"/>
  <c r="R175" i="15"/>
  <c r="R174" i="15"/>
  <c r="R159" i="15"/>
  <c r="R158" i="15"/>
  <c r="R151" i="15"/>
  <c r="R150" i="15"/>
  <c r="R135" i="15"/>
  <c r="R134" i="15"/>
  <c r="R130" i="15"/>
  <c r="R126" i="15"/>
  <c r="R218" i="15"/>
  <c r="R184" i="15"/>
  <c r="R144" i="15"/>
  <c r="R95" i="15"/>
  <c r="R83" i="15"/>
  <c r="R81" i="15"/>
  <c r="R201" i="15"/>
  <c r="R190" i="15"/>
  <c r="R153" i="15"/>
  <c r="R114" i="15"/>
  <c r="R107" i="15"/>
  <c r="R93" i="15"/>
  <c r="R170" i="15"/>
  <c r="R105" i="15"/>
  <c r="R98" i="15"/>
  <c r="R86" i="15"/>
  <c r="R205" i="15"/>
  <c r="R168" i="15"/>
  <c r="R219" i="15"/>
  <c r="R209" i="15"/>
  <c r="R147" i="15"/>
  <c r="R119" i="15"/>
  <c r="R110" i="15"/>
  <c r="R103" i="15"/>
  <c r="R91" i="15"/>
  <c r="R217" i="15"/>
  <c r="R189" i="15"/>
  <c r="R117" i="15"/>
  <c r="R101" i="15"/>
  <c r="R89" i="15"/>
  <c r="R169" i="15"/>
  <c r="R94" i="15"/>
  <c r="R82" i="15"/>
  <c r="R136" i="15"/>
  <c r="R115" i="15"/>
  <c r="R106" i="15"/>
  <c r="R154" i="15"/>
  <c r="R148" i="15"/>
  <c r="R113" i="15"/>
  <c r="R99" i="15"/>
  <c r="R87" i="15"/>
  <c r="R210" i="15"/>
  <c r="R202" i="15"/>
  <c r="R97" i="15"/>
  <c r="R85" i="15"/>
  <c r="X12" i="15"/>
  <c r="Z12" i="15" s="1"/>
  <c r="R206" i="15"/>
  <c r="R160" i="15"/>
  <c r="R152" i="15"/>
  <c r="R140" i="15"/>
  <c r="R124" i="15"/>
  <c r="R118" i="15"/>
  <c r="R111" i="15"/>
  <c r="R102" i="15"/>
  <c r="R90" i="15"/>
  <c r="R176" i="15"/>
  <c r="R109" i="15"/>
  <c r="H27" i="49"/>
  <c r="N18" i="49"/>
  <c r="L18" i="37"/>
  <c r="D27" i="37"/>
  <c r="P58" i="91"/>
  <c r="X16" i="91"/>
  <c r="T34" i="89"/>
  <c r="D78" i="82"/>
  <c r="L18" i="82"/>
  <c r="D79" i="84"/>
  <c r="L21" i="84"/>
  <c r="T123" i="77"/>
  <c r="V79" i="69"/>
  <c r="T155" i="69"/>
  <c r="R72" i="94"/>
  <c r="R37" i="94"/>
  <c r="R36" i="94"/>
  <c r="R32" i="94"/>
  <c r="R28" i="94"/>
  <c r="X12" i="94"/>
  <c r="Z12" i="94" s="1"/>
  <c r="R88" i="94"/>
  <c r="R87" i="94"/>
  <c r="R83" i="94"/>
  <c r="R79" i="94"/>
  <c r="R67" i="94"/>
  <c r="R56" i="94"/>
  <c r="R55" i="94"/>
  <c r="R19" i="94"/>
  <c r="R100" i="94"/>
  <c r="R46" i="94"/>
  <c r="R42" i="94"/>
  <c r="R38" i="94"/>
  <c r="R89" i="94"/>
  <c r="R73" i="94"/>
  <c r="R58" i="94"/>
  <c r="R57" i="94"/>
  <c r="R33" i="94"/>
  <c r="R29" i="94"/>
  <c r="R60" i="94"/>
  <c r="R59" i="94"/>
  <c r="R48" i="94"/>
  <c r="R47" i="94"/>
  <c r="R43" i="94"/>
  <c r="R39" i="94"/>
  <c r="R91" i="94"/>
  <c r="R90" i="94"/>
  <c r="R74" i="94"/>
  <c r="R85" i="94"/>
  <c r="R81" i="94"/>
  <c r="R69" i="94"/>
  <c r="R62" i="94"/>
  <c r="R61" i="94"/>
  <c r="R50" i="94"/>
  <c r="R49" i="94"/>
  <c r="R93" i="94"/>
  <c r="R92" i="94"/>
  <c r="R53" i="94"/>
  <c r="R45" i="94"/>
  <c r="R31" i="94"/>
  <c r="R94" i="94"/>
  <c r="R71" i="94"/>
  <c r="R41" i="94"/>
  <c r="R34" i="94"/>
  <c r="R77" i="94"/>
  <c r="R51" i="94"/>
  <c r="R27" i="94"/>
  <c r="R21" i="94"/>
  <c r="R75" i="94"/>
  <c r="R18" i="94"/>
  <c r="R54" i="94"/>
  <c r="R44" i="94"/>
  <c r="R52" i="94"/>
  <c r="R30" i="94"/>
  <c r="R96" i="94"/>
  <c r="R86" i="94"/>
  <c r="R78" i="94"/>
  <c r="R65" i="94"/>
  <c r="R40" i="94"/>
  <c r="R84" i="94"/>
  <c r="R82" i="94"/>
  <c r="R80" i="94"/>
  <c r="R76" i="94"/>
  <c r="R66" i="94"/>
  <c r="R20" i="94"/>
  <c r="R64" i="94"/>
  <c r="R26" i="94"/>
  <c r="R68" i="94"/>
  <c r="P23" i="94"/>
  <c r="R35" i="94"/>
  <c r="R70" i="94"/>
  <c r="R63" i="94"/>
  <c r="R25" i="94"/>
  <c r="T44" i="90"/>
  <c r="D28" i="87"/>
  <c r="L18" i="87"/>
  <c r="H80" i="83"/>
  <c r="N19" i="83"/>
  <c r="D87" i="81"/>
  <c r="L16" i="81"/>
  <c r="D32" i="80"/>
  <c r="L16" i="80"/>
  <c r="P31" i="78"/>
  <c r="X21" i="78"/>
  <c r="T70" i="74"/>
  <c r="Z19" i="74"/>
  <c r="F19" i="75"/>
  <c r="F18" i="75"/>
  <c r="F47" i="75"/>
  <c r="F42" i="75"/>
  <c r="F38" i="75"/>
  <c r="F20" i="75"/>
  <c r="F43" i="75"/>
  <c r="F39" i="75"/>
  <c r="F34" i="75"/>
  <c r="F30" i="75"/>
  <c r="F21" i="75"/>
  <c r="F31" i="75"/>
  <c r="F27" i="75"/>
  <c r="F26" i="75"/>
  <c r="F44" i="75"/>
  <c r="F32" i="75"/>
  <c r="F35" i="75"/>
  <c r="F25" i="75"/>
  <c r="F40" i="75"/>
  <c r="L12" i="75"/>
  <c r="N12" i="75" s="1"/>
  <c r="F36" i="75"/>
  <c r="F33" i="75"/>
  <c r="F28" i="75"/>
  <c r="F45" i="75"/>
  <c r="F41" i="75"/>
  <c r="F29" i="75"/>
  <c r="D23" i="75"/>
  <c r="F23" i="75" s="1"/>
  <c r="F51" i="75"/>
  <c r="F37" i="75"/>
  <c r="T66" i="65"/>
  <c r="T74" i="67"/>
  <c r="H103" i="62"/>
  <c r="N17" i="62"/>
  <c r="T76" i="58"/>
  <c r="X76" i="58" s="1"/>
  <c r="Z16" i="58"/>
  <c r="P87" i="56"/>
  <c r="X16" i="54"/>
  <c r="P22" i="54"/>
  <c r="Z28" i="36"/>
  <c r="T128" i="36"/>
  <c r="D274" i="3"/>
  <c r="L155" i="3"/>
  <c r="H27" i="100"/>
  <c r="N18" i="100"/>
  <c r="T27" i="98"/>
  <c r="Z18" i="98"/>
  <c r="H27" i="99"/>
  <c r="N18" i="99"/>
  <c r="X18" i="52"/>
  <c r="P27" i="52"/>
  <c r="H27" i="44"/>
  <c r="N18" i="44"/>
  <c r="L18" i="50"/>
  <c r="D27" i="50"/>
  <c r="H27" i="41"/>
  <c r="N18" i="41"/>
  <c r="X18" i="28"/>
  <c r="P27" i="28"/>
  <c r="H27" i="29"/>
  <c r="N18" i="29"/>
  <c r="P27" i="23"/>
  <c r="X18" i="23"/>
  <c r="H27" i="11"/>
  <c r="N18" i="11"/>
  <c r="L23" i="92"/>
  <c r="N23" i="92" s="1"/>
  <c r="D91" i="92"/>
  <c r="D99" i="85"/>
  <c r="L23" i="85"/>
  <c r="N23" i="85" s="1"/>
  <c r="N16" i="81"/>
  <c r="H87" i="81"/>
  <c r="Z16" i="55"/>
  <c r="T33" i="55"/>
  <c r="T102" i="45"/>
  <c r="F256" i="18"/>
  <c r="F244" i="18"/>
  <c r="F243" i="18"/>
  <c r="F236" i="18"/>
  <c r="F249" i="18"/>
  <c r="F251" i="18"/>
  <c r="F248" i="18"/>
  <c r="F235" i="18"/>
  <c r="F209" i="18"/>
  <c r="F201" i="18"/>
  <c r="F185" i="18"/>
  <c r="F169" i="18"/>
  <c r="F165" i="18"/>
  <c r="F161" i="18"/>
  <c r="F240" i="18"/>
  <c r="F220" i="18"/>
  <c r="F156" i="18"/>
  <c r="F152" i="18"/>
  <c r="F231" i="18"/>
  <c r="F227" i="18"/>
  <c r="F215" i="18"/>
  <c r="F203" i="18"/>
  <c r="F202" i="18"/>
  <c r="F195" i="18"/>
  <c r="F187" i="18"/>
  <c r="F186" i="18"/>
  <c r="F179" i="18"/>
  <c r="F171" i="18"/>
  <c r="F170" i="18"/>
  <c r="F143" i="18"/>
  <c r="F139" i="18"/>
  <c r="F135" i="18"/>
  <c r="F131" i="18"/>
  <c r="F127" i="18"/>
  <c r="F123" i="18"/>
  <c r="F119" i="18"/>
  <c r="F115" i="18"/>
  <c r="F111" i="18"/>
  <c r="F107" i="18"/>
  <c r="F103" i="18"/>
  <c r="F99" i="18"/>
  <c r="F252" i="18"/>
  <c r="F222" i="18"/>
  <c r="F221" i="18"/>
  <c r="F210" i="18"/>
  <c r="F166" i="18"/>
  <c r="F162" i="18"/>
  <c r="L12" i="18"/>
  <c r="N12" i="18" s="1"/>
  <c r="F217" i="18"/>
  <c r="F216" i="18"/>
  <c r="F205" i="18"/>
  <c r="F204" i="18"/>
  <c r="F189" i="18"/>
  <c r="F188" i="18"/>
  <c r="F181" i="18"/>
  <c r="F180" i="18"/>
  <c r="F173" i="18"/>
  <c r="F172" i="18"/>
  <c r="F157" i="18"/>
  <c r="F153" i="18"/>
  <c r="F149" i="18"/>
  <c r="F148" i="18"/>
  <c r="F241" i="18"/>
  <c r="F232" i="18"/>
  <c r="F228" i="18"/>
  <c r="F212" i="18"/>
  <c r="F211" i="18"/>
  <c r="F196" i="18"/>
  <c r="F147" i="18"/>
  <c r="F145" i="18"/>
  <c r="F140" i="18"/>
  <c r="F136" i="18"/>
  <c r="F132" i="18"/>
  <c r="F128" i="18"/>
  <c r="F124" i="18"/>
  <c r="F120" i="18"/>
  <c r="F116" i="18"/>
  <c r="F112" i="18"/>
  <c r="F108" i="18"/>
  <c r="F104" i="18"/>
  <c r="F100" i="18"/>
  <c r="F96" i="18"/>
  <c r="F95" i="18"/>
  <c r="F237" i="18"/>
  <c r="F223" i="18"/>
  <c r="F207" i="18"/>
  <c r="F206" i="18"/>
  <c r="F191" i="18"/>
  <c r="F190" i="18"/>
  <c r="F167" i="18"/>
  <c r="F163" i="18"/>
  <c r="D145" i="18"/>
  <c r="F250" i="18"/>
  <c r="F246" i="18"/>
  <c r="F218" i="18"/>
  <c r="F198" i="18"/>
  <c r="F197" i="18"/>
  <c r="F182" i="18"/>
  <c r="F174" i="18"/>
  <c r="F158" i="18"/>
  <c r="F154" i="18"/>
  <c r="F150" i="18"/>
  <c r="F238" i="18"/>
  <c r="F233" i="18"/>
  <c r="F229" i="18"/>
  <c r="F225" i="18"/>
  <c r="F224" i="18"/>
  <c r="F213" i="18"/>
  <c r="F141" i="18"/>
  <c r="F137" i="18"/>
  <c r="F133" i="18"/>
  <c r="F129" i="18"/>
  <c r="F125" i="18"/>
  <c r="F121" i="18"/>
  <c r="F117" i="18"/>
  <c r="F113" i="18"/>
  <c r="F109" i="18"/>
  <c r="F105" i="18"/>
  <c r="F101" i="18"/>
  <c r="F97" i="18"/>
  <c r="F247" i="18"/>
  <c r="F208" i="18"/>
  <c r="F200" i="18"/>
  <c r="F199" i="18"/>
  <c r="F192" i="18"/>
  <c r="F184" i="18"/>
  <c r="F183" i="18"/>
  <c r="F176" i="18"/>
  <c r="F175" i="18"/>
  <c r="F168" i="18"/>
  <c r="F164" i="18"/>
  <c r="F160" i="18"/>
  <c r="F159" i="18"/>
  <c r="F234" i="18"/>
  <c r="F193" i="18"/>
  <c r="F102" i="18"/>
  <c r="F214" i="18"/>
  <c r="F155" i="18"/>
  <c r="F98" i="18"/>
  <c r="F178" i="18"/>
  <c r="F242" i="18"/>
  <c r="F226" i="18"/>
  <c r="F194" i="18"/>
  <c r="F239" i="18"/>
  <c r="F219" i="18"/>
  <c r="F151" i="18"/>
  <c r="F230" i="18"/>
  <c r="F177" i="18"/>
  <c r="F142" i="18"/>
  <c r="F138" i="18"/>
  <c r="F134" i="18"/>
  <c r="F130" i="18"/>
  <c r="F126" i="18"/>
  <c r="F122" i="18"/>
  <c r="F118" i="18"/>
  <c r="F114" i="18"/>
  <c r="F110" i="18"/>
  <c r="F106" i="18"/>
  <c r="N17" i="9"/>
  <c r="H103" i="9"/>
  <c r="F75" i="97"/>
  <c r="Z16" i="93"/>
  <c r="T24" i="93"/>
  <c r="P87" i="81"/>
  <c r="X16" i="81"/>
  <c r="T79" i="73"/>
  <c r="T75" i="97"/>
  <c r="V17" i="97"/>
  <c r="H98" i="94"/>
  <c r="L16" i="93"/>
  <c r="D24" i="93"/>
  <c r="N16" i="93"/>
  <c r="H24" i="93"/>
  <c r="T98" i="94"/>
  <c r="P30" i="89"/>
  <c r="X16" i="89"/>
  <c r="J123" i="77"/>
  <c r="F92" i="76"/>
  <c r="F62" i="76"/>
  <c r="F61" i="76"/>
  <c r="F42" i="76"/>
  <c r="F38" i="76"/>
  <c r="F34" i="76"/>
  <c r="F33" i="76"/>
  <c r="F81" i="76"/>
  <c r="F80" i="76"/>
  <c r="F69" i="76"/>
  <c r="F68" i="76"/>
  <c r="F29" i="76"/>
  <c r="F25" i="76"/>
  <c r="F24" i="76"/>
  <c r="F76" i="76"/>
  <c r="F64" i="76"/>
  <c r="F63" i="76"/>
  <c r="F52" i="76"/>
  <c r="F97" i="76"/>
  <c r="F94" i="76"/>
  <c r="F43" i="76"/>
  <c r="F39" i="76"/>
  <c r="F35" i="76"/>
  <c r="D21" i="76"/>
  <c r="F82" i="76"/>
  <c r="F70" i="76"/>
  <c r="F54" i="76"/>
  <c r="F53" i="76"/>
  <c r="F30" i="76"/>
  <c r="F26" i="76"/>
  <c r="F77" i="76"/>
  <c r="F65" i="76"/>
  <c r="F45" i="76"/>
  <c r="F44" i="76"/>
  <c r="F17" i="76"/>
  <c r="F16" i="76"/>
  <c r="F84" i="76"/>
  <c r="F83" i="76"/>
  <c r="F56" i="76"/>
  <c r="F55" i="76"/>
  <c r="F40" i="76"/>
  <c r="F36" i="76"/>
  <c r="F86" i="76"/>
  <c r="F85" i="76"/>
  <c r="F78" i="76"/>
  <c r="F66" i="76"/>
  <c r="F58" i="76"/>
  <c r="F57" i="76"/>
  <c r="F18" i="76"/>
  <c r="F73" i="76"/>
  <c r="F72" i="76"/>
  <c r="F49" i="76"/>
  <c r="F48" i="76"/>
  <c r="F41" i="76"/>
  <c r="F37" i="76"/>
  <c r="F90" i="76"/>
  <c r="F60" i="76"/>
  <c r="F21" i="76"/>
  <c r="F74" i="76"/>
  <c r="L12" i="76"/>
  <c r="N12" i="76" s="1"/>
  <c r="F50" i="76"/>
  <c r="F88" i="76"/>
  <c r="F75" i="76"/>
  <c r="F59" i="76"/>
  <c r="F79" i="76"/>
  <c r="F71" i="76"/>
  <c r="F67" i="76"/>
  <c r="F46" i="76"/>
  <c r="F31" i="76"/>
  <c r="F27" i="76"/>
  <c r="F23" i="76"/>
  <c r="F19" i="76"/>
  <c r="F47" i="76"/>
  <c r="F51" i="76"/>
  <c r="F28" i="76"/>
  <c r="F32" i="76"/>
  <c r="H35" i="78"/>
  <c r="T90" i="76"/>
  <c r="R23" i="75"/>
  <c r="R55" i="65"/>
  <c r="R62" i="65"/>
  <c r="R47" i="65"/>
  <c r="R46" i="65"/>
  <c r="R38" i="65"/>
  <c r="R34" i="65"/>
  <c r="R66" i="65"/>
  <c r="R64" i="65"/>
  <c r="R30" i="65"/>
  <c r="R29" i="65"/>
  <c r="R25" i="65"/>
  <c r="R57" i="65"/>
  <c r="R56" i="65"/>
  <c r="R49" i="65"/>
  <c r="R48" i="65"/>
  <c r="R21" i="65"/>
  <c r="R16" i="65"/>
  <c r="R39" i="65"/>
  <c r="R35" i="65"/>
  <c r="R31" i="65"/>
  <c r="R20" i="65"/>
  <c r="R18" i="65"/>
  <c r="R73" i="65"/>
  <c r="R70" i="65"/>
  <c r="R52" i="65"/>
  <c r="R41" i="65"/>
  <c r="R40" i="65"/>
  <c r="R36" i="65"/>
  <c r="R32" i="65"/>
  <c r="R54" i="65"/>
  <c r="R53" i="65"/>
  <c r="R37" i="65"/>
  <c r="R33" i="65"/>
  <c r="R15" i="65"/>
  <c r="R44" i="65"/>
  <c r="R28" i="65"/>
  <c r="R23" i="65"/>
  <c r="R68" i="65"/>
  <c r="R50" i="65"/>
  <c r="R26" i="65"/>
  <c r="R60" i="65"/>
  <c r="R51" i="65"/>
  <c r="R58" i="65"/>
  <c r="R45" i="65"/>
  <c r="R43" i="65"/>
  <c r="R27" i="65"/>
  <c r="R22" i="65"/>
  <c r="R61" i="65"/>
  <c r="R59" i="65"/>
  <c r="X12" i="65"/>
  <c r="Z12" i="65" s="1"/>
  <c r="P18" i="65"/>
  <c r="R42" i="65"/>
  <c r="R24" i="65"/>
  <c r="H92" i="64"/>
  <c r="X16" i="58"/>
  <c r="L16" i="58"/>
  <c r="D76" i="58"/>
  <c r="D75" i="48"/>
  <c r="L17" i="48"/>
  <c r="N17" i="48" s="1"/>
  <c r="H33" i="55"/>
  <c r="N16" i="55"/>
  <c r="H173" i="30"/>
  <c r="H92" i="33"/>
  <c r="F162" i="30"/>
  <c r="F161" i="30"/>
  <c r="F154" i="30"/>
  <c r="F150" i="30"/>
  <c r="F138" i="30"/>
  <c r="F122" i="30"/>
  <c r="F114" i="30"/>
  <c r="F113" i="30"/>
  <c r="F90" i="30"/>
  <c r="F86" i="30"/>
  <c r="F175" i="30"/>
  <c r="F145" i="30"/>
  <c r="F144" i="30"/>
  <c r="F133" i="30"/>
  <c r="F132" i="30"/>
  <c r="F105" i="30"/>
  <c r="F104" i="30"/>
  <c r="F77" i="30"/>
  <c r="F73" i="30"/>
  <c r="F69" i="30"/>
  <c r="F65" i="30"/>
  <c r="F124" i="30"/>
  <c r="F123" i="30"/>
  <c r="F116" i="30"/>
  <c r="F115" i="30"/>
  <c r="F100" i="30"/>
  <c r="F96" i="30"/>
  <c r="F163" i="30"/>
  <c r="F155" i="30"/>
  <c r="F151" i="30"/>
  <c r="F139" i="30"/>
  <c r="F107" i="30"/>
  <c r="F106" i="30"/>
  <c r="F91" i="30"/>
  <c r="F87" i="30"/>
  <c r="F146" i="30"/>
  <c r="F134" i="30"/>
  <c r="F126" i="30"/>
  <c r="F125" i="30"/>
  <c r="F118" i="30"/>
  <c r="F117" i="30"/>
  <c r="F165" i="30"/>
  <c r="F164" i="30"/>
  <c r="F157" i="30"/>
  <c r="F156" i="30"/>
  <c r="F141" i="30"/>
  <c r="F140" i="30"/>
  <c r="F109" i="30"/>
  <c r="F108" i="30"/>
  <c r="F101" i="30"/>
  <c r="F97" i="30"/>
  <c r="F152" i="30"/>
  <c r="F148" i="30"/>
  <c r="F147" i="30"/>
  <c r="F92" i="30"/>
  <c r="F88" i="30"/>
  <c r="F84" i="30"/>
  <c r="F83" i="30"/>
  <c r="F169" i="30"/>
  <c r="F167" i="30"/>
  <c r="F158" i="30"/>
  <c r="F170" i="30"/>
  <c r="F153" i="30"/>
  <c r="F149" i="30"/>
  <c r="F137" i="30"/>
  <c r="F136" i="30"/>
  <c r="F129" i="30"/>
  <c r="F128" i="30"/>
  <c r="F121" i="30"/>
  <c r="F120" i="30"/>
  <c r="F89" i="30"/>
  <c r="F85" i="30"/>
  <c r="F171" i="30"/>
  <c r="F99" i="30"/>
  <c r="F75" i="30"/>
  <c r="F67" i="30"/>
  <c r="F127" i="30"/>
  <c r="F55" i="30"/>
  <c r="F135" i="30"/>
  <c r="F102" i="30"/>
  <c r="F168" i="30"/>
  <c r="F159" i="30"/>
  <c r="F80" i="30"/>
  <c r="F71" i="30"/>
  <c r="F63" i="30"/>
  <c r="F60" i="30"/>
  <c r="F119" i="30"/>
  <c r="F98" i="30"/>
  <c r="D80" i="30"/>
  <c r="F57" i="30"/>
  <c r="F112" i="30"/>
  <c r="F74" i="30"/>
  <c r="F66" i="30"/>
  <c r="F142" i="30"/>
  <c r="F131" i="30"/>
  <c r="F110" i="30"/>
  <c r="F94" i="30"/>
  <c r="F160" i="30"/>
  <c r="F103" i="30"/>
  <c r="F82" i="30"/>
  <c r="F72" i="30"/>
  <c r="F64" i="30"/>
  <c r="F61" i="30"/>
  <c r="F58" i="30"/>
  <c r="F54" i="30"/>
  <c r="F53" i="30"/>
  <c r="F62" i="30"/>
  <c r="F56" i="30"/>
  <c r="F68" i="30"/>
  <c r="F130" i="30"/>
  <c r="F70" i="30"/>
  <c r="F111" i="30"/>
  <c r="F76" i="30"/>
  <c r="F78" i="30"/>
  <c r="F95" i="30"/>
  <c r="F93" i="30"/>
  <c r="F143" i="30"/>
  <c r="F59" i="30"/>
  <c r="L12" i="30"/>
  <c r="N12" i="30" s="1"/>
  <c r="H113" i="21"/>
  <c r="Z155" i="3"/>
  <c r="T274" i="3"/>
  <c r="D103" i="9"/>
  <c r="L17" i="9"/>
  <c r="T27" i="99"/>
  <c r="Z18" i="99"/>
  <c r="X18" i="99"/>
  <c r="P27" i="99"/>
  <c r="L18" i="100"/>
  <c r="D27" i="100"/>
  <c r="D27" i="46"/>
  <c r="L18" i="46"/>
  <c r="T27" i="38"/>
  <c r="Z18" i="38"/>
  <c r="Z18" i="35"/>
  <c r="T27" i="35"/>
  <c r="T27" i="32"/>
  <c r="Z18" i="32"/>
  <c r="P27" i="14"/>
  <c r="X18" i="14"/>
  <c r="D27" i="13"/>
  <c r="L18" i="13"/>
  <c r="L18" i="5"/>
  <c r="D27" i="5"/>
  <c r="T27" i="4"/>
  <c r="Z18" i="4"/>
  <c r="T86" i="86"/>
  <c r="Z20" i="86"/>
  <c r="T80" i="83"/>
  <c r="Z19" i="83"/>
  <c r="T106" i="85"/>
  <c r="P82" i="82"/>
  <c r="X20" i="79"/>
  <c r="P91" i="79"/>
  <c r="H49" i="75"/>
  <c r="J23" i="75"/>
  <c r="H120" i="66"/>
  <c r="R65" i="74"/>
  <c r="R64" i="74"/>
  <c r="R66" i="74"/>
  <c r="R77" i="74"/>
  <c r="R74" i="74"/>
  <c r="R44" i="74"/>
  <c r="R43" i="74"/>
  <c r="R55" i="74"/>
  <c r="R54" i="74"/>
  <c r="R38" i="74"/>
  <c r="R34" i="74"/>
  <c r="R15" i="74"/>
  <c r="R61" i="74"/>
  <c r="R46" i="74"/>
  <c r="R45" i="74"/>
  <c r="R29" i="74"/>
  <c r="R25" i="74"/>
  <c r="R70" i="74"/>
  <c r="R56" i="74"/>
  <c r="R16" i="74"/>
  <c r="R48" i="74"/>
  <c r="R47" i="74"/>
  <c r="R39" i="74"/>
  <c r="R35" i="74"/>
  <c r="R62" i="74"/>
  <c r="R31" i="74"/>
  <c r="R30" i="74"/>
  <c r="R26" i="74"/>
  <c r="X12" i="74"/>
  <c r="R58" i="74"/>
  <c r="R57" i="74"/>
  <c r="R50" i="74"/>
  <c r="R49" i="74"/>
  <c r="R22" i="74"/>
  <c r="R17" i="74"/>
  <c r="R63" i="74"/>
  <c r="R40" i="74"/>
  <c r="R36" i="74"/>
  <c r="R32" i="74"/>
  <c r="R21" i="74"/>
  <c r="R19" i="74"/>
  <c r="R59" i="74"/>
  <c r="R52" i="74"/>
  <c r="R51" i="74"/>
  <c r="R27" i="74"/>
  <c r="R23" i="74"/>
  <c r="P19" i="74"/>
  <c r="R42" i="74"/>
  <c r="R53" i="74"/>
  <c r="R60" i="74"/>
  <c r="R68" i="74"/>
  <c r="R28" i="74"/>
  <c r="R24" i="74"/>
  <c r="R41" i="74"/>
  <c r="R37" i="74"/>
  <c r="R33" i="74"/>
  <c r="R72" i="74"/>
  <c r="D85" i="70"/>
  <c r="L28" i="70"/>
  <c r="D74" i="67"/>
  <c r="L23" i="67"/>
  <c r="N23" i="67" s="1"/>
  <c r="N22" i="73"/>
  <c r="H79" i="73"/>
  <c r="J22" i="73"/>
  <c r="P80" i="58"/>
  <c r="V23" i="45"/>
  <c r="R120" i="39"/>
  <c r="R113" i="39"/>
  <c r="R112" i="39"/>
  <c r="R92" i="39"/>
  <c r="R81" i="39"/>
  <c r="R80" i="39"/>
  <c r="R45" i="39"/>
  <c r="R44" i="39"/>
  <c r="R40" i="39"/>
  <c r="R36" i="39"/>
  <c r="P32" i="39"/>
  <c r="R124" i="39"/>
  <c r="R115" i="39"/>
  <c r="R114" i="39"/>
  <c r="R82" i="39"/>
  <c r="R54" i="39"/>
  <c r="R50" i="39"/>
  <c r="R46" i="39"/>
  <c r="R126" i="39"/>
  <c r="R116" i="39"/>
  <c r="R108" i="39"/>
  <c r="R104" i="39"/>
  <c r="R100" i="39"/>
  <c r="R89" i="39"/>
  <c r="R88" i="39"/>
  <c r="R73" i="39"/>
  <c r="R72" i="39"/>
  <c r="R64" i="39"/>
  <c r="R28" i="39"/>
  <c r="R83" i="39"/>
  <c r="R56" i="39"/>
  <c r="R55" i="39"/>
  <c r="R51" i="39"/>
  <c r="R47" i="39"/>
  <c r="R95" i="39"/>
  <c r="R94" i="39"/>
  <c r="R90" i="39"/>
  <c r="R75" i="39"/>
  <c r="R74" i="39"/>
  <c r="R42" i="39"/>
  <c r="R38" i="39"/>
  <c r="R117" i="39"/>
  <c r="R110" i="39"/>
  <c r="R109" i="39"/>
  <c r="R105" i="39"/>
  <c r="R101" i="39"/>
  <c r="R66" i="39"/>
  <c r="R65" i="39"/>
  <c r="R58" i="39"/>
  <c r="R57" i="39"/>
  <c r="R29" i="39"/>
  <c r="R130" i="39"/>
  <c r="R96" i="39"/>
  <c r="R84" i="39"/>
  <c r="R77" i="39"/>
  <c r="R76" i="39"/>
  <c r="R52" i="39"/>
  <c r="R48" i="39"/>
  <c r="R119" i="39"/>
  <c r="R118" i="39"/>
  <c r="R106" i="39"/>
  <c r="R102" i="39"/>
  <c r="R79" i="39"/>
  <c r="R78" i="39"/>
  <c r="R35" i="39"/>
  <c r="R30" i="39"/>
  <c r="R85" i="39"/>
  <c r="R71" i="39"/>
  <c r="R39" i="39"/>
  <c r="R98" i="39"/>
  <c r="R61" i="39"/>
  <c r="R86" i="39"/>
  <c r="R122" i="39"/>
  <c r="R62" i="39"/>
  <c r="R59" i="39"/>
  <c r="R69" i="39"/>
  <c r="R27" i="39"/>
  <c r="R99" i="39"/>
  <c r="R60" i="39"/>
  <c r="R123" i="39"/>
  <c r="R34" i="39"/>
  <c r="R103" i="39"/>
  <c r="R97" i="39"/>
  <c r="R68" i="39"/>
  <c r="R53" i="39"/>
  <c r="R43" i="39"/>
  <c r="R41" i="39"/>
  <c r="R70" i="39"/>
  <c r="X12" i="39"/>
  <c r="Z12" i="39" s="1"/>
  <c r="R93" i="39"/>
  <c r="R91" i="39"/>
  <c r="R49" i="39"/>
  <c r="R63" i="39"/>
  <c r="R107" i="39"/>
  <c r="R125" i="39"/>
  <c r="R87" i="39"/>
  <c r="R37" i="39"/>
  <c r="R111" i="39"/>
  <c r="R67" i="39"/>
  <c r="X17" i="48"/>
  <c r="Z17" i="48" s="1"/>
  <c r="P75" i="48"/>
  <c r="F119" i="27"/>
  <c r="F102" i="27"/>
  <c r="F101" i="27"/>
  <c r="F94" i="27"/>
  <c r="F86" i="27"/>
  <c r="F85" i="27"/>
  <c r="F78" i="27"/>
  <c r="F74" i="27"/>
  <c r="F70" i="27"/>
  <c r="F69" i="27"/>
  <c r="F109" i="27"/>
  <c r="F108" i="27"/>
  <c r="F123" i="27"/>
  <c r="F103" i="27"/>
  <c r="F79" i="27"/>
  <c r="F75" i="27"/>
  <c r="F71" i="27"/>
  <c r="F105" i="27"/>
  <c r="F104" i="27"/>
  <c r="F81" i="27"/>
  <c r="F80" i="27"/>
  <c r="F53" i="27"/>
  <c r="F49" i="27"/>
  <c r="F45" i="27"/>
  <c r="F41" i="27"/>
  <c r="F112" i="27"/>
  <c r="F111" i="27"/>
  <c r="F76" i="27"/>
  <c r="F72" i="27"/>
  <c r="F99" i="27"/>
  <c r="F91" i="27"/>
  <c r="F83" i="27"/>
  <c r="F82" i="27"/>
  <c r="F114" i="27"/>
  <c r="F113" i="27"/>
  <c r="F106" i="27"/>
  <c r="F57" i="27"/>
  <c r="F55" i="27"/>
  <c r="F50" i="27"/>
  <c r="F46" i="27"/>
  <c r="F42" i="27"/>
  <c r="F38" i="27"/>
  <c r="F37" i="27"/>
  <c r="L12" i="27"/>
  <c r="N12" i="27" s="1"/>
  <c r="F93" i="27"/>
  <c r="F92" i="27"/>
  <c r="F77" i="27"/>
  <c r="F73" i="27"/>
  <c r="D55" i="27"/>
  <c r="F117" i="27"/>
  <c r="F100" i="27"/>
  <c r="F84" i="27"/>
  <c r="F68" i="27"/>
  <c r="F64" i="27"/>
  <c r="F60" i="27"/>
  <c r="F97" i="27"/>
  <c r="F87" i="27"/>
  <c r="F58" i="27"/>
  <c r="F118" i="27"/>
  <c r="F116" i="27"/>
  <c r="F66" i="27"/>
  <c r="F107" i="27"/>
  <c r="F90" i="27"/>
  <c r="F62" i="27"/>
  <c r="F51" i="27"/>
  <c r="F48" i="27"/>
  <c r="F39" i="27"/>
  <c r="F95" i="27"/>
  <c r="F59" i="27"/>
  <c r="F98" i="27"/>
  <c r="F88" i="27"/>
  <c r="F67" i="27"/>
  <c r="F63" i="27"/>
  <c r="F61" i="27"/>
  <c r="F52" i="27"/>
  <c r="F43" i="27"/>
  <c r="F40" i="27"/>
  <c r="F65" i="27"/>
  <c r="F96" i="27"/>
  <c r="F47" i="27"/>
  <c r="F44" i="27"/>
  <c r="F110" i="27"/>
  <c r="F89" i="27"/>
  <c r="R147" i="30"/>
  <c r="R146" i="30"/>
  <c r="R134" i="30"/>
  <c r="R126" i="30"/>
  <c r="R118" i="30"/>
  <c r="R83" i="30"/>
  <c r="R165" i="30"/>
  <c r="R157" i="30"/>
  <c r="R141" i="30"/>
  <c r="R110" i="30"/>
  <c r="R109" i="30"/>
  <c r="R101" i="30"/>
  <c r="R97" i="30"/>
  <c r="R82" i="30"/>
  <c r="R168" i="30"/>
  <c r="R167" i="30"/>
  <c r="R152" i="30"/>
  <c r="R148" i="30"/>
  <c r="R93" i="30"/>
  <c r="R92" i="30"/>
  <c r="R88" i="30"/>
  <c r="R84" i="30"/>
  <c r="R169" i="30"/>
  <c r="R136" i="30"/>
  <c r="R135" i="30"/>
  <c r="R128" i="30"/>
  <c r="R127" i="30"/>
  <c r="R120" i="30"/>
  <c r="R119" i="30"/>
  <c r="R111" i="30"/>
  <c r="R75" i="30"/>
  <c r="R71" i="30"/>
  <c r="R67" i="30"/>
  <c r="R63" i="30"/>
  <c r="R59" i="30"/>
  <c r="R170" i="30"/>
  <c r="R159" i="30"/>
  <c r="R158" i="30"/>
  <c r="R142" i="30"/>
  <c r="R102" i="30"/>
  <c r="R98" i="30"/>
  <c r="R94" i="30"/>
  <c r="R171" i="30"/>
  <c r="R153" i="30"/>
  <c r="R149" i="30"/>
  <c r="R137" i="30"/>
  <c r="R130" i="30"/>
  <c r="R129" i="30"/>
  <c r="R121" i="30"/>
  <c r="R89" i="30"/>
  <c r="R85" i="30"/>
  <c r="R161" i="30"/>
  <c r="R160" i="30"/>
  <c r="R113" i="30"/>
  <c r="R112" i="30"/>
  <c r="R162" i="30"/>
  <c r="R154" i="30"/>
  <c r="R175" i="30"/>
  <c r="R145" i="30"/>
  <c r="R133" i="30"/>
  <c r="R106" i="30"/>
  <c r="R105" i="30"/>
  <c r="R77" i="30"/>
  <c r="R73" i="30"/>
  <c r="R69" i="30"/>
  <c r="R65" i="30"/>
  <c r="R61" i="30"/>
  <c r="R143" i="30"/>
  <c r="R123" i="30"/>
  <c r="R56" i="30"/>
  <c r="R151" i="30"/>
  <c r="R116" i="30"/>
  <c r="R87" i="30"/>
  <c r="R76" i="30"/>
  <c r="R68" i="30"/>
  <c r="R144" i="30"/>
  <c r="R139" i="30"/>
  <c r="P80" i="30"/>
  <c r="R60" i="30"/>
  <c r="R57" i="30"/>
  <c r="R163" i="30"/>
  <c r="R155" i="30"/>
  <c r="R131" i="30"/>
  <c r="R74" i="30"/>
  <c r="R66" i="30"/>
  <c r="R117" i="30"/>
  <c r="R115" i="30"/>
  <c r="R103" i="30"/>
  <c r="R54" i="30"/>
  <c r="R150" i="30"/>
  <c r="R140" i="30"/>
  <c r="R124" i="30"/>
  <c r="R86" i="30"/>
  <c r="R72" i="30"/>
  <c r="R64" i="30"/>
  <c r="R58" i="30"/>
  <c r="R164" i="30"/>
  <c r="R156" i="30"/>
  <c r="R132" i="30"/>
  <c r="R108" i="30"/>
  <c r="R99" i="30"/>
  <c r="R90" i="30"/>
  <c r="R138" i="30"/>
  <c r="R122" i="30"/>
  <c r="R104" i="30"/>
  <c r="R55" i="30"/>
  <c r="R125" i="30"/>
  <c r="R95" i="30"/>
  <c r="X12" i="30"/>
  <c r="Z12" i="30" s="1"/>
  <c r="R107" i="30"/>
  <c r="R100" i="30"/>
  <c r="R70" i="30"/>
  <c r="R78" i="30"/>
  <c r="R91" i="30"/>
  <c r="R53" i="30"/>
  <c r="R114" i="30"/>
  <c r="R96" i="30"/>
  <c r="R62" i="30"/>
  <c r="T125" i="27"/>
  <c r="J121" i="15"/>
  <c r="P22" i="6"/>
  <c r="X16" i="6"/>
  <c r="L18" i="49"/>
  <c r="D27" i="49"/>
  <c r="X18" i="43"/>
  <c r="P27" i="43"/>
  <c r="Z18" i="44"/>
  <c r="T27" i="44"/>
  <c r="X18" i="38"/>
  <c r="P27" i="38"/>
  <c r="L18" i="35"/>
  <c r="D27" i="35"/>
  <c r="X18" i="29"/>
  <c r="P27" i="29"/>
  <c r="H27" i="28"/>
  <c r="N18" i="28"/>
  <c r="T27" i="20"/>
  <c r="Z18" i="20"/>
  <c r="X18" i="35"/>
  <c r="P27" i="35"/>
  <c r="L18" i="11"/>
  <c r="D27" i="11"/>
  <c r="P27" i="10"/>
  <c r="X18" i="10"/>
  <c r="P27" i="5"/>
  <c r="X18" i="5"/>
  <c r="T88" i="33"/>
  <c r="P40" i="90"/>
  <c r="X17" i="90"/>
  <c r="F23" i="92"/>
  <c r="T91" i="92"/>
  <c r="H56" i="88"/>
  <c r="N16" i="88"/>
  <c r="L17" i="90"/>
  <c r="D40" i="90"/>
  <c r="Z18" i="82"/>
  <c r="T78" i="82"/>
  <c r="X18" i="82"/>
  <c r="T108" i="71"/>
  <c r="X21" i="76"/>
  <c r="Z21" i="76" s="1"/>
  <c r="P90" i="76"/>
  <c r="R77" i="70"/>
  <c r="R76" i="70"/>
  <c r="R72" i="70"/>
  <c r="R64" i="70"/>
  <c r="R48" i="70"/>
  <c r="R44" i="70"/>
  <c r="X12" i="70"/>
  <c r="Z12" i="70" s="1"/>
  <c r="R56" i="70"/>
  <c r="R55" i="70"/>
  <c r="R39" i="70"/>
  <c r="R35" i="70"/>
  <c r="R79" i="70"/>
  <c r="R78" i="70"/>
  <c r="R31" i="70"/>
  <c r="R73" i="70"/>
  <c r="R65" i="70"/>
  <c r="R58" i="70"/>
  <c r="R57" i="70"/>
  <c r="R49" i="70"/>
  <c r="R45" i="70"/>
  <c r="R30" i="70"/>
  <c r="R26" i="70"/>
  <c r="R80" i="70"/>
  <c r="R41" i="70"/>
  <c r="R40" i="70"/>
  <c r="R36" i="70"/>
  <c r="R32" i="70"/>
  <c r="P28" i="70"/>
  <c r="R28" i="70" s="1"/>
  <c r="R83" i="70"/>
  <c r="R82" i="70"/>
  <c r="R60" i="70"/>
  <c r="R59" i="70"/>
  <c r="R74" i="70"/>
  <c r="R67" i="70"/>
  <c r="R66" i="70"/>
  <c r="R50" i="70"/>
  <c r="R46" i="70"/>
  <c r="R42" i="70"/>
  <c r="R61" i="70"/>
  <c r="R37" i="70"/>
  <c r="R33" i="70"/>
  <c r="R71" i="70"/>
  <c r="R70" i="70"/>
  <c r="R63" i="70"/>
  <c r="R62" i="70"/>
  <c r="R38" i="70"/>
  <c r="R34" i="70"/>
  <c r="R75" i="70"/>
  <c r="R53" i="70"/>
  <c r="R68" i="70"/>
  <c r="R51" i="70"/>
  <c r="R87" i="70"/>
  <c r="R69" i="70"/>
  <c r="R47" i="70"/>
  <c r="R54" i="70"/>
  <c r="R43" i="70"/>
  <c r="R52" i="70"/>
  <c r="P74" i="67"/>
  <c r="X23" i="67"/>
  <c r="Z23" i="67" s="1"/>
  <c r="R110" i="71"/>
  <c r="R72" i="71"/>
  <c r="R68" i="71"/>
  <c r="R64" i="71"/>
  <c r="R33" i="71"/>
  <c r="R99" i="71"/>
  <c r="R98" i="71"/>
  <c r="R46" i="71"/>
  <c r="R42" i="71"/>
  <c r="R38" i="71"/>
  <c r="R34" i="71"/>
  <c r="R94" i="71"/>
  <c r="R93" i="71"/>
  <c r="R74" i="71"/>
  <c r="R73" i="71"/>
  <c r="R101" i="71"/>
  <c r="R100" i="71"/>
  <c r="R85" i="71"/>
  <c r="R84" i="71"/>
  <c r="R60" i="71"/>
  <c r="R56" i="71"/>
  <c r="R102" i="71"/>
  <c r="R105" i="71"/>
  <c r="R104" i="71"/>
  <c r="R78" i="71"/>
  <c r="R77" i="71"/>
  <c r="R61" i="71"/>
  <c r="R57" i="71"/>
  <c r="R53" i="71"/>
  <c r="P49" i="71"/>
  <c r="R49" i="71" s="1"/>
  <c r="R89" i="71"/>
  <c r="R83" i="71"/>
  <c r="R44" i="71"/>
  <c r="R41" i="71"/>
  <c r="R97" i="71"/>
  <c r="R95" i="71"/>
  <c r="R92" i="71"/>
  <c r="R71" i="71"/>
  <c r="R63" i="71"/>
  <c r="R86" i="71"/>
  <c r="R58" i="71"/>
  <c r="R87" i="71"/>
  <c r="R39" i="71"/>
  <c r="R90" i="71"/>
  <c r="R66" i="71"/>
  <c r="R45" i="71"/>
  <c r="R36" i="71"/>
  <c r="R81" i="71"/>
  <c r="R69" i="71"/>
  <c r="R54" i="71"/>
  <c r="R96" i="71"/>
  <c r="R75" i="71"/>
  <c r="R59" i="71"/>
  <c r="R51" i="71"/>
  <c r="R82" i="71"/>
  <c r="R43" i="71"/>
  <c r="R88" i="71"/>
  <c r="R67" i="71"/>
  <c r="R65" i="71"/>
  <c r="R55" i="71"/>
  <c r="R40" i="71"/>
  <c r="R79" i="71"/>
  <c r="R52" i="71"/>
  <c r="R80" i="71"/>
  <c r="R70" i="71"/>
  <c r="R62" i="71"/>
  <c r="R47" i="71"/>
  <c r="R37" i="71"/>
  <c r="R35" i="71"/>
  <c r="R91" i="71"/>
  <c r="R76" i="71"/>
  <c r="R106" i="71"/>
  <c r="X12" i="71"/>
  <c r="Z12" i="71" s="1"/>
  <c r="X16" i="55"/>
  <c r="P33" i="55"/>
  <c r="L16" i="59"/>
  <c r="D71" i="59"/>
  <c r="R81" i="64"/>
  <c r="R65" i="64"/>
  <c r="R90" i="64"/>
  <c r="R76" i="64"/>
  <c r="R75" i="64"/>
  <c r="R82" i="64"/>
  <c r="R67" i="64"/>
  <c r="R66" i="64"/>
  <c r="R77" i="64"/>
  <c r="R58" i="64"/>
  <c r="R57" i="64"/>
  <c r="R53" i="64"/>
  <c r="R49" i="64"/>
  <c r="R79" i="64"/>
  <c r="R78" i="64"/>
  <c r="R71" i="64"/>
  <c r="R70" i="64"/>
  <c r="R64" i="64"/>
  <c r="R63" i="64"/>
  <c r="R55" i="64"/>
  <c r="R51" i="64"/>
  <c r="R87" i="64"/>
  <c r="R69" i="64"/>
  <c r="R52" i="64"/>
  <c r="R80" i="64"/>
  <c r="R39" i="64"/>
  <c r="P35" i="64"/>
  <c r="R72" i="64"/>
  <c r="R46" i="64"/>
  <c r="R30" i="64"/>
  <c r="R26" i="64"/>
  <c r="X12" i="64"/>
  <c r="Z12" i="64" s="1"/>
  <c r="R85" i="64"/>
  <c r="R61" i="64"/>
  <c r="R47" i="64"/>
  <c r="R43" i="64"/>
  <c r="R88" i="64"/>
  <c r="R73" i="64"/>
  <c r="R50" i="64"/>
  <c r="R40" i="64"/>
  <c r="R31" i="64"/>
  <c r="R27" i="64"/>
  <c r="R48" i="64"/>
  <c r="R44" i="64"/>
  <c r="R86" i="64"/>
  <c r="R84" i="64"/>
  <c r="R74" i="64"/>
  <c r="R60" i="64"/>
  <c r="R59" i="64"/>
  <c r="R29" i="64"/>
  <c r="R38" i="64"/>
  <c r="R94" i="64"/>
  <c r="R42" i="64"/>
  <c r="R25" i="64"/>
  <c r="R35" i="64"/>
  <c r="R32" i="64"/>
  <c r="R62" i="64"/>
  <c r="R68" i="64"/>
  <c r="R56" i="64"/>
  <c r="R54" i="64"/>
  <c r="R28" i="64"/>
  <c r="R45" i="64"/>
  <c r="R37" i="64"/>
  <c r="R33" i="64"/>
  <c r="R83" i="64"/>
  <c r="R41" i="64"/>
  <c r="X23" i="45"/>
  <c r="Z23" i="45" s="1"/>
  <c r="P102" i="45"/>
  <c r="V121" i="27"/>
  <c r="F118" i="36"/>
  <c r="F106" i="36"/>
  <c r="F102" i="36"/>
  <c r="F78" i="36"/>
  <c r="F77" i="36"/>
  <c r="F66" i="36"/>
  <c r="F65" i="36"/>
  <c r="F58" i="36"/>
  <c r="F57" i="36"/>
  <c r="F50" i="36"/>
  <c r="F46" i="36"/>
  <c r="D28" i="36"/>
  <c r="L12" i="36"/>
  <c r="N12" i="36" s="1"/>
  <c r="F97" i="36"/>
  <c r="F85" i="36"/>
  <c r="F41" i="36"/>
  <c r="F37" i="36"/>
  <c r="F33" i="36"/>
  <c r="F120" i="36"/>
  <c r="F119" i="36"/>
  <c r="F112" i="36"/>
  <c r="F92" i="36"/>
  <c r="F107" i="36"/>
  <c r="F103" i="36"/>
  <c r="F99" i="36"/>
  <c r="F98" i="36"/>
  <c r="F87" i="36"/>
  <c r="F86" i="36"/>
  <c r="F51" i="36"/>
  <c r="F47" i="36"/>
  <c r="F43" i="36"/>
  <c r="F42" i="36"/>
  <c r="F123" i="36"/>
  <c r="F114" i="36"/>
  <c r="F113" i="36"/>
  <c r="F82" i="36"/>
  <c r="F81" i="36"/>
  <c r="F70" i="36"/>
  <c r="F69" i="36"/>
  <c r="F38" i="36"/>
  <c r="F34" i="36"/>
  <c r="F124" i="36"/>
  <c r="F122" i="36"/>
  <c r="F93" i="36"/>
  <c r="F61" i="36"/>
  <c r="F25" i="36"/>
  <c r="F125" i="36"/>
  <c r="F116" i="36"/>
  <c r="F115" i="36"/>
  <c r="F108" i="36"/>
  <c r="F104" i="36"/>
  <c r="F100" i="36"/>
  <c r="F88" i="36"/>
  <c r="F72" i="36"/>
  <c r="F71" i="36"/>
  <c r="F126" i="36"/>
  <c r="F130" i="36"/>
  <c r="F96" i="36"/>
  <c r="F95" i="36"/>
  <c r="F84" i="36"/>
  <c r="F76" i="36"/>
  <c r="F75" i="36"/>
  <c r="F64" i="36"/>
  <c r="F63" i="36"/>
  <c r="F56" i="36"/>
  <c r="F55" i="36"/>
  <c r="F40" i="36"/>
  <c r="F36" i="36"/>
  <c r="F32" i="36"/>
  <c r="F31" i="36"/>
  <c r="F109" i="36"/>
  <c r="F91" i="36"/>
  <c r="F83" i="36"/>
  <c r="F59" i="36"/>
  <c r="F44" i="36"/>
  <c r="F35" i="36"/>
  <c r="F30" i="36"/>
  <c r="F23" i="36"/>
  <c r="F54" i="36"/>
  <c r="F26" i="36"/>
  <c r="F49" i="36"/>
  <c r="F74" i="36"/>
  <c r="F60" i="36"/>
  <c r="F24" i="36"/>
  <c r="F110" i="36"/>
  <c r="F90" i="36"/>
  <c r="F79" i="36"/>
  <c r="F62" i="36"/>
  <c r="F67" i="36"/>
  <c r="F52" i="36"/>
  <c r="F45" i="36"/>
  <c r="F28" i="36"/>
  <c r="F111" i="36"/>
  <c r="F94" i="36"/>
  <c r="F105" i="36"/>
  <c r="F80" i="36"/>
  <c r="F53" i="36"/>
  <c r="F48" i="36"/>
  <c r="F39" i="36"/>
  <c r="F73" i="36"/>
  <c r="F101" i="36"/>
  <c r="F117" i="36"/>
  <c r="F68" i="36"/>
  <c r="F89" i="36"/>
  <c r="H274" i="3"/>
  <c r="N155" i="3"/>
  <c r="T27" i="100"/>
  <c r="Z18" i="100"/>
  <c r="T27" i="50"/>
  <c r="Z18" i="50"/>
  <c r="H27" i="35"/>
  <c r="N18" i="35"/>
  <c r="Z18" i="43"/>
  <c r="T27" i="43"/>
  <c r="P27" i="41"/>
  <c r="X18" i="41"/>
  <c r="Z18" i="34"/>
  <c r="T27" i="34"/>
  <c r="H27" i="37"/>
  <c r="N18" i="37"/>
  <c r="T27" i="26"/>
  <c r="Z18" i="26"/>
  <c r="Z18" i="29"/>
  <c r="T27" i="29"/>
  <c r="L18" i="25"/>
  <c r="D27" i="25"/>
  <c r="H27" i="23"/>
  <c r="N18" i="23"/>
  <c r="L18" i="17"/>
  <c r="D27" i="17"/>
  <c r="L18" i="14"/>
  <c r="D27" i="14"/>
  <c r="L18" i="16"/>
  <c r="D27" i="16"/>
  <c r="T27" i="23"/>
  <c r="Z18" i="23"/>
  <c r="H27" i="10"/>
  <c r="N18" i="10"/>
  <c r="P75" i="97"/>
  <c r="R17" i="97"/>
  <c r="X17" i="97"/>
  <c r="Z17" i="97" s="1"/>
  <c r="D24" i="96"/>
  <c r="L16" i="96"/>
  <c r="H90" i="95"/>
  <c r="D86" i="95"/>
  <c r="L19" i="95"/>
  <c r="N19" i="95" s="1"/>
  <c r="V23" i="94"/>
  <c r="H95" i="92"/>
  <c r="R87" i="92"/>
  <c r="R71" i="92"/>
  <c r="R64" i="92"/>
  <c r="R63" i="92"/>
  <c r="R52" i="92"/>
  <c r="R51" i="92"/>
  <c r="R35" i="92"/>
  <c r="R31" i="92"/>
  <c r="R27" i="92"/>
  <c r="P23" i="92"/>
  <c r="R89" i="92"/>
  <c r="R81" i="92"/>
  <c r="R77" i="92"/>
  <c r="R66" i="92"/>
  <c r="R65" i="92"/>
  <c r="R54" i="92"/>
  <c r="R53" i="92"/>
  <c r="R45" i="92"/>
  <c r="R41" i="92"/>
  <c r="R18" i="92"/>
  <c r="R72" i="92"/>
  <c r="R37" i="92"/>
  <c r="R36" i="92"/>
  <c r="R32" i="92"/>
  <c r="R28" i="92"/>
  <c r="X12" i="92"/>
  <c r="Z12" i="92" s="1"/>
  <c r="R93" i="92"/>
  <c r="R82" i="92"/>
  <c r="R78" i="92"/>
  <c r="R46" i="92"/>
  <c r="R42" i="92"/>
  <c r="R38" i="92"/>
  <c r="R73" i="92"/>
  <c r="R58" i="92"/>
  <c r="R57" i="92"/>
  <c r="R33" i="92"/>
  <c r="R29" i="92"/>
  <c r="R68" i="92"/>
  <c r="R20" i="92"/>
  <c r="R86" i="92"/>
  <c r="R85" i="92"/>
  <c r="R80" i="92"/>
  <c r="R55" i="92"/>
  <c r="R50" i="92"/>
  <c r="R76" i="92"/>
  <c r="R70" i="92"/>
  <c r="R43" i="92"/>
  <c r="R34" i="92"/>
  <c r="R48" i="92"/>
  <c r="R26" i="92"/>
  <c r="R21" i="92"/>
  <c r="R74" i="92"/>
  <c r="R56" i="92"/>
  <c r="R39" i="92"/>
  <c r="R30" i="92"/>
  <c r="R19" i="92"/>
  <c r="R83" i="92"/>
  <c r="R61" i="92"/>
  <c r="R79" i="92"/>
  <c r="R75" i="92"/>
  <c r="R59" i="92"/>
  <c r="R44" i="92"/>
  <c r="R23" i="92"/>
  <c r="R69" i="92"/>
  <c r="R49" i="92"/>
  <c r="R84" i="92"/>
  <c r="R67" i="92"/>
  <c r="R47" i="92"/>
  <c r="R60" i="92"/>
  <c r="R62" i="92"/>
  <c r="R40" i="92"/>
  <c r="R25" i="92"/>
  <c r="H99" i="85"/>
  <c r="Z21" i="78"/>
  <c r="T31" i="78"/>
  <c r="H108" i="71"/>
  <c r="J49" i="71"/>
  <c r="L18" i="65"/>
  <c r="D66" i="65"/>
  <c r="F152" i="69"/>
  <c r="F131" i="69"/>
  <c r="F130" i="69"/>
  <c r="F123" i="69"/>
  <c r="F122" i="69"/>
  <c r="F115" i="69"/>
  <c r="F114" i="69"/>
  <c r="F99" i="69"/>
  <c r="F95" i="69"/>
  <c r="F153" i="69"/>
  <c r="F142" i="69"/>
  <c r="F141" i="69"/>
  <c r="F106" i="69"/>
  <c r="F105" i="69"/>
  <c r="F90" i="69"/>
  <c r="F86" i="69"/>
  <c r="F137" i="69"/>
  <c r="F125" i="69"/>
  <c r="F124" i="69"/>
  <c r="F77" i="69"/>
  <c r="F73" i="69"/>
  <c r="F69" i="69"/>
  <c r="F65" i="69"/>
  <c r="F61" i="69"/>
  <c r="F57" i="69"/>
  <c r="F144" i="69"/>
  <c r="F143" i="69"/>
  <c r="F132" i="69"/>
  <c r="F116" i="69"/>
  <c r="F108" i="69"/>
  <c r="F107" i="69"/>
  <c r="F100" i="69"/>
  <c r="F96" i="69"/>
  <c r="F157" i="69"/>
  <c r="F127" i="69"/>
  <c r="F126" i="69"/>
  <c r="F91" i="69"/>
  <c r="F87" i="69"/>
  <c r="F83" i="69"/>
  <c r="F82" i="69"/>
  <c r="F146" i="69"/>
  <c r="F145" i="69"/>
  <c r="F138" i="69"/>
  <c r="F134" i="69"/>
  <c r="F133" i="69"/>
  <c r="F118" i="69"/>
  <c r="F117" i="69"/>
  <c r="F110" i="69"/>
  <c r="F109" i="69"/>
  <c r="F81" i="69"/>
  <c r="F79" i="69"/>
  <c r="F74" i="69"/>
  <c r="F70" i="69"/>
  <c r="F101" i="69"/>
  <c r="F97" i="69"/>
  <c r="F93" i="69"/>
  <c r="F92" i="69"/>
  <c r="D79" i="69"/>
  <c r="F128" i="69"/>
  <c r="F120" i="69"/>
  <c r="F119" i="69"/>
  <c r="F88" i="69"/>
  <c r="F84" i="69"/>
  <c r="F150" i="69"/>
  <c r="F129" i="69"/>
  <c r="F121" i="69"/>
  <c r="F113" i="69"/>
  <c r="F112" i="69"/>
  <c r="F89" i="69"/>
  <c r="F85" i="69"/>
  <c r="F140" i="69"/>
  <c r="F111" i="69"/>
  <c r="F71" i="69"/>
  <c r="F149" i="69"/>
  <c r="F135" i="69"/>
  <c r="F62" i="69"/>
  <c r="F60" i="69"/>
  <c r="F53" i="69"/>
  <c r="F103" i="69"/>
  <c r="F67" i="69"/>
  <c r="L12" i="69"/>
  <c r="N12" i="69" s="1"/>
  <c r="F76" i="69"/>
  <c r="F58" i="69"/>
  <c r="F56" i="69"/>
  <c r="F72" i="69"/>
  <c r="F63" i="69"/>
  <c r="F54" i="69"/>
  <c r="F147" i="69"/>
  <c r="F139" i="69"/>
  <c r="F136" i="69"/>
  <c r="F104" i="69"/>
  <c r="F68" i="69"/>
  <c r="F102" i="69"/>
  <c r="F75" i="69"/>
  <c r="F66" i="69"/>
  <c r="F64" i="69"/>
  <c r="F59" i="69"/>
  <c r="F55" i="69"/>
  <c r="F151" i="69"/>
  <c r="F94" i="69"/>
  <c r="F98" i="69"/>
  <c r="N16" i="61"/>
  <c r="H60" i="61"/>
  <c r="N16" i="59"/>
  <c r="H71" i="59"/>
  <c r="T128" i="42"/>
  <c r="R113" i="42"/>
  <c r="R106" i="42"/>
  <c r="R105" i="42"/>
  <c r="R85" i="42"/>
  <c r="R74" i="42"/>
  <c r="R73" i="42"/>
  <c r="R116" i="42"/>
  <c r="R115" i="42"/>
  <c r="R100" i="42"/>
  <c r="R96" i="42"/>
  <c r="R92" i="42"/>
  <c r="R80" i="42"/>
  <c r="R117" i="42"/>
  <c r="R108" i="42"/>
  <c r="R107" i="42"/>
  <c r="R76" i="42"/>
  <c r="R88" i="42"/>
  <c r="R87" i="42"/>
  <c r="R83" i="42"/>
  <c r="R110" i="42"/>
  <c r="R103" i="42"/>
  <c r="R102" i="42"/>
  <c r="R98" i="42"/>
  <c r="R94" i="42"/>
  <c r="R58" i="42"/>
  <c r="R112" i="42"/>
  <c r="R111" i="42"/>
  <c r="R99" i="42"/>
  <c r="R95" i="42"/>
  <c r="R72" i="42"/>
  <c r="R71" i="42"/>
  <c r="R60" i="42"/>
  <c r="R59" i="42"/>
  <c r="R123" i="42"/>
  <c r="R119" i="42"/>
  <c r="R89" i="42"/>
  <c r="R84" i="42"/>
  <c r="R66" i="42"/>
  <c r="R62" i="42"/>
  <c r="R61" i="42"/>
  <c r="R50" i="42"/>
  <c r="R49" i="42"/>
  <c r="R45" i="42"/>
  <c r="R41" i="42"/>
  <c r="R36" i="42"/>
  <c r="R32" i="42"/>
  <c r="R104" i="42"/>
  <c r="R77" i="42"/>
  <c r="R52" i="42"/>
  <c r="R51" i="42"/>
  <c r="R23" i="42"/>
  <c r="R46" i="42"/>
  <c r="R42" i="42"/>
  <c r="R67" i="42"/>
  <c r="R63" i="42"/>
  <c r="R54" i="42"/>
  <c r="R53" i="42"/>
  <c r="R37" i="42"/>
  <c r="R33" i="42"/>
  <c r="R75" i="42"/>
  <c r="R29" i="42"/>
  <c r="R24" i="42"/>
  <c r="R90" i="42"/>
  <c r="R68" i="42"/>
  <c r="R64" i="42"/>
  <c r="R56" i="42"/>
  <c r="R55" i="42"/>
  <c r="R47" i="42"/>
  <c r="R43" i="42"/>
  <c r="R28" i="42"/>
  <c r="R118" i="42"/>
  <c r="R78" i="42"/>
  <c r="R39" i="42"/>
  <c r="R38" i="42"/>
  <c r="R34" i="42"/>
  <c r="R30" i="42"/>
  <c r="P26" i="42"/>
  <c r="X12" i="42"/>
  <c r="Z12" i="42" s="1"/>
  <c r="R81" i="42"/>
  <c r="R69" i="42"/>
  <c r="R57" i="42"/>
  <c r="R101" i="42"/>
  <c r="R91" i="42"/>
  <c r="R86" i="42"/>
  <c r="R79" i="42"/>
  <c r="R65" i="42"/>
  <c r="R35" i="42"/>
  <c r="R31" i="42"/>
  <c r="R21" i="42"/>
  <c r="R70" i="42"/>
  <c r="R97" i="42"/>
  <c r="R44" i="42"/>
  <c r="R40" i="42"/>
  <c r="R109" i="42"/>
  <c r="R22" i="42"/>
  <c r="R48" i="42"/>
  <c r="R93" i="42"/>
  <c r="R82" i="42"/>
  <c r="N38" i="24"/>
  <c r="H96" i="24"/>
  <c r="H121" i="27"/>
  <c r="L38" i="24"/>
  <c r="D96" i="24"/>
  <c r="F226" i="15"/>
  <c r="F199" i="15"/>
  <c r="F183" i="15"/>
  <c r="F182" i="15"/>
  <c r="F167" i="15"/>
  <c r="F166" i="15"/>
  <c r="F143" i="15"/>
  <c r="F139" i="15"/>
  <c r="D121" i="15"/>
  <c r="F217" i="15"/>
  <c r="F209" i="15"/>
  <c r="F205" i="15"/>
  <c r="F201" i="15"/>
  <c r="F200" i="15"/>
  <c r="F189" i="15"/>
  <c r="F117" i="15"/>
  <c r="F113" i="15"/>
  <c r="F109" i="15"/>
  <c r="F105" i="15"/>
  <c r="F101" i="15"/>
  <c r="F97" i="15"/>
  <c r="F93" i="15"/>
  <c r="F89" i="15"/>
  <c r="F85" i="15"/>
  <c r="F81" i="15"/>
  <c r="F80" i="15"/>
  <c r="F184" i="15"/>
  <c r="F176" i="15"/>
  <c r="F175" i="15"/>
  <c r="F168" i="15"/>
  <c r="F160" i="15"/>
  <c r="F159" i="15"/>
  <c r="F152" i="15"/>
  <c r="F151" i="15"/>
  <c r="F144" i="15"/>
  <c r="F140" i="15"/>
  <c r="F136" i="15"/>
  <c r="F135" i="15"/>
  <c r="L12" i="15"/>
  <c r="N12" i="15" s="1"/>
  <c r="F231" i="15"/>
  <c r="F211" i="15"/>
  <c r="F210" i="15"/>
  <c r="F195" i="15"/>
  <c r="F218" i="15"/>
  <c r="F206" i="15"/>
  <c r="F202" i="15"/>
  <c r="F190" i="15"/>
  <c r="F170" i="15"/>
  <c r="F169" i="15"/>
  <c r="F154" i="15"/>
  <c r="F153" i="15"/>
  <c r="F118" i="15"/>
  <c r="F114" i="15"/>
  <c r="F110" i="15"/>
  <c r="F106" i="15"/>
  <c r="F102" i="15"/>
  <c r="F98" i="15"/>
  <c r="F94" i="15"/>
  <c r="F90" i="15"/>
  <c r="F86" i="15"/>
  <c r="F82" i="15"/>
  <c r="F185" i="15"/>
  <c r="F177" i="15"/>
  <c r="F161" i="15"/>
  <c r="F145" i="15"/>
  <c r="F141" i="15"/>
  <c r="F137" i="15"/>
  <c r="F220" i="15"/>
  <c r="F219" i="15"/>
  <c r="F212" i="15"/>
  <c r="F196" i="15"/>
  <c r="F132" i="15"/>
  <c r="F128" i="15"/>
  <c r="F207" i="15"/>
  <c r="F203" i="15"/>
  <c r="F191" i="15"/>
  <c r="F179" i="15"/>
  <c r="F178" i="15"/>
  <c r="F171" i="15"/>
  <c r="F163" i="15"/>
  <c r="F162" i="15"/>
  <c r="F155" i="15"/>
  <c r="F147" i="15"/>
  <c r="F146" i="15"/>
  <c r="F119" i="15"/>
  <c r="F115" i="15"/>
  <c r="F111" i="15"/>
  <c r="F107" i="15"/>
  <c r="F103" i="15"/>
  <c r="F99" i="15"/>
  <c r="F95" i="15"/>
  <c r="F91" i="15"/>
  <c r="F87" i="15"/>
  <c r="F83" i="15"/>
  <c r="F223" i="15"/>
  <c r="F214" i="15"/>
  <c r="F213" i="15"/>
  <c r="F198" i="15"/>
  <c r="F197" i="15"/>
  <c r="F186" i="15"/>
  <c r="F142" i="15"/>
  <c r="F138" i="15"/>
  <c r="F164" i="15"/>
  <c r="F150" i="15"/>
  <c r="F131" i="15"/>
  <c r="F104" i="15"/>
  <c r="F92" i="15"/>
  <c r="F204" i="15"/>
  <c r="F174" i="15"/>
  <c r="F158" i="15"/>
  <c r="F133" i="15"/>
  <c r="F124" i="15"/>
  <c r="F121" i="15"/>
  <c r="F227" i="15"/>
  <c r="F208" i="15"/>
  <c r="F126" i="15"/>
  <c r="F225" i="15"/>
  <c r="F216" i="15"/>
  <c r="F188" i="15"/>
  <c r="F192" i="15"/>
  <c r="F181" i="15"/>
  <c r="F149" i="15"/>
  <c r="F100" i="15"/>
  <c r="F88" i="15"/>
  <c r="F172" i="15"/>
  <c r="F157" i="15"/>
  <c r="F194" i="15"/>
  <c r="F165" i="15"/>
  <c r="F130" i="15"/>
  <c r="F125" i="15"/>
  <c r="F112" i="15"/>
  <c r="F224" i="15"/>
  <c r="F222" i="15"/>
  <c r="F127" i="15"/>
  <c r="F123" i="15"/>
  <c r="F96" i="15"/>
  <c r="F84" i="15"/>
  <c r="F215" i="15"/>
  <c r="F187" i="15"/>
  <c r="F173" i="15"/>
  <c r="F134" i="15"/>
  <c r="F108" i="15"/>
  <c r="F193" i="15"/>
  <c r="F180" i="15"/>
  <c r="F129" i="15"/>
  <c r="F156" i="15"/>
  <c r="F116" i="15"/>
  <c r="F148" i="15"/>
  <c r="T233" i="15"/>
  <c r="T27" i="37"/>
  <c r="Z18" i="37"/>
  <c r="N18" i="38"/>
  <c r="H27" i="38"/>
  <c r="H27" i="34"/>
  <c r="N18" i="34"/>
  <c r="X18" i="26"/>
  <c r="P27" i="26"/>
  <c r="T27" i="31"/>
  <c r="Z18" i="31"/>
  <c r="H27" i="17"/>
  <c r="N18" i="17"/>
  <c r="H27" i="13"/>
  <c r="N18" i="13"/>
  <c r="L18" i="4"/>
  <c r="D27" i="4"/>
  <c r="H27" i="7"/>
  <c r="N18" i="7"/>
  <c r="H81" i="67" l="1"/>
  <c r="J81" i="67" s="1"/>
  <c r="J78" i="67"/>
  <c r="Z27" i="53"/>
  <c r="T31" i="53"/>
  <c r="H31" i="13"/>
  <c r="N27" i="13"/>
  <c r="Z27" i="37"/>
  <c r="T31" i="37"/>
  <c r="H75" i="59"/>
  <c r="D70" i="65"/>
  <c r="L66" i="65"/>
  <c r="X102" i="45"/>
  <c r="Z102" i="45" s="1"/>
  <c r="P106" i="45"/>
  <c r="R102" i="45"/>
  <c r="P128" i="39"/>
  <c r="X32" i="39"/>
  <c r="Z32" i="39" s="1"/>
  <c r="P83" i="58"/>
  <c r="H53" i="75"/>
  <c r="J49" i="75"/>
  <c r="Z27" i="4"/>
  <c r="T31" i="4"/>
  <c r="T31" i="38"/>
  <c r="Z27" i="38"/>
  <c r="D79" i="48"/>
  <c r="L75" i="48"/>
  <c r="N75" i="48" s="1"/>
  <c r="F75" i="48"/>
  <c r="T94" i="76"/>
  <c r="V90" i="76"/>
  <c r="N24" i="93"/>
  <c r="H28" i="93"/>
  <c r="H91" i="81"/>
  <c r="X27" i="28"/>
  <c r="P31" i="28"/>
  <c r="P35" i="78"/>
  <c r="X31" i="78"/>
  <c r="Z31" i="78" s="1"/>
  <c r="R31" i="78"/>
  <c r="X64" i="61"/>
  <c r="Z64" i="61" s="1"/>
  <c r="P67" i="61"/>
  <c r="X67" i="61" s="1"/>
  <c r="L27" i="43"/>
  <c r="D31" i="43"/>
  <c r="L30" i="89"/>
  <c r="D34" i="89"/>
  <c r="N27" i="53"/>
  <c r="H31" i="53"/>
  <c r="P278" i="3"/>
  <c r="X274" i="3"/>
  <c r="Z274" i="3" s="1"/>
  <c r="R274" i="3"/>
  <c r="D81" i="57"/>
  <c r="T31" i="25"/>
  <c r="Z27" i="25"/>
  <c r="X49" i="51"/>
  <c r="Z49" i="51" s="1"/>
  <c r="P108" i="51"/>
  <c r="L54" i="66"/>
  <c r="N54" i="66" s="1"/>
  <c r="D120" i="66"/>
  <c r="P31" i="17"/>
  <c r="X27" i="17"/>
  <c r="D123" i="77"/>
  <c r="L45" i="77"/>
  <c r="N45" i="77" s="1"/>
  <c r="H80" i="58"/>
  <c r="H130" i="77"/>
  <c r="J127" i="77"/>
  <c r="D229" i="15"/>
  <c r="L121" i="15"/>
  <c r="N121" i="15" s="1"/>
  <c r="H125" i="27"/>
  <c r="J121" i="27"/>
  <c r="P121" i="42"/>
  <c r="X26" i="42"/>
  <c r="Z26" i="42" s="1"/>
  <c r="L79" i="69"/>
  <c r="N79" i="69" s="1"/>
  <c r="D155" i="69"/>
  <c r="P79" i="97"/>
  <c r="X75" i="97"/>
  <c r="Z75" i="97" s="1"/>
  <c r="R75" i="97"/>
  <c r="N27" i="23"/>
  <c r="H31" i="23"/>
  <c r="X27" i="41"/>
  <c r="P31" i="41"/>
  <c r="P37" i="55"/>
  <c r="X33" i="55"/>
  <c r="T112" i="71"/>
  <c r="V108" i="71"/>
  <c r="X27" i="43"/>
  <c r="P31" i="43"/>
  <c r="P95" i="79"/>
  <c r="X91" i="79"/>
  <c r="Z91" i="79" s="1"/>
  <c r="L27" i="5"/>
  <c r="D31" i="5"/>
  <c r="D80" i="58"/>
  <c r="L76" i="58"/>
  <c r="N76" i="58" s="1"/>
  <c r="H38" i="78"/>
  <c r="J35" i="78"/>
  <c r="H107" i="9"/>
  <c r="Z27" i="98"/>
  <c r="T31" i="98"/>
  <c r="T127" i="77"/>
  <c r="V123" i="77"/>
  <c r="N27" i="49"/>
  <c r="H31" i="49"/>
  <c r="X121" i="15"/>
  <c r="Z121" i="15" s="1"/>
  <c r="P229" i="15"/>
  <c r="R121" i="15"/>
  <c r="P110" i="62"/>
  <c r="X110" i="62" s="1"/>
  <c r="X107" i="62"/>
  <c r="Z107" i="62" s="1"/>
  <c r="T31" i="11"/>
  <c r="Z27" i="11"/>
  <c r="N27" i="31"/>
  <c r="H31" i="31"/>
  <c r="H89" i="70"/>
  <c r="J85" i="70"/>
  <c r="P31" i="16"/>
  <c r="X27" i="16"/>
  <c r="X27" i="46"/>
  <c r="P31" i="46"/>
  <c r="H258" i="18"/>
  <c r="J254" i="18"/>
  <c r="N66" i="65"/>
  <c r="H70" i="65"/>
  <c r="Z27" i="5"/>
  <c r="T31" i="5"/>
  <c r="P31" i="25"/>
  <c r="X27" i="25"/>
  <c r="L33" i="55"/>
  <c r="D37" i="55"/>
  <c r="L20" i="86"/>
  <c r="D86" i="86"/>
  <c r="P32" i="87"/>
  <c r="X28" i="87"/>
  <c r="R28" i="87"/>
  <c r="X27" i="50"/>
  <c r="P31" i="50"/>
  <c r="D108" i="51"/>
  <c r="L49" i="51"/>
  <c r="N49" i="51" s="1"/>
  <c r="X27" i="8"/>
  <c r="P31" i="8"/>
  <c r="L27" i="23"/>
  <c r="D31" i="23"/>
  <c r="P109" i="21"/>
  <c r="X27" i="21"/>
  <c r="Z27" i="21" s="1"/>
  <c r="T84" i="56"/>
  <c r="X80" i="56"/>
  <c r="Z80" i="56" s="1"/>
  <c r="H34" i="89"/>
  <c r="N30" i="89"/>
  <c r="L22" i="54"/>
  <c r="D26" i="54"/>
  <c r="F45" i="77"/>
  <c r="P28" i="96"/>
  <c r="X24" i="96"/>
  <c r="X27" i="40"/>
  <c r="P31" i="40"/>
  <c r="T107" i="9"/>
  <c r="X86" i="86"/>
  <c r="P90" i="86"/>
  <c r="Z27" i="46"/>
  <c r="T31" i="46"/>
  <c r="D31" i="49"/>
  <c r="L27" i="49"/>
  <c r="X80" i="30"/>
  <c r="Z80" i="30" s="1"/>
  <c r="P173" i="30"/>
  <c r="H83" i="73"/>
  <c r="J79" i="73"/>
  <c r="H31" i="41"/>
  <c r="N27" i="41"/>
  <c r="P98" i="94"/>
  <c r="X23" i="94"/>
  <c r="Z23" i="94" s="1"/>
  <c r="N27" i="4"/>
  <c r="H31" i="4"/>
  <c r="D128" i="39"/>
  <c r="L32" i="39"/>
  <c r="N32" i="39" s="1"/>
  <c r="P90" i="95"/>
  <c r="X86" i="95"/>
  <c r="Z86" i="95" s="1"/>
  <c r="L27" i="32"/>
  <c r="D31" i="32"/>
  <c r="H66" i="60"/>
  <c r="L58" i="91"/>
  <c r="N58" i="91" s="1"/>
  <c r="D62" i="91"/>
  <c r="Z27" i="31"/>
  <c r="T31" i="31"/>
  <c r="P91" i="92"/>
  <c r="X23" i="92"/>
  <c r="Z23" i="92" s="1"/>
  <c r="Z27" i="29"/>
  <c r="T31" i="29"/>
  <c r="T82" i="82"/>
  <c r="T92" i="33"/>
  <c r="V88" i="33"/>
  <c r="N27" i="28"/>
  <c r="H31" i="28"/>
  <c r="X78" i="82"/>
  <c r="Z78" i="82" s="1"/>
  <c r="L27" i="13"/>
  <c r="D31" i="13"/>
  <c r="D95" i="92"/>
  <c r="L91" i="92"/>
  <c r="N91" i="92" s="1"/>
  <c r="F91" i="92"/>
  <c r="L27" i="50"/>
  <c r="D31" i="50"/>
  <c r="H107" i="62"/>
  <c r="D91" i="81"/>
  <c r="L87" i="81"/>
  <c r="N87" i="81" s="1"/>
  <c r="D31" i="7"/>
  <c r="L27" i="7"/>
  <c r="T31" i="17"/>
  <c r="Z27" i="17"/>
  <c r="T98" i="79"/>
  <c r="P60" i="88"/>
  <c r="X56" i="88"/>
  <c r="Z56" i="88" s="1"/>
  <c r="L27" i="10"/>
  <c r="D31" i="10"/>
  <c r="N27" i="46"/>
  <c r="H31" i="46"/>
  <c r="P78" i="59"/>
  <c r="H31" i="20"/>
  <c r="N27" i="20"/>
  <c r="N74" i="57"/>
  <c r="H78" i="57"/>
  <c r="D74" i="74"/>
  <c r="L70" i="74"/>
  <c r="H36" i="80"/>
  <c r="Z27" i="8"/>
  <c r="T31" i="8"/>
  <c r="Z27" i="47"/>
  <c r="T31" i="47"/>
  <c r="H240" i="12"/>
  <c r="J236" i="12"/>
  <c r="H65" i="91"/>
  <c r="H82" i="48"/>
  <c r="J79" i="48"/>
  <c r="P85" i="82"/>
  <c r="Z27" i="19"/>
  <c r="T31" i="19"/>
  <c r="H79" i="97"/>
  <c r="L79" i="97" s="1"/>
  <c r="J75" i="97"/>
  <c r="T177" i="30"/>
  <c r="V173" i="30"/>
  <c r="Z22" i="54"/>
  <c r="T26" i="54"/>
  <c r="P254" i="18"/>
  <c r="X145" i="18"/>
  <c r="Z145" i="18" s="1"/>
  <c r="P31" i="26"/>
  <c r="X27" i="26"/>
  <c r="Z27" i="23"/>
  <c r="T31" i="23"/>
  <c r="N27" i="35"/>
  <c r="H31" i="35"/>
  <c r="P31" i="29"/>
  <c r="X27" i="29"/>
  <c r="V106" i="85"/>
  <c r="P31" i="99"/>
  <c r="X27" i="99"/>
  <c r="H96" i="64"/>
  <c r="J92" i="64"/>
  <c r="H102" i="94"/>
  <c r="J98" i="94"/>
  <c r="D278" i="3"/>
  <c r="L274" i="3"/>
  <c r="N274" i="3" s="1"/>
  <c r="F274" i="3"/>
  <c r="D82" i="82"/>
  <c r="L78" i="82"/>
  <c r="N78" i="82" s="1"/>
  <c r="Z27" i="22"/>
  <c r="T31" i="22"/>
  <c r="L27" i="47"/>
  <c r="D31" i="47"/>
  <c r="P78" i="57"/>
  <c r="X74" i="57"/>
  <c r="Z74" i="57" s="1"/>
  <c r="L27" i="29"/>
  <c r="D31" i="29"/>
  <c r="D109" i="21"/>
  <c r="L27" i="21"/>
  <c r="N27" i="21" s="1"/>
  <c r="X128" i="36"/>
  <c r="Z128" i="36" s="1"/>
  <c r="P132" i="36"/>
  <c r="R128" i="36"/>
  <c r="P155" i="69"/>
  <c r="X79" i="69"/>
  <c r="Z79" i="69" s="1"/>
  <c r="T31" i="96"/>
  <c r="Z31" i="96" s="1"/>
  <c r="Z28" i="96"/>
  <c r="T31" i="10"/>
  <c r="Z27" i="10"/>
  <c r="X27" i="37"/>
  <c r="P31" i="37"/>
  <c r="L27" i="52"/>
  <c r="D31" i="52"/>
  <c r="F32" i="39"/>
  <c r="Z27" i="14"/>
  <c r="T31" i="14"/>
  <c r="T113" i="21"/>
  <c r="V109" i="21"/>
  <c r="T132" i="39"/>
  <c r="V128" i="39"/>
  <c r="H28" i="96"/>
  <c r="N24" i="96"/>
  <c r="D83" i="73"/>
  <c r="L79" i="73"/>
  <c r="N79" i="73" s="1"/>
  <c r="T240" i="12"/>
  <c r="V236" i="12"/>
  <c r="L99" i="85"/>
  <c r="D103" i="85"/>
  <c r="F99" i="85"/>
  <c r="T31" i="28"/>
  <c r="Z27" i="28"/>
  <c r="T99" i="64"/>
  <c r="V96" i="64"/>
  <c r="H112" i="71"/>
  <c r="J108" i="71"/>
  <c r="D90" i="95"/>
  <c r="L86" i="95"/>
  <c r="N86" i="95" s="1"/>
  <c r="L27" i="16"/>
  <c r="D31" i="16"/>
  <c r="X28" i="70"/>
  <c r="Z28" i="70" s="1"/>
  <c r="P85" i="70"/>
  <c r="L40" i="90"/>
  <c r="D44" i="90"/>
  <c r="P31" i="5"/>
  <c r="X27" i="5"/>
  <c r="P26" i="6"/>
  <c r="X22" i="6"/>
  <c r="D78" i="67"/>
  <c r="L74" i="67"/>
  <c r="N74" i="67" s="1"/>
  <c r="H124" i="66"/>
  <c r="J120" i="66"/>
  <c r="P31" i="14"/>
  <c r="X27" i="14"/>
  <c r="H95" i="33"/>
  <c r="J92" i="33"/>
  <c r="T132" i="36"/>
  <c r="V128" i="36"/>
  <c r="H84" i="83"/>
  <c r="X27" i="53"/>
  <c r="P31" i="53"/>
  <c r="N27" i="5"/>
  <c r="H31" i="5"/>
  <c r="L35" i="64"/>
  <c r="N35" i="64" s="1"/>
  <c r="D92" i="64"/>
  <c r="L27" i="19"/>
  <c r="D31" i="19"/>
  <c r="P31" i="11"/>
  <c r="X27" i="11"/>
  <c r="H109" i="45"/>
  <c r="J106" i="45"/>
  <c r="N27" i="32"/>
  <c r="H31" i="32"/>
  <c r="H31" i="47"/>
  <c r="N27" i="47"/>
  <c r="N27" i="14"/>
  <c r="H31" i="14"/>
  <c r="H44" i="90"/>
  <c r="N40" i="90"/>
  <c r="N27" i="26"/>
  <c r="H31" i="26"/>
  <c r="X32" i="80"/>
  <c r="Z32" i="80" s="1"/>
  <c r="P36" i="80"/>
  <c r="T31" i="16"/>
  <c r="Z27" i="16"/>
  <c r="L27" i="44"/>
  <c r="D31" i="44"/>
  <c r="T124" i="66"/>
  <c r="V120" i="66"/>
  <c r="T60" i="88"/>
  <c r="L27" i="25"/>
  <c r="D31" i="25"/>
  <c r="L23" i="75"/>
  <c r="N23" i="75" s="1"/>
  <c r="D49" i="75"/>
  <c r="L27" i="99"/>
  <c r="D31" i="99"/>
  <c r="H162" i="69"/>
  <c r="J159" i="69"/>
  <c r="H85" i="82"/>
  <c r="L79" i="84"/>
  <c r="D83" i="84"/>
  <c r="T35" i="78"/>
  <c r="V31" i="78"/>
  <c r="T31" i="26"/>
  <c r="Z27" i="26"/>
  <c r="Z27" i="50"/>
  <c r="T31" i="50"/>
  <c r="P92" i="64"/>
  <c r="X35" i="64"/>
  <c r="Z35" i="64" s="1"/>
  <c r="L27" i="35"/>
  <c r="D31" i="35"/>
  <c r="P70" i="74"/>
  <c r="X19" i="74"/>
  <c r="H177" i="30"/>
  <c r="J173" i="30"/>
  <c r="D90" i="76"/>
  <c r="L21" i="76"/>
  <c r="N21" i="76" s="1"/>
  <c r="H31" i="11"/>
  <c r="N27" i="11"/>
  <c r="H31" i="44"/>
  <c r="N27" i="44"/>
  <c r="T37" i="89"/>
  <c r="N27" i="22"/>
  <c r="H31" i="22"/>
  <c r="P31" i="4"/>
  <c r="X27" i="4"/>
  <c r="X125" i="12"/>
  <c r="Z125" i="12" s="1"/>
  <c r="P236" i="12"/>
  <c r="T79" i="48"/>
  <c r="V75" i="48"/>
  <c r="H95" i="79"/>
  <c r="Z27" i="41"/>
  <c r="T31" i="41"/>
  <c r="H31" i="50"/>
  <c r="N27" i="50"/>
  <c r="Z27" i="7"/>
  <c r="T31" i="7"/>
  <c r="L27" i="22"/>
  <c r="D31" i="22"/>
  <c r="D35" i="78"/>
  <c r="L31" i="78"/>
  <c r="N31" i="78" s="1"/>
  <c r="F31" i="78"/>
  <c r="D31" i="28"/>
  <c r="L27" i="28"/>
  <c r="Z110" i="62"/>
  <c r="Z27" i="13"/>
  <c r="T31" i="13"/>
  <c r="X27" i="98"/>
  <c r="P31" i="98"/>
  <c r="D84" i="56"/>
  <c r="L80" i="56"/>
  <c r="N80" i="56" s="1"/>
  <c r="X27" i="49"/>
  <c r="P31" i="49"/>
  <c r="N27" i="7"/>
  <c r="H31" i="7"/>
  <c r="X27" i="10"/>
  <c r="P31" i="10"/>
  <c r="T128" i="27"/>
  <c r="V125" i="27"/>
  <c r="D89" i="70"/>
  <c r="L85" i="70"/>
  <c r="N85" i="70" s="1"/>
  <c r="F85" i="70"/>
  <c r="T84" i="83"/>
  <c r="Z27" i="32"/>
  <c r="T31" i="32"/>
  <c r="T31" i="99"/>
  <c r="Z27" i="99"/>
  <c r="P66" i="65"/>
  <c r="X18" i="65"/>
  <c r="Z18" i="65" s="1"/>
  <c r="T79" i="97"/>
  <c r="V75" i="97"/>
  <c r="X27" i="52"/>
  <c r="P31" i="52"/>
  <c r="L28" i="87"/>
  <c r="D32" i="87"/>
  <c r="F28" i="87"/>
  <c r="P31" i="22"/>
  <c r="X27" i="22"/>
  <c r="L63" i="60"/>
  <c r="N63" i="60" s="1"/>
  <c r="D66" i="60"/>
  <c r="H31" i="25"/>
  <c r="N27" i="25"/>
  <c r="H84" i="56"/>
  <c r="L27" i="41"/>
  <c r="D31" i="41"/>
  <c r="J135" i="36"/>
  <c r="T112" i="51"/>
  <c r="V108" i="51"/>
  <c r="H74" i="74"/>
  <c r="N70" i="74"/>
  <c r="N27" i="40"/>
  <c r="H31" i="40"/>
  <c r="Z27" i="52"/>
  <c r="T31" i="52"/>
  <c r="D236" i="12"/>
  <c r="L125" i="12"/>
  <c r="N125" i="12" s="1"/>
  <c r="R49" i="51"/>
  <c r="L103" i="62"/>
  <c r="N103" i="62" s="1"/>
  <c r="D107" i="62"/>
  <c r="T91" i="81"/>
  <c r="L27" i="26"/>
  <c r="D31" i="26"/>
  <c r="H31" i="8"/>
  <c r="N27" i="8"/>
  <c r="H128" i="42"/>
  <c r="J125" i="42"/>
  <c r="T36" i="80"/>
  <c r="D98" i="94"/>
  <c r="L23" i="94"/>
  <c r="N23" i="94" s="1"/>
  <c r="T81" i="57"/>
  <c r="P84" i="83"/>
  <c r="X80" i="83"/>
  <c r="Z80" i="83" s="1"/>
  <c r="T236" i="15"/>
  <c r="V233" i="15"/>
  <c r="H64" i="61"/>
  <c r="L64" i="61" s="1"/>
  <c r="H98" i="92"/>
  <c r="J95" i="92"/>
  <c r="H116" i="21"/>
  <c r="J113" i="21"/>
  <c r="L24" i="93"/>
  <c r="D28" i="93"/>
  <c r="L32" i="80"/>
  <c r="N32" i="80" s="1"/>
  <c r="D36" i="80"/>
  <c r="P53" i="75"/>
  <c r="X49" i="75"/>
  <c r="Z49" i="75" s="1"/>
  <c r="R49" i="75"/>
  <c r="T261" i="18"/>
  <c r="V258" i="18"/>
  <c r="V93" i="95"/>
  <c r="N27" i="19"/>
  <c r="H31" i="19"/>
  <c r="L27" i="100"/>
  <c r="D31" i="100"/>
  <c r="N27" i="100"/>
  <c r="H31" i="100"/>
  <c r="Z67" i="61"/>
  <c r="N27" i="34"/>
  <c r="H31" i="34"/>
  <c r="H93" i="95"/>
  <c r="J90" i="95"/>
  <c r="D31" i="14"/>
  <c r="L27" i="14"/>
  <c r="L27" i="4"/>
  <c r="D31" i="4"/>
  <c r="N27" i="38"/>
  <c r="H31" i="38"/>
  <c r="R26" i="42"/>
  <c r="H31" i="37"/>
  <c r="N27" i="37"/>
  <c r="Z27" i="100"/>
  <c r="T31" i="100"/>
  <c r="P78" i="67"/>
  <c r="X74" i="67"/>
  <c r="Z74" i="67" s="1"/>
  <c r="H60" i="88"/>
  <c r="L27" i="11"/>
  <c r="D31" i="11"/>
  <c r="X27" i="38"/>
  <c r="P31" i="38"/>
  <c r="R80" i="30"/>
  <c r="Z27" i="35"/>
  <c r="T31" i="35"/>
  <c r="D173" i="30"/>
  <c r="L80" i="30"/>
  <c r="N80" i="30" s="1"/>
  <c r="P34" i="89"/>
  <c r="X30" i="89"/>
  <c r="Z30" i="89" s="1"/>
  <c r="X87" i="81"/>
  <c r="Z87" i="81" s="1"/>
  <c r="P91" i="81"/>
  <c r="T106" i="45"/>
  <c r="V102" i="45"/>
  <c r="P31" i="23"/>
  <c r="X27" i="23"/>
  <c r="X22" i="54"/>
  <c r="P26" i="54"/>
  <c r="T78" i="67"/>
  <c r="V74" i="67"/>
  <c r="T47" i="90"/>
  <c r="R23" i="94"/>
  <c r="T159" i="69"/>
  <c r="V155" i="69"/>
  <c r="P62" i="91"/>
  <c r="X58" i="91"/>
  <c r="X45" i="77"/>
  <c r="Z45" i="77" s="1"/>
  <c r="P123" i="77"/>
  <c r="T86" i="84"/>
  <c r="N27" i="98"/>
  <c r="H31" i="98"/>
  <c r="Z27" i="40"/>
  <c r="T31" i="40"/>
  <c r="R125" i="12"/>
  <c r="H93" i="86"/>
  <c r="X96" i="24"/>
  <c r="Z96" i="24" s="1"/>
  <c r="P100" i="24"/>
  <c r="R96" i="24"/>
  <c r="N27" i="16"/>
  <c r="H31" i="16"/>
  <c r="H31" i="52"/>
  <c r="N27" i="52"/>
  <c r="Z63" i="60"/>
  <c r="T66" i="60"/>
  <c r="P31" i="31"/>
  <c r="X27" i="31"/>
  <c r="L27" i="20"/>
  <c r="D31" i="20"/>
  <c r="L27" i="34"/>
  <c r="D31" i="34"/>
  <c r="P88" i="33"/>
  <c r="X30" i="33"/>
  <c r="Z30" i="33" s="1"/>
  <c r="X27" i="7"/>
  <c r="P31" i="7"/>
  <c r="P79" i="84"/>
  <c r="X21" i="84"/>
  <c r="L27" i="38"/>
  <c r="D31" i="38"/>
  <c r="V53" i="75"/>
  <c r="T56" i="75"/>
  <c r="D80" i="83"/>
  <c r="L19" i="83"/>
  <c r="P28" i="93"/>
  <c r="X24" i="93"/>
  <c r="N27" i="17"/>
  <c r="H31" i="17"/>
  <c r="Z27" i="43"/>
  <c r="T31" i="43"/>
  <c r="T31" i="20"/>
  <c r="Z27" i="20"/>
  <c r="D31" i="46"/>
  <c r="L27" i="46"/>
  <c r="Z27" i="49"/>
  <c r="T31" i="49"/>
  <c r="L27" i="98"/>
  <c r="D31" i="98"/>
  <c r="N28" i="87"/>
  <c r="H32" i="87"/>
  <c r="N33" i="55"/>
  <c r="H37" i="55"/>
  <c r="T83" i="73"/>
  <c r="V79" i="73"/>
  <c r="T28" i="93"/>
  <c r="Z24" i="93"/>
  <c r="D254" i="18"/>
  <c r="L145" i="18"/>
  <c r="N145" i="18" s="1"/>
  <c r="T37" i="55"/>
  <c r="Z33" i="55"/>
  <c r="T70" i="65"/>
  <c r="V66" i="65"/>
  <c r="T74" i="74"/>
  <c r="D31" i="37"/>
  <c r="L27" i="37"/>
  <c r="D82" i="97"/>
  <c r="F79" i="97"/>
  <c r="X27" i="32"/>
  <c r="P31" i="32"/>
  <c r="T75" i="59"/>
  <c r="Z71" i="59"/>
  <c r="P31" i="19"/>
  <c r="X27" i="19"/>
  <c r="L60" i="61"/>
  <c r="N60" i="61" s="1"/>
  <c r="T32" i="87"/>
  <c r="Z28" i="87"/>
  <c r="X27" i="20"/>
  <c r="P31" i="20"/>
  <c r="P31" i="100"/>
  <c r="X27" i="100"/>
  <c r="D31" i="53"/>
  <c r="L27" i="53"/>
  <c r="F54" i="66"/>
  <c r="P79" i="73"/>
  <c r="X22" i="73"/>
  <c r="Z22" i="73" s="1"/>
  <c r="N22" i="6"/>
  <c r="H26" i="6"/>
  <c r="D91" i="79"/>
  <c r="L20" i="79"/>
  <c r="X27" i="47"/>
  <c r="P31" i="47"/>
  <c r="L30" i="33"/>
  <c r="N30" i="33" s="1"/>
  <c r="D88" i="33"/>
  <c r="X103" i="9"/>
  <c r="Z103" i="9" s="1"/>
  <c r="P107" i="9"/>
  <c r="H26" i="54"/>
  <c r="N22" i="54"/>
  <c r="J96" i="24"/>
  <c r="H100" i="24"/>
  <c r="X49" i="71"/>
  <c r="Z49" i="71" s="1"/>
  <c r="P108" i="71"/>
  <c r="P44" i="90"/>
  <c r="X40" i="90"/>
  <c r="Z40" i="90" s="1"/>
  <c r="X75" i="48"/>
  <c r="Z75" i="48" s="1"/>
  <c r="P79" i="48"/>
  <c r="R75" i="48"/>
  <c r="Z76" i="58"/>
  <c r="T80" i="58"/>
  <c r="X80" i="58" s="1"/>
  <c r="P120" i="66"/>
  <c r="X54" i="66"/>
  <c r="Z54" i="66" s="1"/>
  <c r="D108" i="71"/>
  <c r="L49" i="71"/>
  <c r="N49" i="71" s="1"/>
  <c r="N27" i="10"/>
  <c r="H31" i="10"/>
  <c r="L96" i="24"/>
  <c r="N96" i="24" s="1"/>
  <c r="D100" i="24"/>
  <c r="V128" i="42"/>
  <c r="H103" i="85"/>
  <c r="N99" i="85"/>
  <c r="J99" i="85"/>
  <c r="L24" i="96"/>
  <c r="D28" i="96"/>
  <c r="L27" i="17"/>
  <c r="D31" i="17"/>
  <c r="T31" i="34"/>
  <c r="Z27" i="34"/>
  <c r="R32" i="39"/>
  <c r="T90" i="86"/>
  <c r="Z86" i="86"/>
  <c r="L103" i="9"/>
  <c r="N103" i="9" s="1"/>
  <c r="D107" i="9"/>
  <c r="H278" i="3"/>
  <c r="J274" i="3"/>
  <c r="D128" i="36"/>
  <c r="L28" i="36"/>
  <c r="N28" i="36" s="1"/>
  <c r="L71" i="59"/>
  <c r="N71" i="59" s="1"/>
  <c r="D75" i="59"/>
  <c r="X90" i="76"/>
  <c r="Z90" i="76" s="1"/>
  <c r="P94" i="76"/>
  <c r="T95" i="92"/>
  <c r="V91" i="92"/>
  <c r="X27" i="35"/>
  <c r="P31" i="35"/>
  <c r="Z27" i="44"/>
  <c r="T31" i="44"/>
  <c r="D121" i="27"/>
  <c r="L55" i="27"/>
  <c r="N55" i="27" s="1"/>
  <c r="T278" i="3"/>
  <c r="V274" i="3"/>
  <c r="T102" i="94"/>
  <c r="V98" i="94"/>
  <c r="H31" i="29"/>
  <c r="N27" i="29"/>
  <c r="N27" i="99"/>
  <c r="H31" i="99"/>
  <c r="H132" i="39"/>
  <c r="J128" i="39"/>
  <c r="L75" i="97"/>
  <c r="N75" i="97" s="1"/>
  <c r="H233" i="15"/>
  <c r="J229" i="15"/>
  <c r="P31" i="13"/>
  <c r="X27" i="13"/>
  <c r="T100" i="24"/>
  <c r="V96" i="24"/>
  <c r="D67" i="61"/>
  <c r="N79" i="84"/>
  <c r="H83" i="84"/>
  <c r="X27" i="44"/>
  <c r="P31" i="44"/>
  <c r="P121" i="27"/>
  <c r="X55" i="27"/>
  <c r="Z55" i="27" s="1"/>
  <c r="T89" i="70"/>
  <c r="V85" i="70"/>
  <c r="P31" i="34"/>
  <c r="X27" i="34"/>
  <c r="L27" i="8"/>
  <c r="D31" i="8"/>
  <c r="L27" i="40"/>
  <c r="D31" i="40"/>
  <c r="L22" i="6"/>
  <c r="D26" i="6"/>
  <c r="T62" i="91"/>
  <c r="Z58" i="91"/>
  <c r="N27" i="43"/>
  <c r="H31" i="43"/>
  <c r="L102" i="45"/>
  <c r="N102" i="45" s="1"/>
  <c r="D106" i="45"/>
  <c r="F102" i="45"/>
  <c r="L27" i="31"/>
  <c r="D31" i="31"/>
  <c r="T26" i="6"/>
  <c r="Z22" i="6"/>
  <c r="D121" i="42"/>
  <c r="L26" i="42"/>
  <c r="N26" i="42" s="1"/>
  <c r="X99" i="85"/>
  <c r="Z99" i="85" s="1"/>
  <c r="P103" i="85"/>
  <c r="R99" i="85"/>
  <c r="L56" i="88"/>
  <c r="N56" i="88" s="1"/>
  <c r="D60" i="88"/>
  <c r="P36" i="19" l="1"/>
  <c r="X31" i="19"/>
  <c r="X62" i="91"/>
  <c r="P65" i="91"/>
  <c r="T87" i="83"/>
  <c r="Z31" i="16"/>
  <c r="T36" i="16"/>
  <c r="Z36" i="16" s="1"/>
  <c r="L31" i="50"/>
  <c r="D36" i="50"/>
  <c r="L34" i="89"/>
  <c r="N34" i="89" s="1"/>
  <c r="D37" i="89"/>
  <c r="H106" i="85"/>
  <c r="J103" i="85"/>
  <c r="H31" i="54"/>
  <c r="N26" i="54"/>
  <c r="P83" i="73"/>
  <c r="X79" i="73"/>
  <c r="Z79" i="73" s="1"/>
  <c r="R79" i="73"/>
  <c r="T77" i="74"/>
  <c r="X100" i="24"/>
  <c r="Z100" i="24" s="1"/>
  <c r="P103" i="24"/>
  <c r="R100" i="24"/>
  <c r="X26" i="54"/>
  <c r="P31" i="54"/>
  <c r="D177" i="30"/>
  <c r="L173" i="30"/>
  <c r="N173" i="30" s="1"/>
  <c r="F173" i="30"/>
  <c r="D36" i="14"/>
  <c r="L31" i="14"/>
  <c r="L32" i="87"/>
  <c r="D35" i="87"/>
  <c r="F32" i="87"/>
  <c r="D36" i="28"/>
  <c r="L31" i="28"/>
  <c r="L31" i="99"/>
  <c r="D36" i="99"/>
  <c r="H36" i="47"/>
  <c r="N36" i="47" s="1"/>
  <c r="N31" i="47"/>
  <c r="N31" i="5"/>
  <c r="H36" i="5"/>
  <c r="N36" i="5" s="1"/>
  <c r="N28" i="96"/>
  <c r="H31" i="96"/>
  <c r="N31" i="96" s="1"/>
  <c r="X31" i="37"/>
  <c r="P36" i="37"/>
  <c r="D113" i="21"/>
  <c r="L109" i="21"/>
  <c r="N109" i="21" s="1"/>
  <c r="F109" i="21"/>
  <c r="J82" i="48"/>
  <c r="L31" i="10"/>
  <c r="D36" i="10"/>
  <c r="H110" i="62"/>
  <c r="X98" i="94"/>
  <c r="Z98" i="94" s="1"/>
  <c r="P102" i="94"/>
  <c r="R98" i="94"/>
  <c r="X90" i="86"/>
  <c r="P93" i="86"/>
  <c r="H37" i="89"/>
  <c r="X31" i="50"/>
  <c r="P36" i="50"/>
  <c r="N31" i="49"/>
  <c r="H36" i="49"/>
  <c r="N36" i="49" s="1"/>
  <c r="P40" i="55"/>
  <c r="X37" i="55"/>
  <c r="P283" i="3"/>
  <c r="X278" i="3"/>
  <c r="R278" i="3"/>
  <c r="X31" i="28"/>
  <c r="P36" i="28"/>
  <c r="P109" i="45"/>
  <c r="X106" i="45"/>
  <c r="Z106" i="45" s="1"/>
  <c r="R106" i="45"/>
  <c r="X94" i="76"/>
  <c r="P97" i="76"/>
  <c r="Z31" i="43"/>
  <c r="T36" i="43"/>
  <c r="Z36" i="43" s="1"/>
  <c r="T36" i="100"/>
  <c r="Z36" i="100" s="1"/>
  <c r="Z31" i="100"/>
  <c r="Z31" i="52"/>
  <c r="T36" i="52"/>
  <c r="Z36" i="52" s="1"/>
  <c r="H36" i="41"/>
  <c r="N36" i="41" s="1"/>
  <c r="N31" i="41"/>
  <c r="H92" i="70"/>
  <c r="J89" i="70"/>
  <c r="L31" i="5"/>
  <c r="D36" i="5"/>
  <c r="L60" i="88"/>
  <c r="D63" i="88"/>
  <c r="D109" i="45"/>
  <c r="L106" i="45"/>
  <c r="N106" i="45" s="1"/>
  <c r="F106" i="45"/>
  <c r="T98" i="92"/>
  <c r="V95" i="92"/>
  <c r="X107" i="9"/>
  <c r="Z107" i="9" s="1"/>
  <c r="P110" i="9"/>
  <c r="T86" i="73"/>
  <c r="V83" i="73"/>
  <c r="T36" i="20"/>
  <c r="Z36" i="20" s="1"/>
  <c r="Z31" i="20"/>
  <c r="L31" i="38"/>
  <c r="D36" i="38"/>
  <c r="Z31" i="35"/>
  <c r="T36" i="35"/>
  <c r="Z36" i="35" s="1"/>
  <c r="P81" i="67"/>
  <c r="X78" i="67"/>
  <c r="Z78" i="67" s="1"/>
  <c r="N31" i="19"/>
  <c r="H36" i="19"/>
  <c r="N36" i="19" s="1"/>
  <c r="D31" i="93"/>
  <c r="L28" i="93"/>
  <c r="V236" i="15"/>
  <c r="L236" i="12"/>
  <c r="N236" i="12" s="1"/>
  <c r="D240" i="12"/>
  <c r="F236" i="12"/>
  <c r="L31" i="41"/>
  <c r="D36" i="41"/>
  <c r="X31" i="49"/>
  <c r="P36" i="49"/>
  <c r="H98" i="79"/>
  <c r="T36" i="26"/>
  <c r="Z36" i="26" s="1"/>
  <c r="Z31" i="26"/>
  <c r="N31" i="32"/>
  <c r="H36" i="32"/>
  <c r="N36" i="32" s="1"/>
  <c r="P36" i="14"/>
  <c r="X31" i="14"/>
  <c r="X85" i="70"/>
  <c r="Z85" i="70" s="1"/>
  <c r="P89" i="70"/>
  <c r="R85" i="70"/>
  <c r="L31" i="29"/>
  <c r="D36" i="29"/>
  <c r="L278" i="3"/>
  <c r="D283" i="3"/>
  <c r="F278" i="3"/>
  <c r="P36" i="29"/>
  <c r="X31" i="29"/>
  <c r="T180" i="30"/>
  <c r="V177" i="30"/>
  <c r="D77" i="74"/>
  <c r="L74" i="74"/>
  <c r="D83" i="58"/>
  <c r="L80" i="58"/>
  <c r="X31" i="41"/>
  <c r="P36" i="41"/>
  <c r="P36" i="17"/>
  <c r="X31" i="17"/>
  <c r="N31" i="53"/>
  <c r="H36" i="53"/>
  <c r="N36" i="53" s="1"/>
  <c r="T36" i="38"/>
  <c r="Z36" i="38" s="1"/>
  <c r="Z31" i="38"/>
  <c r="P36" i="34"/>
  <c r="X31" i="34"/>
  <c r="T36" i="28"/>
  <c r="Z36" i="28" s="1"/>
  <c r="Z31" i="28"/>
  <c r="H135" i="39"/>
  <c r="J132" i="39"/>
  <c r="L35" i="78"/>
  <c r="N35" i="78" s="1"/>
  <c r="D38" i="78"/>
  <c r="F35" i="78"/>
  <c r="D73" i="65"/>
  <c r="L70" i="65"/>
  <c r="X103" i="85"/>
  <c r="Z103" i="85" s="1"/>
  <c r="P106" i="85"/>
  <c r="R103" i="85"/>
  <c r="T92" i="70"/>
  <c r="V89" i="70"/>
  <c r="D78" i="59"/>
  <c r="L75" i="59"/>
  <c r="N75" i="59" s="1"/>
  <c r="Z75" i="59"/>
  <c r="T78" i="59"/>
  <c r="N32" i="87"/>
  <c r="H35" i="87"/>
  <c r="N35" i="87" s="1"/>
  <c r="N31" i="17"/>
  <c r="H36" i="17"/>
  <c r="N36" i="17" s="1"/>
  <c r="P83" i="84"/>
  <c r="X79" i="84"/>
  <c r="Z79" i="84" s="1"/>
  <c r="R79" i="84"/>
  <c r="P36" i="31"/>
  <c r="X31" i="31"/>
  <c r="N31" i="34"/>
  <c r="H36" i="34"/>
  <c r="N36" i="34" s="1"/>
  <c r="J116" i="21"/>
  <c r="H36" i="8"/>
  <c r="N36" i="8" s="1"/>
  <c r="N31" i="8"/>
  <c r="N31" i="40"/>
  <c r="H36" i="40"/>
  <c r="N36" i="40" s="1"/>
  <c r="H87" i="56"/>
  <c r="D87" i="56"/>
  <c r="L84" i="56"/>
  <c r="N84" i="56" s="1"/>
  <c r="L31" i="22"/>
  <c r="D36" i="22"/>
  <c r="T82" i="48"/>
  <c r="V79" i="48"/>
  <c r="H36" i="44"/>
  <c r="N36" i="44" s="1"/>
  <c r="N31" i="44"/>
  <c r="T38" i="78"/>
  <c r="V35" i="78"/>
  <c r="L31" i="25"/>
  <c r="D36" i="25"/>
  <c r="H87" i="83"/>
  <c r="H127" i="66"/>
  <c r="J124" i="66"/>
  <c r="L103" i="85"/>
  <c r="N103" i="85" s="1"/>
  <c r="D106" i="85"/>
  <c r="F103" i="85"/>
  <c r="X78" i="57"/>
  <c r="Z78" i="57" s="1"/>
  <c r="P81" i="57"/>
  <c r="X81" i="57" s="1"/>
  <c r="Z81" i="57" s="1"/>
  <c r="Z31" i="23"/>
  <c r="T36" i="23"/>
  <c r="Z36" i="23" s="1"/>
  <c r="N79" i="97"/>
  <c r="H82" i="97"/>
  <c r="L82" i="97" s="1"/>
  <c r="J79" i="97"/>
  <c r="H243" i="12"/>
  <c r="J240" i="12"/>
  <c r="H86" i="73"/>
  <c r="J83" i="73"/>
  <c r="X31" i="40"/>
  <c r="P36" i="40"/>
  <c r="X32" i="87"/>
  <c r="P35" i="87"/>
  <c r="R32" i="87"/>
  <c r="T130" i="77"/>
  <c r="V127" i="77"/>
  <c r="L229" i="15"/>
  <c r="N229" i="15" s="1"/>
  <c r="D233" i="15"/>
  <c r="F229" i="15"/>
  <c r="X108" i="51"/>
  <c r="Z108" i="51" s="1"/>
  <c r="P112" i="51"/>
  <c r="R108" i="51"/>
  <c r="N28" i="93"/>
  <c r="H31" i="93"/>
  <c r="N31" i="93" s="1"/>
  <c r="X79" i="48"/>
  <c r="Z79" i="48" s="1"/>
  <c r="P82" i="48"/>
  <c r="R79" i="48"/>
  <c r="J128" i="42"/>
  <c r="D53" i="75"/>
  <c r="L49" i="75"/>
  <c r="N49" i="75" s="1"/>
  <c r="F49" i="75"/>
  <c r="N31" i="35"/>
  <c r="H36" i="35"/>
  <c r="N36" i="35" s="1"/>
  <c r="T135" i="39"/>
  <c r="V132" i="39"/>
  <c r="T85" i="82"/>
  <c r="T110" i="9"/>
  <c r="H73" i="65"/>
  <c r="N73" i="65" s="1"/>
  <c r="N70" i="65"/>
  <c r="N31" i="99"/>
  <c r="H36" i="99"/>
  <c r="N36" i="99" s="1"/>
  <c r="Z31" i="34"/>
  <c r="T36" i="34"/>
  <c r="Z36" i="34" s="1"/>
  <c r="N31" i="10"/>
  <c r="H36" i="10"/>
  <c r="N36" i="10" s="1"/>
  <c r="P47" i="90"/>
  <c r="X47" i="90" s="1"/>
  <c r="Z47" i="90" s="1"/>
  <c r="X44" i="90"/>
  <c r="Z44" i="90" s="1"/>
  <c r="X31" i="47"/>
  <c r="P36" i="47"/>
  <c r="D36" i="53"/>
  <c r="L31" i="53"/>
  <c r="X31" i="32"/>
  <c r="P36" i="32"/>
  <c r="X31" i="7"/>
  <c r="P36" i="7"/>
  <c r="Z31" i="40"/>
  <c r="T36" i="40"/>
  <c r="Z36" i="40" s="1"/>
  <c r="T162" i="69"/>
  <c r="V159" i="69"/>
  <c r="H36" i="37"/>
  <c r="N36" i="37" s="1"/>
  <c r="N31" i="37"/>
  <c r="L31" i="26"/>
  <c r="D36" i="26"/>
  <c r="L89" i="70"/>
  <c r="N89" i="70" s="1"/>
  <c r="D92" i="70"/>
  <c r="F89" i="70"/>
  <c r="X66" i="60"/>
  <c r="Z66" i="60" s="1"/>
  <c r="P240" i="12"/>
  <c r="X236" i="12"/>
  <c r="Z236" i="12" s="1"/>
  <c r="R236" i="12"/>
  <c r="X70" i="74"/>
  <c r="Z70" i="74" s="1"/>
  <c r="P74" i="74"/>
  <c r="L83" i="84"/>
  <c r="N83" i="84" s="1"/>
  <c r="D86" i="84"/>
  <c r="N31" i="26"/>
  <c r="H36" i="26"/>
  <c r="N36" i="26" s="1"/>
  <c r="J109" i="45"/>
  <c r="V113" i="21"/>
  <c r="T116" i="21"/>
  <c r="L31" i="47"/>
  <c r="D36" i="47"/>
  <c r="H36" i="20"/>
  <c r="N36" i="20" s="1"/>
  <c r="N31" i="20"/>
  <c r="Z31" i="29"/>
  <c r="T36" i="29"/>
  <c r="Z36" i="29" s="1"/>
  <c r="P113" i="21"/>
  <c r="X109" i="21"/>
  <c r="Z109" i="21" s="1"/>
  <c r="R109" i="21"/>
  <c r="D90" i="86"/>
  <c r="L86" i="86"/>
  <c r="N86" i="86" s="1"/>
  <c r="Z31" i="98"/>
  <c r="T36" i="98"/>
  <c r="Z36" i="98" s="1"/>
  <c r="P98" i="79"/>
  <c r="X98" i="79" s="1"/>
  <c r="Z98" i="79" s="1"/>
  <c r="X95" i="79"/>
  <c r="Z95" i="79" s="1"/>
  <c r="L31" i="43"/>
  <c r="D36" i="43"/>
  <c r="H78" i="59"/>
  <c r="X31" i="52"/>
  <c r="P36" i="52"/>
  <c r="X31" i="53"/>
  <c r="P36" i="53"/>
  <c r="H81" i="57"/>
  <c r="N31" i="43"/>
  <c r="H36" i="43"/>
  <c r="N36" i="43" s="1"/>
  <c r="D92" i="33"/>
  <c r="L88" i="33"/>
  <c r="N88" i="33" s="1"/>
  <c r="F88" i="33"/>
  <c r="P36" i="23"/>
  <c r="X31" i="23"/>
  <c r="H180" i="30"/>
  <c r="J177" i="30"/>
  <c r="X36" i="80"/>
  <c r="Z36" i="80" s="1"/>
  <c r="P39" i="80"/>
  <c r="L31" i="16"/>
  <c r="D36" i="16"/>
  <c r="T36" i="10"/>
  <c r="Z36" i="10" s="1"/>
  <c r="Z31" i="10"/>
  <c r="H105" i="94"/>
  <c r="J102" i="94"/>
  <c r="X60" i="88"/>
  <c r="P63" i="88"/>
  <c r="N31" i="31"/>
  <c r="H36" i="31"/>
  <c r="N36" i="31" s="1"/>
  <c r="H94" i="81"/>
  <c r="Z62" i="91"/>
  <c r="T65" i="91"/>
  <c r="T103" i="24"/>
  <c r="V100" i="24"/>
  <c r="D125" i="27"/>
  <c r="L121" i="27"/>
  <c r="N121" i="27" s="1"/>
  <c r="F121" i="27"/>
  <c r="L31" i="17"/>
  <c r="D36" i="17"/>
  <c r="P112" i="71"/>
  <c r="X108" i="71"/>
  <c r="Z108" i="71" s="1"/>
  <c r="R108" i="71"/>
  <c r="Z37" i="55"/>
  <c r="T40" i="55"/>
  <c r="L31" i="98"/>
  <c r="D36" i="98"/>
  <c r="T109" i="45"/>
  <c r="V106" i="45"/>
  <c r="X31" i="38"/>
  <c r="P36" i="38"/>
  <c r="H36" i="25"/>
  <c r="N36" i="25" s="1"/>
  <c r="N31" i="25"/>
  <c r="T82" i="97"/>
  <c r="V79" i="97"/>
  <c r="X31" i="98"/>
  <c r="P36" i="98"/>
  <c r="Z31" i="7"/>
  <c r="T36" i="7"/>
  <c r="Z36" i="7" s="1"/>
  <c r="H36" i="11"/>
  <c r="N36" i="11" s="1"/>
  <c r="N31" i="11"/>
  <c r="L31" i="35"/>
  <c r="D36" i="35"/>
  <c r="D81" i="67"/>
  <c r="L81" i="67" s="1"/>
  <c r="N81" i="67" s="1"/>
  <c r="L78" i="67"/>
  <c r="N78" i="67" s="1"/>
  <c r="D93" i="95"/>
  <c r="L93" i="95" s="1"/>
  <c r="N93" i="95" s="1"/>
  <c r="L90" i="95"/>
  <c r="N90" i="95" s="1"/>
  <c r="H99" i="64"/>
  <c r="J96" i="64"/>
  <c r="Z31" i="19"/>
  <c r="T36" i="19"/>
  <c r="Z36" i="19" s="1"/>
  <c r="Z31" i="47"/>
  <c r="T36" i="47"/>
  <c r="Z36" i="47" s="1"/>
  <c r="D98" i="92"/>
  <c r="L95" i="92"/>
  <c r="N95" i="92" s="1"/>
  <c r="F95" i="92"/>
  <c r="P93" i="95"/>
  <c r="X93" i="95" s="1"/>
  <c r="Z93" i="95" s="1"/>
  <c r="X90" i="95"/>
  <c r="Z90" i="95" s="1"/>
  <c r="X173" i="30"/>
  <c r="Z173" i="30" s="1"/>
  <c r="P177" i="30"/>
  <c r="R173" i="30"/>
  <c r="L31" i="23"/>
  <c r="D36" i="23"/>
  <c r="T36" i="11"/>
  <c r="Z36" i="11" s="1"/>
  <c r="Z31" i="11"/>
  <c r="X31" i="43"/>
  <c r="P36" i="43"/>
  <c r="H56" i="75"/>
  <c r="J53" i="75"/>
  <c r="Z31" i="37"/>
  <c r="T36" i="37"/>
  <c r="Z36" i="37" s="1"/>
  <c r="L31" i="32"/>
  <c r="D36" i="32"/>
  <c r="P36" i="100"/>
  <c r="X31" i="100"/>
  <c r="P31" i="93"/>
  <c r="X28" i="93"/>
  <c r="N31" i="98"/>
  <c r="H36" i="98"/>
  <c r="N36" i="98" s="1"/>
  <c r="X91" i="81"/>
  <c r="Z91" i="81" s="1"/>
  <c r="P94" i="81"/>
  <c r="N31" i="38"/>
  <c r="H36" i="38"/>
  <c r="N36" i="38" s="1"/>
  <c r="N31" i="100"/>
  <c r="H36" i="100"/>
  <c r="N36" i="100" s="1"/>
  <c r="V261" i="18"/>
  <c r="T94" i="81"/>
  <c r="H77" i="74"/>
  <c r="N74" i="74"/>
  <c r="L66" i="60"/>
  <c r="N66" i="60" s="1"/>
  <c r="V128" i="27"/>
  <c r="Z60" i="88"/>
  <c r="T63" i="88"/>
  <c r="P36" i="11"/>
  <c r="X31" i="11"/>
  <c r="T243" i="12"/>
  <c r="V240" i="12"/>
  <c r="Z31" i="14"/>
  <c r="T36" i="14"/>
  <c r="Z36" i="14" s="1"/>
  <c r="P159" i="69"/>
  <c r="X155" i="69"/>
  <c r="Z155" i="69" s="1"/>
  <c r="R155" i="69"/>
  <c r="Z31" i="22"/>
  <c r="T36" i="22"/>
  <c r="Z36" i="22" s="1"/>
  <c r="P36" i="26"/>
  <c r="X31" i="26"/>
  <c r="T36" i="17"/>
  <c r="Z36" i="17" s="1"/>
  <c r="Z31" i="17"/>
  <c r="L31" i="13"/>
  <c r="D36" i="13"/>
  <c r="P31" i="96"/>
  <c r="X31" i="96" s="1"/>
  <c r="X28" i="96"/>
  <c r="L37" i="55"/>
  <c r="D40" i="55"/>
  <c r="H261" i="18"/>
  <c r="J258" i="18"/>
  <c r="X79" i="97"/>
  <c r="Z79" i="97" s="1"/>
  <c r="P82" i="97"/>
  <c r="R79" i="97"/>
  <c r="J130" i="77"/>
  <c r="T36" i="25"/>
  <c r="Z36" i="25" s="1"/>
  <c r="Z31" i="25"/>
  <c r="Z94" i="76"/>
  <c r="T97" i="76"/>
  <c r="V94" i="76"/>
  <c r="T95" i="33"/>
  <c r="V92" i="33"/>
  <c r="P36" i="13"/>
  <c r="X31" i="13"/>
  <c r="L91" i="79"/>
  <c r="N91" i="79" s="1"/>
  <c r="D95" i="79"/>
  <c r="L254" i="18"/>
  <c r="N254" i="18" s="1"/>
  <c r="D258" i="18"/>
  <c r="F254" i="18"/>
  <c r="X88" i="33"/>
  <c r="Z88" i="33" s="1"/>
  <c r="P92" i="33"/>
  <c r="R88" i="33"/>
  <c r="H36" i="52"/>
  <c r="N36" i="52" s="1"/>
  <c r="N31" i="52"/>
  <c r="L31" i="11"/>
  <c r="D36" i="11"/>
  <c r="J98" i="92"/>
  <c r="P70" i="65"/>
  <c r="X66" i="65"/>
  <c r="Z66" i="65" s="1"/>
  <c r="T36" i="13"/>
  <c r="Z36" i="13" s="1"/>
  <c r="Z31" i="13"/>
  <c r="P36" i="4"/>
  <c r="X31" i="4"/>
  <c r="H47" i="90"/>
  <c r="D36" i="19"/>
  <c r="L31" i="19"/>
  <c r="T135" i="36"/>
  <c r="V132" i="36"/>
  <c r="X26" i="6"/>
  <c r="P31" i="6"/>
  <c r="X85" i="82"/>
  <c r="Z31" i="8"/>
  <c r="T36" i="8"/>
  <c r="Z36" i="8" s="1"/>
  <c r="X78" i="59"/>
  <c r="P95" i="92"/>
  <c r="X91" i="92"/>
  <c r="Z91" i="92" s="1"/>
  <c r="R91" i="92"/>
  <c r="D132" i="39"/>
  <c r="L128" i="39"/>
  <c r="N128" i="39" s="1"/>
  <c r="F128" i="39"/>
  <c r="X31" i="8"/>
  <c r="P36" i="8"/>
  <c r="X31" i="46"/>
  <c r="P36" i="46"/>
  <c r="H110" i="9"/>
  <c r="L155" i="69"/>
  <c r="N155" i="69" s="1"/>
  <c r="D159" i="69"/>
  <c r="F155" i="69"/>
  <c r="L78" i="57"/>
  <c r="N78" i="57" s="1"/>
  <c r="Z90" i="86"/>
  <c r="T93" i="86"/>
  <c r="D124" i="66"/>
  <c r="L120" i="66"/>
  <c r="N120" i="66" s="1"/>
  <c r="F120" i="66"/>
  <c r="Z278" i="3"/>
  <c r="V278" i="3"/>
  <c r="T283" i="3"/>
  <c r="N31" i="23"/>
  <c r="H36" i="23"/>
  <c r="N36" i="23" s="1"/>
  <c r="P125" i="27"/>
  <c r="X121" i="27"/>
  <c r="Z121" i="27" s="1"/>
  <c r="R121" i="27"/>
  <c r="Z31" i="44"/>
  <c r="T36" i="44"/>
  <c r="Z36" i="44" s="1"/>
  <c r="H36" i="29"/>
  <c r="N36" i="29" s="1"/>
  <c r="N31" i="29"/>
  <c r="H103" i="24"/>
  <c r="J100" i="24"/>
  <c r="F82" i="97"/>
  <c r="Z26" i="6"/>
  <c r="T31" i="6"/>
  <c r="L31" i="40"/>
  <c r="D36" i="40"/>
  <c r="X31" i="35"/>
  <c r="P36" i="35"/>
  <c r="N26" i="6"/>
  <c r="H31" i="6"/>
  <c r="L80" i="83"/>
  <c r="N80" i="83" s="1"/>
  <c r="D84" i="83"/>
  <c r="L31" i="34"/>
  <c r="D36" i="34"/>
  <c r="N31" i="16"/>
  <c r="H36" i="16"/>
  <c r="N36" i="16" s="1"/>
  <c r="L31" i="4"/>
  <c r="D36" i="4"/>
  <c r="L31" i="100"/>
  <c r="D36" i="100"/>
  <c r="L98" i="94"/>
  <c r="N98" i="94" s="1"/>
  <c r="D102" i="94"/>
  <c r="F98" i="94"/>
  <c r="L107" i="62"/>
  <c r="N107" i="62" s="1"/>
  <c r="D110" i="62"/>
  <c r="T115" i="51"/>
  <c r="V112" i="51"/>
  <c r="X31" i="10"/>
  <c r="P36" i="10"/>
  <c r="H36" i="50"/>
  <c r="N36" i="50" s="1"/>
  <c r="N31" i="50"/>
  <c r="N31" i="22"/>
  <c r="H36" i="22"/>
  <c r="N36" i="22" s="1"/>
  <c r="P96" i="64"/>
  <c r="X92" i="64"/>
  <c r="Z92" i="64" s="1"/>
  <c r="R92" i="64"/>
  <c r="T127" i="66"/>
  <c r="V124" i="66"/>
  <c r="N31" i="14"/>
  <c r="H36" i="14"/>
  <c r="N36" i="14" s="1"/>
  <c r="H115" i="71"/>
  <c r="J112" i="71"/>
  <c r="X132" i="36"/>
  <c r="Z132" i="36" s="1"/>
  <c r="P135" i="36"/>
  <c r="R132" i="36"/>
  <c r="P36" i="99"/>
  <c r="X31" i="99"/>
  <c r="X254" i="18"/>
  <c r="Z254" i="18" s="1"/>
  <c r="P258" i="18"/>
  <c r="R254" i="18"/>
  <c r="X82" i="82"/>
  <c r="Z82" i="82" s="1"/>
  <c r="X75" i="59"/>
  <c r="D36" i="7"/>
  <c r="L31" i="7"/>
  <c r="Z31" i="31"/>
  <c r="T36" i="31"/>
  <c r="Z36" i="31" s="1"/>
  <c r="N31" i="4"/>
  <c r="H36" i="4"/>
  <c r="N36" i="4" s="1"/>
  <c r="D36" i="49"/>
  <c r="L31" i="49"/>
  <c r="L26" i="54"/>
  <c r="D31" i="54"/>
  <c r="L31" i="54" s="1"/>
  <c r="H83" i="58"/>
  <c r="N80" i="58"/>
  <c r="L81" i="57"/>
  <c r="H36" i="13"/>
  <c r="N36" i="13" s="1"/>
  <c r="N31" i="13"/>
  <c r="Z31" i="4"/>
  <c r="T36" i="4"/>
  <c r="Z36" i="4" s="1"/>
  <c r="L100" i="24"/>
  <c r="N100" i="24" s="1"/>
  <c r="D103" i="24"/>
  <c r="T73" i="65"/>
  <c r="V70" i="65"/>
  <c r="L26" i="6"/>
  <c r="D31" i="6"/>
  <c r="L31" i="6" s="1"/>
  <c r="X31" i="44"/>
  <c r="P36" i="44"/>
  <c r="L28" i="96"/>
  <c r="D31" i="96"/>
  <c r="L31" i="96" s="1"/>
  <c r="Z31" i="49"/>
  <c r="T36" i="49"/>
  <c r="Z36" i="49" s="1"/>
  <c r="L31" i="31"/>
  <c r="D36" i="31"/>
  <c r="H86" i="84"/>
  <c r="N278" i="3"/>
  <c r="H283" i="3"/>
  <c r="J278" i="3"/>
  <c r="X120" i="66"/>
  <c r="Z120" i="66" s="1"/>
  <c r="P124" i="66"/>
  <c r="R120" i="66"/>
  <c r="T31" i="93"/>
  <c r="Z31" i="93" s="1"/>
  <c r="Z28" i="93"/>
  <c r="V56" i="75"/>
  <c r="P37" i="89"/>
  <c r="X37" i="89" s="1"/>
  <c r="X34" i="89"/>
  <c r="Z34" i="89" s="1"/>
  <c r="H63" i="88"/>
  <c r="N60" i="88"/>
  <c r="P56" i="75"/>
  <c r="X53" i="75"/>
  <c r="Z53" i="75" s="1"/>
  <c r="R53" i="75"/>
  <c r="H67" i="61"/>
  <c r="L67" i="61" s="1"/>
  <c r="N64" i="61"/>
  <c r="P36" i="22"/>
  <c r="X31" i="22"/>
  <c r="T36" i="99"/>
  <c r="Z36" i="99" s="1"/>
  <c r="Z31" i="99"/>
  <c r="Z31" i="41"/>
  <c r="T36" i="41"/>
  <c r="Z36" i="41" s="1"/>
  <c r="D94" i="76"/>
  <c r="L90" i="76"/>
  <c r="N90" i="76" s="1"/>
  <c r="Z31" i="50"/>
  <c r="T36" i="50"/>
  <c r="Z36" i="50" s="1"/>
  <c r="J162" i="69"/>
  <c r="L92" i="64"/>
  <c r="N92" i="64" s="1"/>
  <c r="D96" i="64"/>
  <c r="J95" i="33"/>
  <c r="P36" i="5"/>
  <c r="X31" i="5"/>
  <c r="D86" i="73"/>
  <c r="L86" i="73" s="1"/>
  <c r="L83" i="73"/>
  <c r="N83" i="73" s="1"/>
  <c r="L31" i="52"/>
  <c r="D36" i="52"/>
  <c r="L82" i="82"/>
  <c r="N82" i="82" s="1"/>
  <c r="D85" i="82"/>
  <c r="L85" i="82" s="1"/>
  <c r="N85" i="82" s="1"/>
  <c r="Z26" i="54"/>
  <c r="T31" i="54"/>
  <c r="N31" i="46"/>
  <c r="H36" i="46"/>
  <c r="N36" i="46" s="1"/>
  <c r="N31" i="28"/>
  <c r="H36" i="28"/>
  <c r="N36" i="28" s="1"/>
  <c r="Z31" i="46"/>
  <c r="T36" i="46"/>
  <c r="Z36" i="46" s="1"/>
  <c r="P36" i="25"/>
  <c r="X31" i="25"/>
  <c r="P233" i="15"/>
  <c r="X229" i="15"/>
  <c r="Z229" i="15" s="1"/>
  <c r="R229" i="15"/>
  <c r="J38" i="78"/>
  <c r="T115" i="71"/>
  <c r="V112" i="71"/>
  <c r="X128" i="39"/>
  <c r="Z128" i="39" s="1"/>
  <c r="P132" i="39"/>
  <c r="R128" i="39"/>
  <c r="Z31" i="53"/>
  <c r="T36" i="53"/>
  <c r="Z36" i="53" s="1"/>
  <c r="N37" i="55"/>
  <c r="H40" i="55"/>
  <c r="J93" i="95"/>
  <c r="T87" i="56"/>
  <c r="X84" i="56"/>
  <c r="Z84" i="56" s="1"/>
  <c r="H128" i="27"/>
  <c r="J125" i="27"/>
  <c r="X84" i="83"/>
  <c r="Z84" i="83" s="1"/>
  <c r="P87" i="83"/>
  <c r="X87" i="83" s="1"/>
  <c r="L121" i="42"/>
  <c r="N121" i="42" s="1"/>
  <c r="D125" i="42"/>
  <c r="F121" i="42"/>
  <c r="D132" i="36"/>
  <c r="L128" i="36"/>
  <c r="N128" i="36" s="1"/>
  <c r="F128" i="36"/>
  <c r="L108" i="71"/>
  <c r="N108" i="71" s="1"/>
  <c r="D112" i="71"/>
  <c r="F108" i="71"/>
  <c r="X31" i="20"/>
  <c r="P36" i="20"/>
  <c r="L31" i="8"/>
  <c r="D36" i="8"/>
  <c r="H236" i="15"/>
  <c r="J233" i="15"/>
  <c r="T105" i="94"/>
  <c r="V102" i="94"/>
  <c r="L107" i="9"/>
  <c r="N107" i="9" s="1"/>
  <c r="D110" i="9"/>
  <c r="L110" i="9" s="1"/>
  <c r="Z80" i="58"/>
  <c r="T83" i="58"/>
  <c r="X83" i="58" s="1"/>
  <c r="T35" i="87"/>
  <c r="Z35" i="87" s="1"/>
  <c r="Z32" i="87"/>
  <c r="D36" i="37"/>
  <c r="L31" i="37"/>
  <c r="D36" i="46"/>
  <c r="L31" i="46"/>
  <c r="L31" i="20"/>
  <c r="D36" i="20"/>
  <c r="X123" i="77"/>
  <c r="Z123" i="77" s="1"/>
  <c r="P127" i="77"/>
  <c r="R123" i="77"/>
  <c r="T81" i="67"/>
  <c r="V78" i="67"/>
  <c r="L36" i="80"/>
  <c r="N36" i="80" s="1"/>
  <c r="D39" i="80"/>
  <c r="T39" i="80"/>
  <c r="Z31" i="32"/>
  <c r="T36" i="32"/>
  <c r="Z36" i="32" s="1"/>
  <c r="N31" i="7"/>
  <c r="H36" i="7"/>
  <c r="N36" i="7" s="1"/>
  <c r="Z37" i="89"/>
  <c r="L31" i="44"/>
  <c r="D36" i="44"/>
  <c r="D47" i="90"/>
  <c r="L44" i="90"/>
  <c r="N44" i="90" s="1"/>
  <c r="V99" i="64"/>
  <c r="H39" i="80"/>
  <c r="L91" i="81"/>
  <c r="N91" i="81" s="1"/>
  <c r="D94" i="81"/>
  <c r="L62" i="91"/>
  <c r="N62" i="91" s="1"/>
  <c r="D65" i="91"/>
  <c r="L65" i="91" s="1"/>
  <c r="N65" i="91" s="1"/>
  <c r="D112" i="51"/>
  <c r="L108" i="51"/>
  <c r="N108" i="51" s="1"/>
  <c r="F108" i="51"/>
  <c r="Z31" i="5"/>
  <c r="T36" i="5"/>
  <c r="Z36" i="5" s="1"/>
  <c r="P36" i="16"/>
  <c r="X31" i="16"/>
  <c r="X121" i="42"/>
  <c r="Z121" i="42" s="1"/>
  <c r="P125" i="42"/>
  <c r="R121" i="42"/>
  <c r="D127" i="77"/>
  <c r="L123" i="77"/>
  <c r="N123" i="77" s="1"/>
  <c r="F123" i="77"/>
  <c r="X35" i="78"/>
  <c r="Z35" i="78" s="1"/>
  <c r="P38" i="78"/>
  <c r="R35" i="78"/>
  <c r="L79" i="48"/>
  <c r="N79" i="48" s="1"/>
  <c r="D82" i="48"/>
  <c r="F79" i="48"/>
  <c r="L94" i="81" l="1"/>
  <c r="X36" i="98"/>
  <c r="L37" i="89"/>
  <c r="L78" i="59"/>
  <c r="X81" i="67"/>
  <c r="X63" i="88"/>
  <c r="Z63" i="88" s="1"/>
  <c r="L63" i="88"/>
  <c r="X40" i="55"/>
  <c r="Z40" i="55" s="1"/>
  <c r="L73" i="65"/>
  <c r="X97" i="76"/>
  <c r="Z97" i="76" s="1"/>
  <c r="L36" i="52"/>
  <c r="L36" i="41"/>
  <c r="X36" i="10"/>
  <c r="X36" i="35"/>
  <c r="X36" i="26"/>
  <c r="L36" i="20"/>
  <c r="L36" i="46"/>
  <c r="L36" i="37"/>
  <c r="L36" i="34"/>
  <c r="L36" i="100"/>
  <c r="X36" i="8"/>
  <c r="L36" i="26"/>
  <c r="L36" i="7"/>
  <c r="L36" i="16"/>
  <c r="L36" i="8"/>
  <c r="L36" i="31"/>
  <c r="X36" i="43"/>
  <c r="L36" i="35"/>
  <c r="X36" i="38"/>
  <c r="X36" i="32"/>
  <c r="L36" i="44"/>
  <c r="X36" i="20"/>
  <c r="L36" i="5"/>
  <c r="X36" i="22"/>
  <c r="L36" i="40"/>
  <c r="L36" i="98"/>
  <c r="L36" i="47"/>
  <c r="L36" i="32"/>
  <c r="X36" i="44"/>
  <c r="L36" i="11"/>
  <c r="X36" i="13"/>
  <c r="X36" i="11"/>
  <c r="X36" i="7"/>
  <c r="X135" i="36"/>
  <c r="R135" i="36"/>
  <c r="X96" i="64"/>
  <c r="Z96" i="64" s="1"/>
  <c r="P99" i="64"/>
  <c r="R96" i="64"/>
  <c r="J103" i="24"/>
  <c r="J56" i="75"/>
  <c r="V103" i="24"/>
  <c r="L36" i="43"/>
  <c r="L36" i="25"/>
  <c r="L38" i="78"/>
  <c r="N38" i="78" s="1"/>
  <c r="F38" i="78"/>
  <c r="X283" i="3"/>
  <c r="Z283" i="3" s="1"/>
  <c r="R283" i="3"/>
  <c r="X102" i="94"/>
  <c r="Z102" i="94" s="1"/>
  <c r="P105" i="94"/>
  <c r="R102" i="94"/>
  <c r="L35" i="87"/>
  <c r="F35" i="87"/>
  <c r="X125" i="42"/>
  <c r="Z125" i="42" s="1"/>
  <c r="P128" i="42"/>
  <c r="R125" i="42"/>
  <c r="P130" i="77"/>
  <c r="X127" i="77"/>
  <c r="Z127" i="77" s="1"/>
  <c r="R127" i="77"/>
  <c r="X36" i="25"/>
  <c r="X124" i="66"/>
  <c r="Z124" i="66" s="1"/>
  <c r="P127" i="66"/>
  <c r="R124" i="66"/>
  <c r="L102" i="94"/>
  <c r="N102" i="94" s="1"/>
  <c r="D105" i="94"/>
  <c r="F102" i="94"/>
  <c r="N31" i="6"/>
  <c r="N110" i="9"/>
  <c r="X82" i="97"/>
  <c r="Z82" i="97" s="1"/>
  <c r="R82" i="97"/>
  <c r="V82" i="97"/>
  <c r="D95" i="33"/>
  <c r="L92" i="33"/>
  <c r="N92" i="33" s="1"/>
  <c r="F92" i="33"/>
  <c r="L86" i="84"/>
  <c r="N86" i="84" s="1"/>
  <c r="X36" i="40"/>
  <c r="L87" i="56"/>
  <c r="L77" i="74"/>
  <c r="N77" i="74" s="1"/>
  <c r="X89" i="70"/>
  <c r="Z89" i="70" s="1"/>
  <c r="P92" i="70"/>
  <c r="R89" i="70"/>
  <c r="X36" i="49"/>
  <c r="X110" i="9"/>
  <c r="L36" i="50"/>
  <c r="V95" i="33"/>
  <c r="L98" i="92"/>
  <c r="N98" i="92" s="1"/>
  <c r="F98" i="92"/>
  <c r="X36" i="31"/>
  <c r="L82" i="48"/>
  <c r="N82" i="48" s="1"/>
  <c r="F82" i="48"/>
  <c r="X36" i="16"/>
  <c r="X87" i="56"/>
  <c r="Z87" i="56" s="1"/>
  <c r="N63" i="88"/>
  <c r="J283" i="3"/>
  <c r="D127" i="66"/>
  <c r="L124" i="66"/>
  <c r="N124" i="66" s="1"/>
  <c r="F124" i="66"/>
  <c r="X31" i="6"/>
  <c r="Z31" i="6" s="1"/>
  <c r="X36" i="4"/>
  <c r="P95" i="33"/>
  <c r="X92" i="33"/>
  <c r="Z92" i="33" s="1"/>
  <c r="R92" i="33"/>
  <c r="X31" i="93"/>
  <c r="P115" i="71"/>
  <c r="X112" i="71"/>
  <c r="Z112" i="71" s="1"/>
  <c r="R112" i="71"/>
  <c r="X39" i="80"/>
  <c r="Z39" i="80" s="1"/>
  <c r="N81" i="57"/>
  <c r="N86" i="73"/>
  <c r="J86" i="73"/>
  <c r="V92" i="70"/>
  <c r="X36" i="14"/>
  <c r="V98" i="92"/>
  <c r="L36" i="10"/>
  <c r="L36" i="14"/>
  <c r="X74" i="74"/>
  <c r="Z74" i="74" s="1"/>
  <c r="P77" i="74"/>
  <c r="X77" i="74" s="1"/>
  <c r="Z77" i="74" s="1"/>
  <c r="V105" i="94"/>
  <c r="X36" i="5"/>
  <c r="L36" i="4"/>
  <c r="J261" i="18"/>
  <c r="L36" i="17"/>
  <c r="L36" i="53"/>
  <c r="D56" i="75"/>
  <c r="L53" i="75"/>
  <c r="N53" i="75" s="1"/>
  <c r="F53" i="75"/>
  <c r="L233" i="15"/>
  <c r="N233" i="15" s="1"/>
  <c r="D236" i="15"/>
  <c r="F233" i="15"/>
  <c r="L106" i="85"/>
  <c r="N106" i="85" s="1"/>
  <c r="F106" i="85"/>
  <c r="J135" i="39"/>
  <c r="X36" i="17"/>
  <c r="J92" i="70"/>
  <c r="X36" i="50"/>
  <c r="X83" i="73"/>
  <c r="Z83" i="73" s="1"/>
  <c r="P86" i="73"/>
  <c r="R83" i="73"/>
  <c r="L112" i="71"/>
  <c r="N112" i="71" s="1"/>
  <c r="D115" i="71"/>
  <c r="F112" i="71"/>
  <c r="V38" i="78"/>
  <c r="D135" i="36"/>
  <c r="L132" i="36"/>
  <c r="N132" i="36" s="1"/>
  <c r="F132" i="36"/>
  <c r="V115" i="71"/>
  <c r="V97" i="76"/>
  <c r="L40" i="55"/>
  <c r="X36" i="100"/>
  <c r="L36" i="23"/>
  <c r="X36" i="53"/>
  <c r="V116" i="21"/>
  <c r="X36" i="47"/>
  <c r="P86" i="84"/>
  <c r="X83" i="84"/>
  <c r="Z83" i="84" s="1"/>
  <c r="R83" i="84"/>
  <c r="X36" i="41"/>
  <c r="X36" i="29"/>
  <c r="D243" i="12"/>
  <c r="L240" i="12"/>
  <c r="N240" i="12" s="1"/>
  <c r="F240" i="12"/>
  <c r="L36" i="38"/>
  <c r="Z87" i="83"/>
  <c r="J128" i="27"/>
  <c r="X112" i="51"/>
  <c r="Z112" i="51" s="1"/>
  <c r="P115" i="51"/>
  <c r="R112" i="51"/>
  <c r="X38" i="78"/>
  <c r="Z38" i="78" s="1"/>
  <c r="R38" i="78"/>
  <c r="L47" i="90"/>
  <c r="N47" i="90" s="1"/>
  <c r="L39" i="80"/>
  <c r="N39" i="80" s="1"/>
  <c r="J236" i="15"/>
  <c r="V73" i="65"/>
  <c r="X258" i="18"/>
  <c r="Z258" i="18" s="1"/>
  <c r="P261" i="18"/>
  <c r="R258" i="18"/>
  <c r="Z135" i="36"/>
  <c r="V135" i="36"/>
  <c r="L258" i="18"/>
  <c r="N258" i="18" s="1"/>
  <c r="D261" i="18"/>
  <c r="F258" i="18"/>
  <c r="J180" i="30"/>
  <c r="D93" i="86"/>
  <c r="L93" i="86" s="1"/>
  <c r="N93" i="86" s="1"/>
  <c r="L90" i="86"/>
  <c r="N90" i="86" s="1"/>
  <c r="P243" i="12"/>
  <c r="X240" i="12"/>
  <c r="Z240" i="12" s="1"/>
  <c r="R240" i="12"/>
  <c r="Z110" i="9"/>
  <c r="J243" i="12"/>
  <c r="X106" i="85"/>
  <c r="Z106" i="85" s="1"/>
  <c r="R106" i="85"/>
  <c r="X109" i="45"/>
  <c r="Z109" i="45" s="1"/>
  <c r="R109" i="45"/>
  <c r="L36" i="99"/>
  <c r="L177" i="30"/>
  <c r="N177" i="30" s="1"/>
  <c r="D180" i="30"/>
  <c r="F177" i="30"/>
  <c r="N31" i="54"/>
  <c r="X65" i="91"/>
  <c r="Z65" i="91" s="1"/>
  <c r="L125" i="42"/>
  <c r="N125" i="42" s="1"/>
  <c r="D128" i="42"/>
  <c r="F125" i="42"/>
  <c r="D99" i="64"/>
  <c r="L99" i="64" s="1"/>
  <c r="N99" i="64" s="1"/>
  <c r="L96" i="64"/>
  <c r="N96" i="64" s="1"/>
  <c r="V127" i="66"/>
  <c r="V115" i="51"/>
  <c r="P128" i="27"/>
  <c r="X125" i="27"/>
  <c r="Z125" i="27" s="1"/>
  <c r="R125" i="27"/>
  <c r="L132" i="39"/>
  <c r="N132" i="39" s="1"/>
  <c r="D135" i="39"/>
  <c r="F132" i="39"/>
  <c r="X70" i="65"/>
  <c r="Z70" i="65" s="1"/>
  <c r="P73" i="65"/>
  <c r="X73" i="65" s="1"/>
  <c r="Z73" i="65" s="1"/>
  <c r="V109" i="45"/>
  <c r="X36" i="52"/>
  <c r="V162" i="69"/>
  <c r="Z85" i="82"/>
  <c r="V130" i="77"/>
  <c r="V82" i="48"/>
  <c r="L283" i="3"/>
  <c r="N283" i="3" s="1"/>
  <c r="F283" i="3"/>
  <c r="X36" i="28"/>
  <c r="N37" i="89"/>
  <c r="X31" i="54"/>
  <c r="Z31" i="54" s="1"/>
  <c r="L112" i="51"/>
  <c r="N112" i="51" s="1"/>
  <c r="D115" i="51"/>
  <c r="F112" i="51"/>
  <c r="N40" i="55"/>
  <c r="L103" i="24"/>
  <c r="N103" i="24" s="1"/>
  <c r="L36" i="49"/>
  <c r="L95" i="79"/>
  <c r="N95" i="79" s="1"/>
  <c r="D98" i="79"/>
  <c r="L98" i="79" s="1"/>
  <c r="N98" i="79" s="1"/>
  <c r="X177" i="30"/>
  <c r="Z177" i="30" s="1"/>
  <c r="P180" i="30"/>
  <c r="R177" i="30"/>
  <c r="J99" i="64"/>
  <c r="L125" i="27"/>
  <c r="N125" i="27" s="1"/>
  <c r="D128" i="27"/>
  <c r="F125" i="27"/>
  <c r="X82" i="48"/>
  <c r="Z82" i="48" s="1"/>
  <c r="R82" i="48"/>
  <c r="J127" i="66"/>
  <c r="L83" i="58"/>
  <c r="N83" i="58" s="1"/>
  <c r="X93" i="86"/>
  <c r="Z93" i="86" s="1"/>
  <c r="X132" i="39"/>
  <c r="Z132" i="39" s="1"/>
  <c r="P135" i="39"/>
  <c r="R132" i="39"/>
  <c r="X56" i="75"/>
  <c r="Z56" i="75" s="1"/>
  <c r="R56" i="75"/>
  <c r="N87" i="56"/>
  <c r="J115" i="71"/>
  <c r="N94" i="81"/>
  <c r="Z81" i="67"/>
  <c r="V81" i="67"/>
  <c r="X36" i="99"/>
  <c r="L110" i="62"/>
  <c r="N110" i="62" s="1"/>
  <c r="L159" i="69"/>
  <c r="N159" i="69" s="1"/>
  <c r="D162" i="69"/>
  <c r="F159" i="69"/>
  <c r="L36" i="19"/>
  <c r="L36" i="13"/>
  <c r="P162" i="69"/>
  <c r="X159" i="69"/>
  <c r="Z159" i="69" s="1"/>
  <c r="R159" i="69"/>
  <c r="X94" i="81"/>
  <c r="Z94" i="81" s="1"/>
  <c r="J105" i="94"/>
  <c r="X36" i="23"/>
  <c r="N78" i="59"/>
  <c r="P116" i="21"/>
  <c r="X113" i="21"/>
  <c r="Z113" i="21" s="1"/>
  <c r="R113" i="21"/>
  <c r="L92" i="70"/>
  <c r="N92" i="70" s="1"/>
  <c r="F92" i="70"/>
  <c r="N82" i="97"/>
  <c r="J82" i="97"/>
  <c r="N87" i="83"/>
  <c r="L36" i="22"/>
  <c r="L36" i="29"/>
  <c r="L113" i="21"/>
  <c r="N113" i="21" s="1"/>
  <c r="D116" i="21"/>
  <c r="F113" i="21"/>
  <c r="L36" i="28"/>
  <c r="J106" i="85"/>
  <c r="X36" i="19"/>
  <c r="X36" i="46"/>
  <c r="V243" i="12"/>
  <c r="L94" i="76"/>
  <c r="N94" i="76" s="1"/>
  <c r="D97" i="76"/>
  <c r="L97" i="76" s="1"/>
  <c r="N97" i="76" s="1"/>
  <c r="V180" i="30"/>
  <c r="D130" i="77"/>
  <c r="L127" i="77"/>
  <c r="N127" i="77" s="1"/>
  <c r="F127" i="77"/>
  <c r="Z83" i="58"/>
  <c r="P236" i="15"/>
  <c r="X233" i="15"/>
  <c r="Z233" i="15" s="1"/>
  <c r="R233" i="15"/>
  <c r="N67" i="61"/>
  <c r="D87" i="83"/>
  <c r="L87" i="83" s="1"/>
  <c r="L84" i="83"/>
  <c r="N84" i="83" s="1"/>
  <c r="V283" i="3"/>
  <c r="X95" i="92"/>
  <c r="Z95" i="92" s="1"/>
  <c r="P98" i="92"/>
  <c r="R95" i="92"/>
  <c r="V135" i="39"/>
  <c r="X35" i="87"/>
  <c r="R35" i="87"/>
  <c r="Z78" i="59"/>
  <c r="X36" i="34"/>
  <c r="L31" i="93"/>
  <c r="V86" i="73"/>
  <c r="L109" i="45"/>
  <c r="N109" i="45" s="1"/>
  <c r="F109" i="45"/>
  <c r="X36" i="37"/>
  <c r="X103" i="24"/>
  <c r="Z103" i="24" s="1"/>
  <c r="R103" i="24"/>
  <c r="L128" i="27" l="1"/>
  <c r="N128" i="27" s="1"/>
  <c r="F128" i="27"/>
  <c r="L115" i="51"/>
  <c r="N115" i="51" s="1"/>
  <c r="F115" i="51"/>
  <c r="L261" i="18"/>
  <c r="N261" i="18" s="1"/>
  <c r="F261" i="18"/>
  <c r="L135" i="36"/>
  <c r="N135" i="36" s="1"/>
  <c r="F135" i="36"/>
  <c r="L56" i="75"/>
  <c r="N56" i="75" s="1"/>
  <c r="F56" i="75"/>
  <c r="L105" i="94"/>
  <c r="N105" i="94" s="1"/>
  <c r="F105" i="94"/>
  <c r="X135" i="39"/>
  <c r="Z135" i="39" s="1"/>
  <c r="R135" i="39"/>
  <c r="X128" i="27"/>
  <c r="Z128" i="27" s="1"/>
  <c r="R128" i="27"/>
  <c r="X115" i="71"/>
  <c r="Z115" i="71" s="1"/>
  <c r="R115" i="71"/>
  <c r="L243" i="12"/>
  <c r="N243" i="12" s="1"/>
  <c r="F243" i="12"/>
  <c r="L95" i="33"/>
  <c r="N95" i="33" s="1"/>
  <c r="F95" i="33"/>
  <c r="X236" i="15"/>
  <c r="Z236" i="15" s="1"/>
  <c r="R236" i="15"/>
  <c r="X180" i="30"/>
  <c r="Z180" i="30" s="1"/>
  <c r="R180" i="30"/>
  <c r="X127" i="66"/>
  <c r="Z127" i="66" s="1"/>
  <c r="R127" i="66"/>
  <c r="X105" i="94"/>
  <c r="Z105" i="94" s="1"/>
  <c r="R105" i="94"/>
  <c r="L180" i="30"/>
  <c r="N180" i="30" s="1"/>
  <c r="F180" i="30"/>
  <c r="X162" i="69"/>
  <c r="Z162" i="69" s="1"/>
  <c r="R162" i="69"/>
  <c r="X243" i="12"/>
  <c r="Z243" i="12" s="1"/>
  <c r="R243" i="12"/>
  <c r="X261" i="18"/>
  <c r="Z261" i="18" s="1"/>
  <c r="R261" i="18"/>
  <c r="X95" i="33"/>
  <c r="Z95" i="33" s="1"/>
  <c r="R95" i="33"/>
  <c r="X115" i="51"/>
  <c r="Z115" i="51" s="1"/>
  <c r="R115" i="51"/>
  <c r="L115" i="71"/>
  <c r="N115" i="71" s="1"/>
  <c r="F115" i="71"/>
  <c r="X92" i="70"/>
  <c r="Z92" i="70" s="1"/>
  <c r="R92" i="70"/>
  <c r="L128" i="42"/>
  <c r="N128" i="42" s="1"/>
  <c r="F128" i="42"/>
  <c r="X86" i="84"/>
  <c r="Z86" i="84" s="1"/>
  <c r="R86" i="84"/>
  <c r="L236" i="15"/>
  <c r="N236" i="15" s="1"/>
  <c r="F236" i="15"/>
  <c r="X130" i="77"/>
  <c r="Z130" i="77" s="1"/>
  <c r="R130" i="77"/>
  <c r="X99" i="64"/>
  <c r="Z99" i="64" s="1"/>
  <c r="R99" i="64"/>
  <c r="X98" i="92"/>
  <c r="Z98" i="92" s="1"/>
  <c r="R98" i="92"/>
  <c r="L130" i="77"/>
  <c r="N130" i="77" s="1"/>
  <c r="F130" i="77"/>
  <c r="X116" i="21"/>
  <c r="Z116" i="21" s="1"/>
  <c r="R116" i="21"/>
  <c r="L162" i="69"/>
  <c r="N162" i="69" s="1"/>
  <c r="F162" i="69"/>
  <c r="L135" i="39"/>
  <c r="N135" i="39" s="1"/>
  <c r="F135" i="39"/>
  <c r="X86" i="73"/>
  <c r="Z86" i="73" s="1"/>
  <c r="R86" i="73"/>
  <c r="L127" i="66"/>
  <c r="N127" i="66" s="1"/>
  <c r="F127" i="66"/>
  <c r="X128" i="42"/>
  <c r="Z128" i="42" s="1"/>
  <c r="R128" i="42"/>
  <c r="L116" i="21"/>
  <c r="N116" i="21" s="1"/>
  <c r="F116" i="21"/>
</calcChain>
</file>

<file path=xl/sharedStrings.xml><?xml version="1.0" encoding="utf-8"?>
<sst xmlns="http://schemas.openxmlformats.org/spreadsheetml/2006/main" count="2844" uniqueCount="315">
  <si>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</si>
  <si>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</si>
  <si>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</si>
  <si>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</si>
  <si>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</si>
  <si>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</si>
  <si>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</si>
  <si>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</si>
  <si>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</si>
  <si>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</si>
  <si>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</si>
  <si>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</si>
  <si>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</si>
  <si>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</si>
  <si>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</si>
  <si>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</si>
  <si>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</si>
  <si>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</si>
  <si>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</si>
  <si>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</si>
  <si>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</si>
  <si>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</si>
  <si>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</si>
  <si>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</si>
  <si>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</si>
  <si>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</si>
  <si>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</si>
  <si>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</si>
  <si>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</si>
  <si>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</si>
  <si>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</si>
  <si>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</si>
  <si>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</si>
  <si>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</si>
  <si>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</si>
  <si>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</si>
  <si>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</si>
  <si>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</si>
  <si>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</si>
  <si>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</si>
  <si>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</si>
  <si>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</si>
  <si>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</si>
  <si>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</si>
  <si>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</si>
  <si>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</si>
  <si>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</si>
  <si>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</si>
  <si>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</si>
  <si>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</si>
  <si>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</si>
  <si>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</si>
  <si>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</si>
  <si>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</si>
  <si>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</si>
  <si>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</si>
  <si>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</si>
  <si>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</si>
  <si>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% Budget Sales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</si>
  <si>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</si>
  <si>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</si>
  <si>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</si>
  <si>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</si>
  <si>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</si>
  <si>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</si>
  <si>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</si>
  <si>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</si>
  <si>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</si>
  <si>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</si>
  <si>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</si>
  <si>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</si>
  <si>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</si>
  <si>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</si>
  <si>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</si>
  <si>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</si>
  <si>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</si>
  <si>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</si>
  <si>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</si>
  <si>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</si>
  <si>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</si>
  <si>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</si>
  <si>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</si>
  <si>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</si>
  <si>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</si>
  <si>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</si>
  <si>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</si>
  <si>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</si>
  <si>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</si>
  <si>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</si>
  <si>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</si>
  <si>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</si>
  <si>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</si>
  <si>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</si>
  <si>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</si>
  <si>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</si>
  <si>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</si>
  <si>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</si>
  <si>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</si>
  <si>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</si>
  <si>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</si>
  <si>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</si>
  <si>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</si>
  <si>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</si>
  <si>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</si>
  <si>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</si>
  <si>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</si>
  <si>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</si>
  <si>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</si>
  <si>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</si>
  <si>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</si>
  <si>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</si>
  <si>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</si>
  <si>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</si>
  <si>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</si>
  <si>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</si>
  <si>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</si>
  <si>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</si>
  <si>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</si>
  <si>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</si>
  <si>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</si>
  <si>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</si>
  <si>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</si>
  <si>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</si>
  <si>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</si>
  <si>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</si>
  <si>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</si>
  <si>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</si>
  <si>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</si>
  <si>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</si>
  <si>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</si>
  <si>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</si>
  <si>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</si>
  <si>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</si>
  <si>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</si>
  <si>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</si>
  <si>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</si>
  <si>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</si>
  <si>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</si>
  <si>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</si>
  <si>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</si>
  <si>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</si>
  <si>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</si>
  <si>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</si>
  <si>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</si>
  <si>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</si>
  <si>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</si>
  <si>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</si>
  <si>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</si>
  <si>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</si>
  <si>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</si>
  <si>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</si>
  <si>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</si>
  <si>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</si>
  <si>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</si>
  <si>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</si>
  <si>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</si>
  <si>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</si>
  <si>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</si>
  <si>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</si>
  <si>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</si>
  <si>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</si>
  <si>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</si>
  <si>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</si>
  <si>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</si>
  <si>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</si>
  <si>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</si>
  <si>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</si>
  <si>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</si>
  <si>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</si>
  <si>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</si>
  <si>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</si>
  <si>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</si>
  <si>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</si>
  <si>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</si>
  <si>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</si>
  <si>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</si>
  <si>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</si>
  <si>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</si>
  <si>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</si>
  <si>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</si>
  <si>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</si>
  <si>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</si>
  <si>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</si>
  <si>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</si>
  <si>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</si>
  <si>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</si>
  <si>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</si>
  <si>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</si>
  <si>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</si>
  <si>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</si>
  <si>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</si>
  <si>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</si>
  <si>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</si>
  <si>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</si>
  <si>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</si>
  <si>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</si>
  <si>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</si>
  <si>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</si>
  <si>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</si>
  <si>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</si>
  <si>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</si>
  <si>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</si>
  <si>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</si>
  <si>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</si>
  <si>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</si>
  <si>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</si>
  <si>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</si>
  <si>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</si>
  <si>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</si>
  <si>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</si>
  <si>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</si>
  <si>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</si>
  <si>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</si>
  <si>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</si>
  <si>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</si>
  <si>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</si>
  <si>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</si>
  <si>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</si>
  <si>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</si>
  <si>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</si>
  <si>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</si>
  <si>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</si>
  <si>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</si>
  <si>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</si>
  <si>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</si>
  <si>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</si>
  <si>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</si>
  <si>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</si>
  <si>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</si>
  <si>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</si>
  <si>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</si>
  <si>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</si>
  <si>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</si>
  <si>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</si>
  <si>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</si>
  <si>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</si>
  <si>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</si>
  <si>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</si>
  <si>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Budget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</si>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</sst>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49" fontId="2" fillId="0" borderId="0" xfId="0" applyNumberFormat="1" applyFont="1" applyFill="1" applyBorder="1" applyAlignment="1">
      <alignment horizontal="center"/>
    </xf>
    <xf numFmtId="167" fontId="2" fillId="0" borderId="0" xfId="3" applyNumberFormat="1" applyFont="1" applyFill="1" applyBorder="1"/>
    <xf numFmtId="167" fontId="2" fillId="2" borderId="3" xfId="3" applyNumberFormat="1" applyFont="1" applyFill="1" applyBorder="1"/>
    <xf numFmtId="168" fontId="2" fillId="2" borderId="3" xfId="2" applyNumberFormat="1" applyFont="1" applyFill="1" applyBorder="1"/>
    <xf numFmtId="167" fontId="2" fillId="2" borderId="4" xfId="3" applyNumberFormat="1" applyFont="1" applyFill="1" applyBorder="1"/>
    <xf numFmtId="168" fontId="2" fillId="2" borderId="4" xfId="2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"/>
    </xf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4" fontId="2" fillId="0" borderId="0" xfId="1" applyNumberFormat="1" applyFont="1" applyAlignment="1">
      <alignment horizontal="left"/>
    </xf>
    <xf numFmtId="167" fontId="0" fillId="0" borderId="0" xfId="0" applyNumberFormat="1" applyFill="1"/>
    <xf numFmtId="167" fontId="0" fillId="0" borderId="0" xfId="3" applyNumberFormat="1" applyFont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3" applyNumberFormat="1" applyFont="1"/>
    <xf numFmtId="167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 applyFill="1"/>
    <xf numFmtId="0" fontId="2" fillId="0" borderId="0" xfId="0" applyFont="1" applyAlignment="1">
      <alignment horizontal="left"/>
    </xf>
    <xf numFmtId="165" fontId="0" fillId="0" borderId="0" xfId="0" applyNumberFormat="1"/>
    <xf numFmtId="0" fontId="3" fillId="0" borderId="0" xfId="0" applyFont="1" applyAlignment="1">
      <alignment horizontal="left"/>
    </xf>
    <xf numFmtId="0" fontId="0" fillId="0" borderId="0" xfId="0" applyBorder="1"/>
    <xf numFmtId="0" fontId="4" fillId="0" borderId="0" xfId="0" applyFont="1" applyFill="1"/>
    <xf numFmtId="49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Fill="1" applyAlignment="1">
      <alignment horizontal="centerContinuous"/>
    </xf>
    <xf numFmtId="166" fontId="3" fillId="0" borderId="0" xfId="0" applyNumberFormat="1" applyFont="1" applyAlignment="1">
      <alignment horizontal="left"/>
    </xf>
    <xf numFmtId="0" fontId="2" fillId="0" borderId="0" xfId="0" applyFont="1" applyFill="1" applyBorder="1"/>
    <xf numFmtId="0" fontId="0" fillId="0" borderId="0" xfId="0" applyFill="1" applyAlignment="1">
      <alignment horizontal="centerContinuous"/>
    </xf>
    <xf numFmtId="0" fontId="5" fillId="0" borderId="0" xfId="0" applyFon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178</v>
      </c>
      <c r="B3" s="41" t="s">
        <v>196</v>
      </c>
      <c r="C3" s="41" t="s">
        <v>239</v>
      </c>
      <c r="D3" s="41" t="s">
        <v>99</v>
      </c>
      <c r="E3" s="41" t="s">
        <v>158</v>
      </c>
      <c r="F3" s="41" t="s">
        <v>0</v>
      </c>
      <c r="G3" s="41" t="s">
        <v>179</v>
      </c>
      <c r="H3" s="41" t="s">
        <v>53</v>
      </c>
      <c r="I3" s="41" t="s">
        <v>100</v>
      </c>
      <c r="J3" s="41" t="s">
        <v>214</v>
      </c>
      <c r="K3" s="41" t="s">
        <v>138</v>
      </c>
      <c r="L3" s="41" t="s">
        <v>215</v>
      </c>
      <c r="M3" s="41" t="s">
        <v>78</v>
      </c>
      <c r="N3" s="41" t="s">
        <v>79</v>
      </c>
      <c r="O3" s="41" t="s">
        <v>180</v>
      </c>
      <c r="P3" s="41" t="s">
        <v>197</v>
      </c>
      <c r="Q3" s="41" t="s">
        <v>17</v>
      </c>
      <c r="R3" s="41" t="s">
        <v>18</v>
      </c>
      <c r="S3" s="41" t="s">
        <v>54</v>
      </c>
      <c r="T3" s="41" t="s">
        <v>216</v>
      </c>
      <c r="U3" s="41" t="s">
        <v>271</v>
      </c>
      <c r="V3" s="41" t="s">
        <v>289</v>
      </c>
      <c r="W3" s="41" t="s">
        <v>181</v>
      </c>
      <c r="X3" s="41" t="s">
        <v>272</v>
      </c>
      <c r="Y3" s="41" t="s">
        <v>102</v>
      </c>
      <c r="Z3" s="41" t="s">
        <v>253</v>
      </c>
      <c r="AA3" s="41" t="s">
        <v>159</v>
      </c>
      <c r="AB3" s="41" t="s">
        <v>273</v>
      </c>
      <c r="AC3" s="41" t="s">
        <v>19</v>
      </c>
      <c r="AD3" s="41" t="s">
        <v>103</v>
      </c>
      <c r="AE3" s="41" t="s">
        <v>160</v>
      </c>
      <c r="AF3" s="41" t="s">
        <v>104</v>
      </c>
      <c r="AG3" s="41" t="s">
        <v>198</v>
      </c>
      <c r="AH3" s="41" t="s">
        <v>38</v>
      </c>
      <c r="AI3" s="41" t="s">
        <v>274</v>
      </c>
      <c r="AJ3" s="41" t="s">
        <v>275</v>
      </c>
      <c r="AK3" s="41" t="s">
        <v>80</v>
      </c>
      <c r="AL3" s="41" t="s">
        <v>254</v>
      </c>
      <c r="AM3" s="41" t="s">
        <v>255</v>
      </c>
      <c r="AN3" s="41" t="s">
        <v>235</v>
      </c>
      <c r="AO3" s="41" t="s">
        <v>311</v>
      </c>
      <c r="AP3" s="41" t="s">
        <v>312</v>
      </c>
      <c r="AQ3" s="41" t="s">
        <v>124</v>
      </c>
      <c r="AR3" s="41" t="s">
        <v>182</v>
      </c>
      <c r="AS3" s="41" t="s">
        <v>236</v>
      </c>
      <c r="AT3" s="41" t="s">
        <v>276</v>
      </c>
      <c r="AU3" s="41" t="s">
        <v>217</v>
      </c>
      <c r="AV3" s="41" t="s">
        <v>123</v>
      </c>
      <c r="AW3" s="41" t="s">
        <v>101</v>
      </c>
      <c r="AX3" s="41" t="s">
        <v>290</v>
      </c>
      <c r="AY3" s="41" t="s">
        <v>20</v>
      </c>
      <c r="AZ3" s="41" t="s">
        <v>291</v>
      </c>
      <c r="BA3" s="41" t="s">
        <v>278</v>
      </c>
      <c r="BB3" s="41" t="s">
        <v>110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107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107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256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256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314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314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199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199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81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81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239</v>
      </c>
      <c r="B3" s="41" t="s">
        <v>296</v>
      </c>
      <c r="C3" s="41" t="s">
        <v>0</v>
      </c>
      <c r="D3" s="41" t="s">
        <v>59</v>
      </c>
      <c r="E3" s="41" t="s">
        <v>83</v>
      </c>
      <c r="F3" s="41" t="s">
        <v>24</v>
      </c>
      <c r="G3" s="41" t="s">
        <v>129</v>
      </c>
      <c r="H3" s="41" t="s">
        <v>161</v>
      </c>
      <c r="I3" s="41" t="s">
        <v>109</v>
      </c>
      <c r="J3" s="41" t="s">
        <v>240</v>
      </c>
      <c r="K3" s="41" t="s">
        <v>130</v>
      </c>
      <c r="L3" s="41" t="s">
        <v>25</v>
      </c>
      <c r="M3" s="41" t="s">
        <v>60</v>
      </c>
      <c r="N3" s="41" t="s">
        <v>41</v>
      </c>
      <c r="O3" s="41" t="s">
        <v>61</v>
      </c>
      <c r="P3" s="41" t="s">
        <v>162</v>
      </c>
      <c r="Q3" s="41" t="s">
        <v>26</v>
      </c>
      <c r="R3" s="41" t="s">
        <v>185</v>
      </c>
      <c r="S3" s="41" t="s">
        <v>186</v>
      </c>
      <c r="T3" s="41" t="s">
        <v>201</v>
      </c>
      <c r="U3" s="41" t="s">
        <v>27</v>
      </c>
      <c r="V3" s="41" t="s">
        <v>241</v>
      </c>
      <c r="W3" s="41" t="s">
        <v>259</v>
      </c>
      <c r="X3" s="41" t="s">
        <v>202</v>
      </c>
      <c r="Y3" s="41" t="s">
        <v>187</v>
      </c>
      <c r="Z3" s="41" t="s">
        <v>1</v>
      </c>
      <c r="AA3" s="41" t="s">
        <v>279</v>
      </c>
      <c r="AB3" s="41" t="s">
        <v>131</v>
      </c>
      <c r="AC3" s="41" t="s">
        <v>111</v>
      </c>
      <c r="AD3" s="41" t="s">
        <v>42</v>
      </c>
      <c r="AE3" s="41" t="s">
        <v>84</v>
      </c>
      <c r="AF3" s="41" t="s">
        <v>43</v>
      </c>
      <c r="AG3" s="41" t="s">
        <v>220</v>
      </c>
      <c r="AH3" s="41" t="s">
        <v>163</v>
      </c>
      <c r="AI3" s="41" t="s">
        <v>203</v>
      </c>
      <c r="AJ3" s="41" t="s">
        <v>63</v>
      </c>
      <c r="AK3" s="41" t="s">
        <v>132</v>
      </c>
      <c r="AL3" s="41" t="s">
        <v>297</v>
      </c>
      <c r="AM3" s="41" t="s">
        <v>204</v>
      </c>
      <c r="AN3" s="41" t="s">
        <v>64</v>
      </c>
      <c r="AO3" s="41" t="s">
        <v>28</v>
      </c>
      <c r="AP3" s="41" t="s">
        <v>205</v>
      </c>
      <c r="AQ3" s="41" t="s">
        <v>65</v>
      </c>
      <c r="AR3" s="41" t="s">
        <v>260</v>
      </c>
      <c r="AS3" s="41" t="s">
        <v>221</v>
      </c>
      <c r="AT3" s="41" t="s">
        <v>3</v>
      </c>
      <c r="AU3" s="41" t="s">
        <v>280</v>
      </c>
      <c r="AV3" s="41" t="s">
        <v>141</v>
      </c>
      <c r="AW3" s="41" t="s">
        <v>4</v>
      </c>
      <c r="AX3" s="41" t="s">
        <v>85</v>
      </c>
      <c r="AY3" s="41" t="s">
        <v>298</v>
      </c>
      <c r="AZ3" s="41" t="s">
        <v>66</v>
      </c>
      <c r="BA3" s="41" t="s">
        <v>222</v>
      </c>
      <c r="BB3" s="41" t="s">
        <v>67</v>
      </c>
      <c r="BC3" s="41" t="s">
        <v>242</v>
      </c>
      <c r="BD3" s="41" t="s">
        <v>281</v>
      </c>
      <c r="BE3" s="41" t="s">
        <v>142</v>
      </c>
      <c r="BF3" s="41" t="s">
        <v>299</v>
      </c>
      <c r="BG3" s="41" t="s">
        <v>112</v>
      </c>
      <c r="BH3" s="41" t="s">
        <v>113</v>
      </c>
      <c r="BI3" s="41" t="s">
        <v>243</v>
      </c>
      <c r="BJ3" s="41" t="s">
        <v>223</v>
      </c>
      <c r="BK3" s="41" t="s">
        <v>68</v>
      </c>
      <c r="BL3" s="41" t="s">
        <v>164</v>
      </c>
      <c r="BM3" s="41" t="s">
        <v>282</v>
      </c>
      <c r="BN3" s="41" t="s">
        <v>224</v>
      </c>
      <c r="BO3" s="41" t="s">
        <v>300</v>
      </c>
      <c r="BP3" s="41" t="s">
        <v>143</v>
      </c>
      <c r="BQ3" s="41" t="s">
        <v>225</v>
      </c>
      <c r="BR3" s="41" t="s">
        <v>133</v>
      </c>
      <c r="BS3" s="41" t="s">
        <v>206</v>
      </c>
      <c r="BT3" s="41" t="s">
        <v>69</v>
      </c>
      <c r="BU3" s="41" t="s">
        <v>226</v>
      </c>
      <c r="BV3" s="41" t="s">
        <v>261</v>
      </c>
      <c r="BW3" s="41" t="s">
        <v>301</v>
      </c>
      <c r="BX3" s="41" t="s">
        <v>165</v>
      </c>
      <c r="BY3" s="41" t="s">
        <v>283</v>
      </c>
      <c r="BZ3" s="41" t="s">
        <v>144</v>
      </c>
      <c r="CA3" s="41" t="s">
        <v>5</v>
      </c>
      <c r="CB3" s="41" t="s">
        <v>114</v>
      </c>
      <c r="CC3" s="41" t="s">
        <v>207</v>
      </c>
      <c r="CD3" s="41" t="s">
        <v>44</v>
      </c>
      <c r="CE3" s="41" t="s">
        <v>227</v>
      </c>
      <c r="CF3" s="41" t="s">
        <v>45</v>
      </c>
      <c r="CG3" s="41" t="s">
        <v>284</v>
      </c>
      <c r="CH3" s="41" t="s">
        <v>188</v>
      </c>
      <c r="CI3" s="41" t="s">
        <v>134</v>
      </c>
      <c r="CJ3" s="41" t="s">
        <v>302</v>
      </c>
      <c r="CK3" s="41" t="s">
        <v>115</v>
      </c>
      <c r="CL3" s="41" t="s">
        <v>145</v>
      </c>
      <c r="CM3" s="41" t="s">
        <v>146</v>
      </c>
      <c r="CN3" s="41" t="s">
        <v>208</v>
      </c>
      <c r="CO3" s="41" t="s">
        <v>86</v>
      </c>
      <c r="CP3" s="41" t="s">
        <v>166</v>
      </c>
      <c r="CQ3" s="41" t="s">
        <v>303</v>
      </c>
      <c r="CR3" s="41" t="s">
        <v>135</v>
      </c>
      <c r="CS3" s="41" t="s">
        <v>285</v>
      </c>
      <c r="CT3" s="41" t="s">
        <v>167</v>
      </c>
      <c r="CU3" s="41" t="s">
        <v>228</v>
      </c>
      <c r="CV3" s="41" t="s">
        <v>168</v>
      </c>
      <c r="CW3" s="41" t="s">
        <v>116</v>
      </c>
      <c r="CX3" s="41" t="s">
        <v>46</v>
      </c>
      <c r="CY3" s="41" t="s">
        <v>244</v>
      </c>
      <c r="CZ3" s="41" t="s">
        <v>262</v>
      </c>
      <c r="DA3" s="41" t="s">
        <v>6</v>
      </c>
      <c r="DB3" s="41" t="s">
        <v>87</v>
      </c>
      <c r="DC3" s="41" t="s">
        <v>147</v>
      </c>
      <c r="DD3" s="41" t="s">
        <v>7</v>
      </c>
      <c r="DE3" s="41" t="s">
        <v>8</v>
      </c>
      <c r="DF3" s="41" t="s">
        <v>189</v>
      </c>
      <c r="DG3" s="41" t="s">
        <v>47</v>
      </c>
      <c r="DH3" s="41" t="s">
        <v>229</v>
      </c>
      <c r="DI3" s="41" t="s">
        <v>88</v>
      </c>
      <c r="DJ3" s="41" t="s">
        <v>70</v>
      </c>
      <c r="DK3" s="41" t="s">
        <v>29</v>
      </c>
      <c r="DL3" s="41" t="s">
        <v>30</v>
      </c>
      <c r="DM3" s="41" t="s">
        <v>304</v>
      </c>
      <c r="DN3" s="41" t="s">
        <v>169</v>
      </c>
      <c r="DO3" s="41" t="s">
        <v>136</v>
      </c>
      <c r="DP3" s="41" t="s">
        <v>209</v>
      </c>
      <c r="DQ3" s="41" t="s">
        <v>9</v>
      </c>
      <c r="DR3" s="41" t="s">
        <v>71</v>
      </c>
      <c r="DS3" s="41" t="s">
        <v>245</v>
      </c>
      <c r="DT3" s="41" t="s">
        <v>170</v>
      </c>
      <c r="DU3" s="41" t="s">
        <v>72</v>
      </c>
      <c r="DV3" s="41" t="s">
        <v>305</v>
      </c>
      <c r="DW3" s="41" t="s">
        <v>171</v>
      </c>
      <c r="DX3" s="41" t="s">
        <v>148</v>
      </c>
      <c r="DY3" s="41" t="s">
        <v>31</v>
      </c>
      <c r="DZ3" s="41" t="s">
        <v>32</v>
      </c>
      <c r="EA3" s="41" t="s">
        <v>48</v>
      </c>
      <c r="EB3" s="41" t="s">
        <v>246</v>
      </c>
      <c r="EC3" s="41" t="s">
        <v>230</v>
      </c>
      <c r="ED3" s="41" t="s">
        <v>89</v>
      </c>
      <c r="EE3" s="41" t="s">
        <v>190</v>
      </c>
      <c r="EF3" s="41" t="s">
        <v>33</v>
      </c>
      <c r="EG3" s="41" t="s">
        <v>10</v>
      </c>
      <c r="EH3" s="41" t="s">
        <v>306</v>
      </c>
      <c r="EI3" s="41" t="s">
        <v>149</v>
      </c>
      <c r="EJ3" s="41" t="s">
        <v>49</v>
      </c>
      <c r="EK3" s="41" t="s">
        <v>11</v>
      </c>
      <c r="EL3" s="41" t="s">
        <v>90</v>
      </c>
      <c r="EM3" s="41" t="s">
        <v>73</v>
      </c>
      <c r="EN3" s="41" t="s">
        <v>210</v>
      </c>
      <c r="EO3" s="41" t="s">
        <v>231</v>
      </c>
      <c r="EP3" s="41" t="s">
        <v>286</v>
      </c>
      <c r="EQ3" s="41" t="s">
        <v>172</v>
      </c>
      <c r="ER3" s="41" t="s">
        <v>150</v>
      </c>
      <c r="ES3" s="41" t="s">
        <v>247</v>
      </c>
      <c r="ET3" s="41" t="s">
        <v>74</v>
      </c>
      <c r="EU3" s="41" t="s">
        <v>263</v>
      </c>
      <c r="EV3" s="41" t="s">
        <v>264</v>
      </c>
      <c r="EW3" s="41" t="s">
        <v>232</v>
      </c>
      <c r="EX3" s="41" t="s">
        <v>307</v>
      </c>
      <c r="EY3" s="41" t="s">
        <v>248</v>
      </c>
      <c r="EZ3" s="41" t="s">
        <v>249</v>
      </c>
      <c r="FA3" s="41" t="s">
        <v>34</v>
      </c>
      <c r="FB3" s="41" t="s">
        <v>308</v>
      </c>
      <c r="FC3" s="41" t="s">
        <v>50</v>
      </c>
      <c r="FD3" s="41" t="s">
        <v>91</v>
      </c>
      <c r="FE3" s="41" t="s">
        <v>233</v>
      </c>
      <c r="FF3" s="41" t="s">
        <v>117</v>
      </c>
      <c r="FG3" s="41" t="s">
        <v>92</v>
      </c>
      <c r="FH3" s="41" t="s">
        <v>93</v>
      </c>
      <c r="FI3" s="41" t="s">
        <v>265</v>
      </c>
      <c r="FJ3" s="41" t="s">
        <v>191</v>
      </c>
      <c r="FK3" s="41" t="s">
        <v>192</v>
      </c>
      <c r="FL3" s="41" t="s">
        <v>173</v>
      </c>
      <c r="FM3" s="41" t="s">
        <v>151</v>
      </c>
      <c r="FN3" s="41" t="s">
        <v>118</v>
      </c>
      <c r="FO3" s="41" t="s">
        <v>174</v>
      </c>
      <c r="FP3" s="41" t="s">
        <v>266</v>
      </c>
      <c r="FQ3" s="41" t="s">
        <v>250</v>
      </c>
      <c r="FR3" s="41" t="s">
        <v>211</v>
      </c>
      <c r="FS3" s="41" t="s">
        <v>287</v>
      </c>
      <c r="FT3" s="41" t="s">
        <v>152</v>
      </c>
      <c r="FU3" s="41" t="s">
        <v>12</v>
      </c>
      <c r="FV3" s="41" t="s">
        <v>193</v>
      </c>
      <c r="FW3" s="41" t="s">
        <v>94</v>
      </c>
      <c r="FX3" s="41" t="s">
        <v>153</v>
      </c>
      <c r="FY3" s="41" t="s">
        <v>175</v>
      </c>
      <c r="FZ3" s="41" t="s">
        <v>95</v>
      </c>
      <c r="GA3" s="41" t="s">
        <v>267</v>
      </c>
      <c r="GB3" s="41" t="s">
        <v>35</v>
      </c>
      <c r="GC3" s="41" t="s">
        <v>36</v>
      </c>
      <c r="GD3" s="41" t="s">
        <v>288</v>
      </c>
      <c r="GE3" s="41" t="s">
        <v>119</v>
      </c>
      <c r="GF3" s="41" t="s">
        <v>234</v>
      </c>
      <c r="GG3" s="41" t="s">
        <v>194</v>
      </c>
      <c r="GH3" s="41" t="s">
        <v>195</v>
      </c>
      <c r="GI3" s="41" t="s">
        <v>268</v>
      </c>
      <c r="GJ3" s="41" t="s">
        <v>137</v>
      </c>
      <c r="GK3" s="41" t="s">
        <v>37</v>
      </c>
      <c r="GL3" s="41" t="s">
        <v>75</v>
      </c>
      <c r="GM3" s="41" t="s">
        <v>120</v>
      </c>
      <c r="GN3" s="41" t="s">
        <v>13</v>
      </c>
      <c r="GO3" s="41" t="s">
        <v>309</v>
      </c>
      <c r="GP3" s="41" t="s">
        <v>212</v>
      </c>
      <c r="GQ3" s="41" t="s">
        <v>76</v>
      </c>
      <c r="GR3" s="41" t="s">
        <v>176</v>
      </c>
      <c r="GS3" s="41" t="s">
        <v>154</v>
      </c>
      <c r="GT3" s="41" t="s">
        <v>121</v>
      </c>
      <c r="GU3" s="41" t="s">
        <v>251</v>
      </c>
      <c r="GV3" s="41" t="s">
        <v>51</v>
      </c>
      <c r="GW3" s="41" t="s">
        <v>14</v>
      </c>
      <c r="GX3" s="41" t="s">
        <v>310</v>
      </c>
      <c r="GY3" s="41" t="s">
        <v>96</v>
      </c>
      <c r="GZ3" s="41" t="s">
        <v>269</v>
      </c>
      <c r="HA3" s="41" t="s">
        <v>177</v>
      </c>
      <c r="HB3" s="41" t="s">
        <v>213</v>
      </c>
      <c r="HC3" s="41" t="s">
        <v>252</v>
      </c>
      <c r="HD3" s="41" t="s">
        <v>155</v>
      </c>
      <c r="HE3" s="41" t="s">
        <v>15</v>
      </c>
      <c r="HF3" s="41" t="s">
        <v>97</v>
      </c>
      <c r="HG3" s="41" t="s">
        <v>98</v>
      </c>
      <c r="HH3" s="41" t="s">
        <v>52</v>
      </c>
      <c r="HI3" s="41" t="s">
        <v>122</v>
      </c>
      <c r="HJ3" s="41" t="s">
        <v>270</v>
      </c>
      <c r="HK3" s="41"/>
      <c r="HL3" s="41" t="s">
        <v>2</v>
      </c>
      <c r="HM3" s="67"/>
      <c r="HN3" s="41" t="s">
        <v>278</v>
      </c>
      <c r="HO3" s="41" t="s">
        <v>110</v>
      </c>
      <c r="HP3" t="s">
        <v>62</v>
      </c>
      <c r="JK3" s="41" t="s">
        <v>16</v>
      </c>
      <c r="JL3" s="41" t="s">
        <v>156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77</v>
      </c>
      <c r="JL10002" s="41" t="s">
        <v>157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22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22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125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125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200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200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55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55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288"/>
  <sheetViews>
    <sheetView zoomScale="80" workbookViewId="0">
      <pane xSplit="3" ySplit="10" topLeftCell="D215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313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808463.38999999978</v>
      </c>
      <c r="E12" s="4"/>
      <c r="F12" s="12"/>
      <c r="G12" s="4"/>
      <c r="H12" s="4">
        <f>SUM(OSRRefH13x_0)</f>
        <v>1070364</v>
      </c>
      <c r="I12" s="4"/>
      <c r="J12" s="12"/>
      <c r="K12" s="4"/>
      <c r="L12" s="4">
        <f t="shared" ref="L12:L101" si="0">+D12-H12</f>
        <v>-261900.61000000022</v>
      </c>
      <c r="M12" s="4"/>
      <c r="N12" s="12">
        <f t="shared" ref="N12:N101" si="1">IF(H12=0,0,L12/H12)</f>
        <v>-0.24468368704478125</v>
      </c>
      <c r="O12" s="10"/>
      <c r="P12" s="4">
        <f>SUM(OSRRefP13x_0)</f>
        <v>9812288.8400000036</v>
      </c>
      <c r="Q12" s="4"/>
      <c r="R12" s="12"/>
      <c r="S12" s="4"/>
      <c r="T12" s="4">
        <f>SUM(OSRRefT13x_0)</f>
        <v>16301555</v>
      </c>
      <c r="U12" s="4"/>
      <c r="V12" s="12"/>
      <c r="W12" s="4"/>
      <c r="X12" s="4">
        <f t="shared" ref="X12:X101" si="2">+P12-T12</f>
        <v>-6489266.1599999964</v>
      </c>
      <c r="Y12" s="4"/>
      <c r="Z12" s="12">
        <f t="shared" ref="Z12:Z101" si="3">IF(T12=0,0,X12/T12)</f>
        <v>-0.39807651233271896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-11409.64</f>
        <v>-11409.64</v>
      </c>
      <c r="E13" s="2"/>
      <c r="F13" s="19"/>
      <c r="G13" s="2"/>
      <c r="H13" s="2">
        <v>649388</v>
      </c>
      <c r="I13" s="2"/>
      <c r="J13" s="19"/>
      <c r="K13" s="2"/>
      <c r="L13" s="2">
        <f t="shared" si="0"/>
        <v>-660797.64</v>
      </c>
      <c r="M13" s="2"/>
      <c r="N13" s="19">
        <f t="shared" si="1"/>
        <v>-1.0175698349830917</v>
      </c>
      <c r="O13" s="11"/>
      <c r="P13" s="2">
        <f>-147412.94</f>
        <v>-147412.94</v>
      </c>
      <c r="Q13" s="2"/>
      <c r="R13" s="19"/>
      <c r="S13" s="2"/>
      <c r="T13" s="2">
        <v>10635578</v>
      </c>
      <c r="U13" s="2"/>
      <c r="V13" s="19"/>
      <c r="W13" s="2"/>
      <c r="X13" s="2">
        <f t="shared" si="2"/>
        <v>-10782990.939999999</v>
      </c>
      <c r="Y13" s="2"/>
      <c r="Z13" s="19">
        <f t="shared" si="3"/>
        <v>-1.0138603600105232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--35278.2</f>
        <v>35278.199999999997</v>
      </c>
      <c r="E14" s="2"/>
      <c r="F14" s="19"/>
      <c r="G14" s="2"/>
      <c r="H14" s="2"/>
      <c r="I14" s="2"/>
      <c r="J14" s="19"/>
      <c r="K14" s="2"/>
      <c r="L14" s="2">
        <f t="shared" si="0"/>
        <v>35278.199999999997</v>
      </c>
      <c r="M14" s="2"/>
      <c r="N14" s="19">
        <f t="shared" si="1"/>
        <v>0</v>
      </c>
      <c r="O14" s="11"/>
      <c r="P14" s="2">
        <f>--1299088.56</f>
        <v>1299088.56</v>
      </c>
      <c r="Q14" s="2"/>
      <c r="R14" s="19"/>
      <c r="S14" s="2"/>
      <c r="T14" s="2"/>
      <c r="U14" s="2"/>
      <c r="V14" s="19"/>
      <c r="W14" s="2"/>
      <c r="X14" s="2">
        <f t="shared" si="2"/>
        <v>1299088.56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--11501.84</f>
        <v>11501.84</v>
      </c>
      <c r="E15" s="2"/>
      <c r="F15" s="19"/>
      <c r="G15" s="2"/>
      <c r="H15" s="2"/>
      <c r="I15" s="2"/>
      <c r="J15" s="19"/>
      <c r="K15" s="2"/>
      <c r="L15" s="2">
        <f t="shared" si="0"/>
        <v>11501.84</v>
      </c>
      <c r="M15" s="2"/>
      <c r="N15" s="19">
        <f t="shared" si="1"/>
        <v>0</v>
      </c>
      <c r="O15" s="11"/>
      <c r="P15" s="2">
        <f>--590270.47</f>
        <v>590270.47</v>
      </c>
      <c r="Q15" s="2"/>
      <c r="R15" s="19"/>
      <c r="S15" s="2"/>
      <c r="T15" s="2"/>
      <c r="U15" s="2"/>
      <c r="V15" s="19"/>
      <c r="W15" s="2"/>
      <c r="X15" s="2">
        <f t="shared" si="2"/>
        <v>590270.47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--494.96</f>
        <v>494.96</v>
      </c>
      <c r="E16" s="2"/>
      <c r="F16" s="19"/>
      <c r="G16" s="2"/>
      <c r="H16" s="2"/>
      <c r="I16" s="2"/>
      <c r="J16" s="19"/>
      <c r="K16" s="2"/>
      <c r="L16" s="2">
        <f t="shared" si="0"/>
        <v>494.96</v>
      </c>
      <c r="M16" s="2"/>
      <c r="N16" s="19">
        <f t="shared" si="1"/>
        <v>0</v>
      </c>
      <c r="O16" s="11"/>
      <c r="P16" s="2">
        <f>--18492.84</f>
        <v>18492.84</v>
      </c>
      <c r="Q16" s="2"/>
      <c r="R16" s="19"/>
      <c r="S16" s="2"/>
      <c r="T16" s="2"/>
      <c r="U16" s="2"/>
      <c r="V16" s="19"/>
      <c r="W16" s="2"/>
      <c r="X16" s="2">
        <f t="shared" si="2"/>
        <v>18492.84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--61.96</f>
        <v>61.96</v>
      </c>
      <c r="E18" s="2"/>
      <c r="F18" s="19"/>
      <c r="G18" s="2"/>
      <c r="H18" s="2"/>
      <c r="I18" s="2"/>
      <c r="J18" s="19"/>
      <c r="K18" s="2"/>
      <c r="L18" s="2">
        <f t="shared" si="0"/>
        <v>61.96</v>
      </c>
      <c r="M18" s="2"/>
      <c r="N18" s="19">
        <f t="shared" si="1"/>
        <v>0</v>
      </c>
      <c r="O18" s="11"/>
      <c r="P18" s="2">
        <f>--1325.79</f>
        <v>1325.79</v>
      </c>
      <c r="Q18" s="2"/>
      <c r="R18" s="19"/>
      <c r="S18" s="2"/>
      <c r="T18" s="2"/>
      <c r="U18" s="2"/>
      <c r="V18" s="19"/>
      <c r="W18" s="2"/>
      <c r="X18" s="2">
        <f t="shared" si="2"/>
        <v>1325.79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--31.17</f>
        <v>31.17</v>
      </c>
      <c r="E19" s="2"/>
      <c r="F19" s="19"/>
      <c r="G19" s="2"/>
      <c r="H19" s="2"/>
      <c r="I19" s="2"/>
      <c r="J19" s="19"/>
      <c r="K19" s="2"/>
      <c r="L19" s="2">
        <f t="shared" si="0"/>
        <v>31.17</v>
      </c>
      <c r="M19" s="2"/>
      <c r="N19" s="19">
        <f t="shared" si="1"/>
        <v>0</v>
      </c>
      <c r="O19" s="11"/>
      <c r="P19" s="2">
        <f>--515.72</f>
        <v>515.72</v>
      </c>
      <c r="Q19" s="2"/>
      <c r="R19" s="19"/>
      <c r="S19" s="2"/>
      <c r="T19" s="2"/>
      <c r="U19" s="2"/>
      <c r="V19" s="19"/>
      <c r="W19" s="2"/>
      <c r="X19" s="2">
        <f t="shared" si="2"/>
        <v>515.72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--35.38</f>
        <v>35.380000000000003</v>
      </c>
      <c r="E20" s="2"/>
      <c r="F20" s="19"/>
      <c r="G20" s="2"/>
      <c r="H20" s="2"/>
      <c r="I20" s="2"/>
      <c r="J20" s="19"/>
      <c r="K20" s="2"/>
      <c r="L20" s="2">
        <f t="shared" si="0"/>
        <v>35.380000000000003</v>
      </c>
      <c r="M20" s="2"/>
      <c r="N20" s="19">
        <f t="shared" si="1"/>
        <v>0</v>
      </c>
      <c r="O20" s="11"/>
      <c r="P20" s="2">
        <f>--508.48</f>
        <v>508.48</v>
      </c>
      <c r="Q20" s="2"/>
      <c r="R20" s="19"/>
      <c r="S20" s="2"/>
      <c r="T20" s="2"/>
      <c r="U20" s="2"/>
      <c r="V20" s="19"/>
      <c r="W20" s="2"/>
      <c r="X20" s="2">
        <f t="shared" si="2"/>
        <v>508.48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--36.37</f>
        <v>36.369999999999997</v>
      </c>
      <c r="E21" s="2"/>
      <c r="F21" s="19"/>
      <c r="G21" s="2"/>
      <c r="H21" s="2"/>
      <c r="I21" s="2"/>
      <c r="J21" s="19"/>
      <c r="K21" s="2"/>
      <c r="L21" s="2">
        <f t="shared" si="0"/>
        <v>36.369999999999997</v>
      </c>
      <c r="M21" s="2"/>
      <c r="N21" s="19">
        <f t="shared" si="1"/>
        <v>0</v>
      </c>
      <c r="O21" s="11"/>
      <c r="P21" s="2">
        <f>--522.54</f>
        <v>522.54</v>
      </c>
      <c r="Q21" s="2"/>
      <c r="R21" s="19"/>
      <c r="S21" s="2"/>
      <c r="T21" s="2"/>
      <c r="U21" s="2"/>
      <c r="V21" s="19"/>
      <c r="W21" s="2"/>
      <c r="X21" s="2">
        <f t="shared" si="2"/>
        <v>522.54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--6033.32</f>
        <v>6033.32</v>
      </c>
      <c r="E22" s="2"/>
      <c r="F22" s="19"/>
      <c r="G22" s="2"/>
      <c r="H22" s="2"/>
      <c r="I22" s="2"/>
      <c r="J22" s="19"/>
      <c r="K22" s="2"/>
      <c r="L22" s="2">
        <f t="shared" si="0"/>
        <v>6033.32</v>
      </c>
      <c r="M22" s="2"/>
      <c r="N22" s="19">
        <f t="shared" si="1"/>
        <v>0</v>
      </c>
      <c r="O22" s="11"/>
      <c r="P22" s="2">
        <f>--70104.29</f>
        <v>70104.289999999994</v>
      </c>
      <c r="Q22" s="2"/>
      <c r="R22" s="19"/>
      <c r="S22" s="2"/>
      <c r="T22" s="2"/>
      <c r="U22" s="2"/>
      <c r="V22" s="19"/>
      <c r="W22" s="2"/>
      <c r="X22" s="2">
        <f t="shared" si="2"/>
        <v>70104.289999999994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>--1495.15</f>
        <v>1495.15</v>
      </c>
      <c r="E23" s="2"/>
      <c r="F23" s="19"/>
      <c r="G23" s="2"/>
      <c r="H23" s="2"/>
      <c r="I23" s="2"/>
      <c r="J23" s="19"/>
      <c r="K23" s="2"/>
      <c r="L23" s="2">
        <f t="shared" si="0"/>
        <v>1495.15</v>
      </c>
      <c r="M23" s="2"/>
      <c r="N23" s="19">
        <f t="shared" si="1"/>
        <v>0</v>
      </c>
      <c r="O23" s="11"/>
      <c r="P23" s="2">
        <f>--48395.32</f>
        <v>48395.32</v>
      </c>
      <c r="Q23" s="2"/>
      <c r="R23" s="19"/>
      <c r="S23" s="2"/>
      <c r="T23" s="2"/>
      <c r="U23" s="2"/>
      <c r="V23" s="19"/>
      <c r="W23" s="2"/>
      <c r="X23" s="2">
        <f t="shared" si="2"/>
        <v>48395.32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>--490.12</f>
        <v>490.12</v>
      </c>
      <c r="E24" s="2"/>
      <c r="F24" s="19"/>
      <c r="G24" s="2"/>
      <c r="H24" s="2"/>
      <c r="I24" s="2"/>
      <c r="J24" s="19"/>
      <c r="K24" s="2"/>
      <c r="L24" s="2">
        <f t="shared" si="0"/>
        <v>490.12</v>
      </c>
      <c r="M24" s="2"/>
      <c r="N24" s="19">
        <f t="shared" si="1"/>
        <v>0</v>
      </c>
      <c r="O24" s="11"/>
      <c r="P24" s="2">
        <f>--4700.71</f>
        <v>4700.71</v>
      </c>
      <c r="Q24" s="2"/>
      <c r="R24" s="19"/>
      <c r="S24" s="2"/>
      <c r="T24" s="2"/>
      <c r="U24" s="2"/>
      <c r="V24" s="19"/>
      <c r="W24" s="2"/>
      <c r="X24" s="2">
        <f t="shared" si="2"/>
        <v>4700.71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4"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--444.59</f>
        <v>444.59</v>
      </c>
      <c r="Q25" s="2"/>
      <c r="R25" s="19"/>
      <c r="S25" s="2"/>
      <c r="T25" s="2"/>
      <c r="U25" s="2"/>
      <c r="V25" s="19"/>
      <c r="W25" s="2"/>
      <c r="X25" s="2">
        <f t="shared" si="2"/>
        <v>444.59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--6.78</f>
        <v>6.78</v>
      </c>
      <c r="Q26" s="2"/>
      <c r="R26" s="19"/>
      <c r="S26" s="2"/>
      <c r="T26" s="2"/>
      <c r="U26" s="2"/>
      <c r="V26" s="19"/>
      <c r="W26" s="2"/>
      <c r="X26" s="2">
        <f t="shared" si="2"/>
        <v>6.78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>--187399.42</f>
        <v>187399.42</v>
      </c>
      <c r="E27" s="2"/>
      <c r="F27" s="19"/>
      <c r="G27" s="2"/>
      <c r="H27" s="2"/>
      <c r="I27" s="2"/>
      <c r="J27" s="19"/>
      <c r="K27" s="2"/>
      <c r="L27" s="2">
        <f t="shared" si="0"/>
        <v>187399.42</v>
      </c>
      <c r="M27" s="2"/>
      <c r="N27" s="19">
        <f t="shared" si="1"/>
        <v>0</v>
      </c>
      <c r="O27" s="11"/>
      <c r="P27" s="2">
        <f>--1100580.15</f>
        <v>1100580.1499999999</v>
      </c>
      <c r="Q27" s="2"/>
      <c r="R27" s="19"/>
      <c r="S27" s="2"/>
      <c r="T27" s="2"/>
      <c r="U27" s="2"/>
      <c r="V27" s="19"/>
      <c r="W27" s="2"/>
      <c r="X27" s="2">
        <f t="shared" si="2"/>
        <v>1100580.1499999999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>--191315.61</f>
        <v>191315.61</v>
      </c>
      <c r="E28" s="2"/>
      <c r="F28" s="19"/>
      <c r="G28" s="2"/>
      <c r="H28" s="2"/>
      <c r="I28" s="2"/>
      <c r="J28" s="19"/>
      <c r="K28" s="2"/>
      <c r="L28" s="2">
        <f t="shared" si="0"/>
        <v>191315.61</v>
      </c>
      <c r="M28" s="2"/>
      <c r="N28" s="19">
        <f t="shared" si="1"/>
        <v>0</v>
      </c>
      <c r="O28" s="11"/>
      <c r="P28" s="2">
        <f>--631772.59</f>
        <v>631772.59</v>
      </c>
      <c r="Q28" s="2"/>
      <c r="R28" s="19"/>
      <c r="S28" s="2"/>
      <c r="T28" s="2"/>
      <c r="U28" s="2"/>
      <c r="V28" s="19"/>
      <c r="W28" s="2"/>
      <c r="X28" s="2">
        <f t="shared" si="2"/>
        <v>631772.59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--8228.03</f>
        <v>8228.0300000000007</v>
      </c>
      <c r="E29" s="2"/>
      <c r="F29" s="19"/>
      <c r="G29" s="2"/>
      <c r="H29" s="2"/>
      <c r="I29" s="2"/>
      <c r="J29" s="19"/>
      <c r="K29" s="2"/>
      <c r="L29" s="2">
        <f t="shared" si="0"/>
        <v>8228.0300000000007</v>
      </c>
      <c r="M29" s="2"/>
      <c r="N29" s="19">
        <f t="shared" si="1"/>
        <v>0</v>
      </c>
      <c r="O29" s="11"/>
      <c r="P29" s="2">
        <f>--108906.55</f>
        <v>108906.55</v>
      </c>
      <c r="Q29" s="2"/>
      <c r="R29" s="19"/>
      <c r="S29" s="2"/>
      <c r="T29" s="2"/>
      <c r="U29" s="2"/>
      <c r="V29" s="19"/>
      <c r="W29" s="2"/>
      <c r="X29" s="2">
        <f t="shared" si="2"/>
        <v>108906.55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>--7218.29</f>
        <v>7218.29</v>
      </c>
      <c r="E30" s="2"/>
      <c r="F30" s="19"/>
      <c r="G30" s="2"/>
      <c r="H30" s="2"/>
      <c r="I30" s="2"/>
      <c r="J30" s="19"/>
      <c r="K30" s="2"/>
      <c r="L30" s="2">
        <f t="shared" si="0"/>
        <v>7218.29</v>
      </c>
      <c r="M30" s="2"/>
      <c r="N30" s="19">
        <f t="shared" si="1"/>
        <v>0</v>
      </c>
      <c r="O30" s="11"/>
      <c r="P30" s="2">
        <f>--144077.67</f>
        <v>144077.67000000001</v>
      </c>
      <c r="Q30" s="2"/>
      <c r="R30" s="19"/>
      <c r="S30" s="2"/>
      <c r="T30" s="2"/>
      <c r="U30" s="2"/>
      <c r="V30" s="19"/>
      <c r="W30" s="2"/>
      <c r="X30" s="2">
        <f t="shared" si="2"/>
        <v>144077.67000000001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>--5024.1</f>
        <v>5024.1000000000004</v>
      </c>
      <c r="E31" s="2"/>
      <c r="F31" s="19"/>
      <c r="G31" s="2"/>
      <c r="H31" s="2"/>
      <c r="I31" s="2"/>
      <c r="J31" s="19"/>
      <c r="K31" s="2"/>
      <c r="L31" s="2">
        <f t="shared" si="0"/>
        <v>5024.1000000000004</v>
      </c>
      <c r="M31" s="2"/>
      <c r="N31" s="19">
        <f t="shared" si="1"/>
        <v>0</v>
      </c>
      <c r="O31" s="11"/>
      <c r="P31" s="2">
        <f>--41116.33</f>
        <v>41116.33</v>
      </c>
      <c r="Q31" s="2"/>
      <c r="R31" s="19"/>
      <c r="S31" s="2"/>
      <c r="T31" s="2"/>
      <c r="U31" s="2"/>
      <c r="V31" s="19"/>
      <c r="W31" s="2"/>
      <c r="X31" s="2">
        <f t="shared" si="2"/>
        <v>41116.33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--26335.59</f>
        <v>26335.59</v>
      </c>
      <c r="E32" s="2"/>
      <c r="F32" s="19"/>
      <c r="G32" s="2"/>
      <c r="H32" s="2"/>
      <c r="I32" s="2"/>
      <c r="J32" s="19"/>
      <c r="K32" s="2"/>
      <c r="L32" s="2">
        <f t="shared" si="0"/>
        <v>26335.59</v>
      </c>
      <c r="M32" s="2"/>
      <c r="N32" s="19">
        <f t="shared" si="1"/>
        <v>0</v>
      </c>
      <c r="O32" s="11"/>
      <c r="P32" s="2">
        <f>--233577.93</f>
        <v>233577.93</v>
      </c>
      <c r="Q32" s="2"/>
      <c r="R32" s="19"/>
      <c r="S32" s="2"/>
      <c r="T32" s="2"/>
      <c r="U32" s="2"/>
      <c r="V32" s="19"/>
      <c r="W32" s="2"/>
      <c r="X32" s="2">
        <f t="shared" si="2"/>
        <v>233577.93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"4051", " - ", "TAXABLE SALES-FOOD")</f>
        <v xml:space="preserve">          4051 - TAXABLE SALES-FOOD</v>
      </c>
      <c r="C33" s="11"/>
      <c r="D33" s="2">
        <f>--7161.66</f>
        <v>7161.66</v>
      </c>
      <c r="E33" s="2"/>
      <c r="F33" s="19"/>
      <c r="G33" s="2"/>
      <c r="H33" s="2"/>
      <c r="I33" s="2"/>
      <c r="J33" s="19"/>
      <c r="K33" s="2"/>
      <c r="L33" s="2">
        <f t="shared" si="0"/>
        <v>7161.66</v>
      </c>
      <c r="M33" s="2"/>
      <c r="N33" s="19">
        <f t="shared" si="1"/>
        <v>0</v>
      </c>
      <c r="O33" s="11"/>
      <c r="P33" s="2">
        <f>--39282.92</f>
        <v>39282.92</v>
      </c>
      <c r="Q33" s="2"/>
      <c r="R33" s="19"/>
      <c r="S33" s="2"/>
      <c r="T33" s="2"/>
      <c r="U33" s="2"/>
      <c r="V33" s="19"/>
      <c r="W33" s="2"/>
      <c r="X33" s="2">
        <f t="shared" si="2"/>
        <v>39282.92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"4052", " - ", "TAXABLE SALES-FOOD")</f>
        <v xml:space="preserve">          4052 - TAXABLE SALES-FOOD</v>
      </c>
      <c r="C34" s="11"/>
      <c r="D34" s="2">
        <f>--47978.22</f>
        <v>47978.22</v>
      </c>
      <c r="E34" s="2"/>
      <c r="F34" s="19"/>
      <c r="G34" s="2"/>
      <c r="H34" s="2"/>
      <c r="I34" s="2"/>
      <c r="J34" s="19"/>
      <c r="K34" s="2"/>
      <c r="L34" s="2">
        <f t="shared" si="0"/>
        <v>47978.22</v>
      </c>
      <c r="M34" s="2"/>
      <c r="N34" s="19">
        <f t="shared" si="1"/>
        <v>0</v>
      </c>
      <c r="O34" s="11"/>
      <c r="P34" s="2">
        <f>--428653.01</f>
        <v>428653.01</v>
      </c>
      <c r="Q34" s="2"/>
      <c r="R34" s="19"/>
      <c r="S34" s="2"/>
      <c r="T34" s="2"/>
      <c r="U34" s="2"/>
      <c r="V34" s="19"/>
      <c r="W34" s="2"/>
      <c r="X34" s="2">
        <f t="shared" si="2"/>
        <v>428653.01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"4053", " - ", "TAXABLE SALES-FOOD")</f>
        <v xml:space="preserve">          4053 - TAXABLE SALES-FOOD</v>
      </c>
      <c r="C35" s="11"/>
      <c r="D35" s="2">
        <f>--21.66</f>
        <v>21.66</v>
      </c>
      <c r="E35" s="2"/>
      <c r="F35" s="19"/>
      <c r="G35" s="2"/>
      <c r="H35" s="2"/>
      <c r="I35" s="2"/>
      <c r="J35" s="19"/>
      <c r="K35" s="2"/>
      <c r="L35" s="2">
        <f t="shared" si="0"/>
        <v>21.66</v>
      </c>
      <c r="M35" s="2"/>
      <c r="N35" s="19">
        <f t="shared" si="1"/>
        <v>0</v>
      </c>
      <c r="O35" s="11"/>
      <c r="P35" s="2">
        <f>--1106.56</f>
        <v>1106.56</v>
      </c>
      <c r="Q35" s="2"/>
      <c r="R35" s="19"/>
      <c r="S35" s="2"/>
      <c r="T35" s="2"/>
      <c r="U35" s="2"/>
      <c r="V35" s="19"/>
      <c r="W35" s="2"/>
      <c r="X35" s="2">
        <f t="shared" si="2"/>
        <v>1106.56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"4058", " - ", "TAXABLE SALES-FOOD")</f>
        <v xml:space="preserve">          4058 - TAXABLE SALES-FOOD</v>
      </c>
      <c r="C36" s="11"/>
      <c r="D36" s="2">
        <f>0</f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--974.91</f>
        <v>974.91</v>
      </c>
      <c r="Q36" s="2"/>
      <c r="R36" s="19"/>
      <c r="S36" s="2"/>
      <c r="T36" s="2"/>
      <c r="U36" s="2"/>
      <c r="V36" s="19"/>
      <c r="W36" s="2"/>
      <c r="X36" s="2">
        <f t="shared" si="2"/>
        <v>974.91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"4081", " - ", "TAXABLE SALES-ELECTRONICS")</f>
        <v xml:space="preserve">          4081 - TAXABLE SALES-ELECTRONICS</v>
      </c>
      <c r="C37" s="11"/>
      <c r="D37" s="2">
        <f>--1857.91</f>
        <v>1857.91</v>
      </c>
      <c r="E37" s="2"/>
      <c r="F37" s="19"/>
      <c r="G37" s="2"/>
      <c r="H37" s="2"/>
      <c r="I37" s="2"/>
      <c r="J37" s="19"/>
      <c r="K37" s="2"/>
      <c r="L37" s="2">
        <f t="shared" si="0"/>
        <v>1857.91</v>
      </c>
      <c r="M37" s="2"/>
      <c r="N37" s="19">
        <f t="shared" si="1"/>
        <v>0</v>
      </c>
      <c r="O37" s="11"/>
      <c r="P37" s="2">
        <f>--64025.93</f>
        <v>64025.93</v>
      </c>
      <c r="Q37" s="2"/>
      <c r="R37" s="19"/>
      <c r="S37" s="2"/>
      <c r="T37" s="2"/>
      <c r="U37" s="2"/>
      <c r="V37" s="19"/>
      <c r="W37" s="2"/>
      <c r="X37" s="2">
        <f t="shared" si="2"/>
        <v>64025.93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"4082", " - ", "TAXABLE SALES-COMPUTER HARDWAR")</f>
        <v xml:space="preserve">          4082 - TAXABLE SALES-COMPUTER HARDWAR</v>
      </c>
      <c r="C38" s="11"/>
      <c r="D38" s="2">
        <f>--117610.99</f>
        <v>117610.99</v>
      </c>
      <c r="E38" s="2"/>
      <c r="F38" s="19"/>
      <c r="G38" s="2"/>
      <c r="H38" s="2"/>
      <c r="I38" s="2"/>
      <c r="J38" s="19"/>
      <c r="K38" s="2"/>
      <c r="L38" s="2">
        <f t="shared" si="0"/>
        <v>117610.99</v>
      </c>
      <c r="M38" s="2"/>
      <c r="N38" s="19">
        <f t="shared" si="1"/>
        <v>0</v>
      </c>
      <c r="O38" s="11"/>
      <c r="P38" s="2">
        <f>--2129658.62</f>
        <v>2129658.62</v>
      </c>
      <c r="Q38" s="2"/>
      <c r="R38" s="19"/>
      <c r="S38" s="2"/>
      <c r="T38" s="2"/>
      <c r="U38" s="2"/>
      <c r="V38" s="19"/>
      <c r="W38" s="2"/>
      <c r="X38" s="2">
        <f t="shared" si="2"/>
        <v>2129658.62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"4083", " - ", "TAXABLE SALES-COMPUTER EQUIPME")</f>
        <v xml:space="preserve">          4083 - TAXABLE SALES-COMPUTER EQUIPME</v>
      </c>
      <c r="C39" s="11"/>
      <c r="D39" s="2">
        <f>--10204.05</f>
        <v>10204.049999999999</v>
      </c>
      <c r="E39" s="2"/>
      <c r="F39" s="19"/>
      <c r="G39" s="2"/>
      <c r="H39" s="2"/>
      <c r="I39" s="2"/>
      <c r="J39" s="19"/>
      <c r="K39" s="2"/>
      <c r="L39" s="2">
        <f t="shared" si="0"/>
        <v>10204.049999999999</v>
      </c>
      <c r="M39" s="2"/>
      <c r="N39" s="19">
        <f t="shared" si="1"/>
        <v>0</v>
      </c>
      <c r="O39" s="11"/>
      <c r="P39" s="2">
        <f>--137146.98</f>
        <v>137146.98000000001</v>
      </c>
      <c r="Q39" s="2"/>
      <c r="R39" s="19"/>
      <c r="S39" s="2"/>
      <c r="T39" s="2"/>
      <c r="U39" s="2"/>
      <c r="V39" s="19"/>
      <c r="W39" s="2"/>
      <c r="X39" s="2">
        <f t="shared" si="2"/>
        <v>137146.98000000001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"4085", " - ", "TAXABLE SALES-SOFTWARE")</f>
        <v xml:space="preserve">          4085 - TAXABLE SALES-SOFTWARE</v>
      </c>
      <c r="C40" s="11"/>
      <c r="D40" s="2">
        <f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--4870.79</f>
        <v>4870.79</v>
      </c>
      <c r="Q40" s="2"/>
      <c r="R40" s="19"/>
      <c r="S40" s="2"/>
      <c r="T40" s="2"/>
      <c r="U40" s="2"/>
      <c r="V40" s="19"/>
      <c r="W40" s="2"/>
      <c r="X40" s="2">
        <f t="shared" si="2"/>
        <v>4870.79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"4086", " - ", "TAXABLE SALES-COMPUTER SUPPLIE")</f>
        <v xml:space="preserve">          4086 - TAXABLE SALES-COMPUTER SUPPLIE</v>
      </c>
      <c r="C41" s="11"/>
      <c r="D41" s="2">
        <f>--1662.79</f>
        <v>1662.79</v>
      </c>
      <c r="E41" s="2"/>
      <c r="F41" s="19"/>
      <c r="G41" s="2"/>
      <c r="H41" s="2"/>
      <c r="I41" s="2"/>
      <c r="J41" s="19"/>
      <c r="K41" s="2"/>
      <c r="L41" s="2">
        <f t="shared" si="0"/>
        <v>1662.79</v>
      </c>
      <c r="M41" s="2"/>
      <c r="N41" s="19">
        <f t="shared" si="1"/>
        <v>0</v>
      </c>
      <c r="O41" s="11"/>
      <c r="P41" s="2">
        <f>--66932.42</f>
        <v>66932.42</v>
      </c>
      <c r="Q41" s="2"/>
      <c r="R41" s="19"/>
      <c r="S41" s="2"/>
      <c r="T41" s="2"/>
      <c r="U41" s="2"/>
      <c r="V41" s="19"/>
      <c r="W41" s="2"/>
      <c r="X41" s="2">
        <f t="shared" si="2"/>
        <v>66932.42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"4095", " - ", "TAXABLE SALES-CUSTOMER SERVICE")</f>
        <v xml:space="preserve">          4095 - TAXABLE SALES-CUSTOMER SERVICE</v>
      </c>
      <c r="C42" s="11"/>
      <c r="D42" s="2">
        <f>--10891.24</f>
        <v>10891.24</v>
      </c>
      <c r="E42" s="2"/>
      <c r="F42" s="19"/>
      <c r="G42" s="2"/>
      <c r="H42" s="2"/>
      <c r="I42" s="2"/>
      <c r="J42" s="19"/>
      <c r="K42" s="2"/>
      <c r="L42" s="2">
        <f t="shared" si="0"/>
        <v>10891.24</v>
      </c>
      <c r="M42" s="2"/>
      <c r="N42" s="19">
        <f t="shared" si="1"/>
        <v>0</v>
      </c>
      <c r="O42" s="11"/>
      <c r="P42" s="2">
        <f>--13925.83</f>
        <v>13925.83</v>
      </c>
      <c r="Q42" s="2"/>
      <c r="R42" s="19"/>
      <c r="S42" s="2"/>
      <c r="T42" s="2"/>
      <c r="U42" s="2"/>
      <c r="V42" s="19"/>
      <c r="W42" s="2"/>
      <c r="X42" s="2">
        <f t="shared" si="2"/>
        <v>13925.83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"4100", " - ", "NON-TAXABLE SALES")</f>
        <v xml:space="preserve">          4100 - NON-TAXABLE SALES</v>
      </c>
      <c r="C43" s="11"/>
      <c r="D43" s="2">
        <f>--43179.21</f>
        <v>43179.21</v>
      </c>
      <c r="E43" s="2"/>
      <c r="F43" s="19"/>
      <c r="G43" s="2"/>
      <c r="H43" s="2">
        <v>420976</v>
      </c>
      <c r="I43" s="2"/>
      <c r="J43" s="19"/>
      <c r="K43" s="2"/>
      <c r="L43" s="2">
        <f t="shared" si="0"/>
        <v>-377796.79</v>
      </c>
      <c r="M43" s="2"/>
      <c r="N43" s="19">
        <f t="shared" si="1"/>
        <v>-0.89743070863897223</v>
      </c>
      <c r="O43" s="11"/>
      <c r="P43" s="2">
        <f>--794570.98</f>
        <v>794570.98</v>
      </c>
      <c r="Q43" s="2"/>
      <c r="R43" s="19"/>
      <c r="S43" s="2"/>
      <c r="T43" s="2">
        <v>5665977</v>
      </c>
      <c r="U43" s="2"/>
      <c r="V43" s="19"/>
      <c r="W43" s="2"/>
      <c r="X43" s="2">
        <f t="shared" si="2"/>
        <v>-4871406.0199999996</v>
      </c>
      <c r="Y43" s="2"/>
      <c r="Z43" s="19">
        <f t="shared" si="3"/>
        <v>-0.85976452428239636</v>
      </c>
    </row>
    <row r="44" spans="1:26" s="24" customFormat="1" hidden="1" outlineLevel="1" x14ac:dyDescent="0.25">
      <c r="A44" s="44"/>
      <c r="B44" s="11" t="str">
        <f>CONCATENATE("          ", "4101", " - ", "NON-TAXABLE SALES-NEW TEXT")</f>
        <v xml:space="preserve">          4101 - NON-TAXABLE SALES-NEW TEXT</v>
      </c>
      <c r="C44" s="11"/>
      <c r="D44" s="2">
        <f>--6450.33</f>
        <v>6450.33</v>
      </c>
      <c r="E44" s="2"/>
      <c r="F44" s="19"/>
      <c r="G44" s="2"/>
      <c r="H44" s="2"/>
      <c r="I44" s="2"/>
      <c r="J44" s="19"/>
      <c r="K44" s="2"/>
      <c r="L44" s="2">
        <f t="shared" si="0"/>
        <v>6450.33</v>
      </c>
      <c r="M44" s="2"/>
      <c r="N44" s="19">
        <f t="shared" si="1"/>
        <v>0</v>
      </c>
      <c r="O44" s="11"/>
      <c r="P44" s="2">
        <f>--119247.07</f>
        <v>119247.07</v>
      </c>
      <c r="Q44" s="2"/>
      <c r="R44" s="19"/>
      <c r="S44" s="2"/>
      <c r="T44" s="2"/>
      <c r="U44" s="2"/>
      <c r="V44" s="19"/>
      <c r="W44" s="2"/>
      <c r="X44" s="2">
        <f t="shared" si="2"/>
        <v>119247.07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"4102", " - ", "NON-TAXABLE SALES-USED TEXT")</f>
        <v xml:space="preserve">          4102 - NON-TAXABLE SALES-USED TEXT</v>
      </c>
      <c r="C45" s="11"/>
      <c r="D45" s="2">
        <f>--2343.31</f>
        <v>2343.31</v>
      </c>
      <c r="E45" s="2"/>
      <c r="F45" s="19"/>
      <c r="G45" s="2"/>
      <c r="H45" s="2"/>
      <c r="I45" s="2"/>
      <c r="J45" s="19"/>
      <c r="K45" s="2"/>
      <c r="L45" s="2">
        <f t="shared" si="0"/>
        <v>2343.31</v>
      </c>
      <c r="M45" s="2"/>
      <c r="N45" s="19">
        <f t="shared" si="1"/>
        <v>0</v>
      </c>
      <c r="O45" s="11"/>
      <c r="P45" s="2">
        <f>--51046.73</f>
        <v>51046.73</v>
      </c>
      <c r="Q45" s="2"/>
      <c r="R45" s="19"/>
      <c r="S45" s="2"/>
      <c r="T45" s="2"/>
      <c r="U45" s="2"/>
      <c r="V45" s="19"/>
      <c r="W45" s="2"/>
      <c r="X45" s="2">
        <f t="shared" si="2"/>
        <v>51046.73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"4103", " - ", "NON-TAXABLE SALES-RENTAL TEXT")</f>
        <v xml:space="preserve">          4103 - NON-TAXABLE SALES-RENTAL TEXT</v>
      </c>
      <c r="C46" s="11"/>
      <c r="D46" s="2">
        <f>0</f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--1138.95</f>
        <v>1138.95</v>
      </c>
      <c r="Q46" s="2"/>
      <c r="R46" s="19"/>
      <c r="S46" s="2"/>
      <c r="T46" s="2"/>
      <c r="U46" s="2"/>
      <c r="V46" s="19"/>
      <c r="W46" s="2"/>
      <c r="X46" s="2">
        <f t="shared" si="2"/>
        <v>1138.95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"4104", " - ", "NON-TAXABLE SALES-DIGITAL TEXT")</f>
        <v xml:space="preserve">          4104 - NON-TAXABLE SALES-DIGITAL TEXT</v>
      </c>
      <c r="C47" s="11"/>
      <c r="D47" s="2">
        <f>--10484.56</f>
        <v>10484.56</v>
      </c>
      <c r="E47" s="2"/>
      <c r="F47" s="19"/>
      <c r="G47" s="2"/>
      <c r="H47" s="2"/>
      <c r="I47" s="2"/>
      <c r="J47" s="19"/>
      <c r="K47" s="2"/>
      <c r="L47" s="2">
        <f t="shared" si="0"/>
        <v>10484.56</v>
      </c>
      <c r="M47" s="2"/>
      <c r="N47" s="19">
        <f t="shared" si="1"/>
        <v>0</v>
      </c>
      <c r="O47" s="11"/>
      <c r="P47" s="2">
        <f>--490887.73</f>
        <v>490887.73</v>
      </c>
      <c r="Q47" s="2"/>
      <c r="R47" s="19"/>
      <c r="S47" s="2"/>
      <c r="T47" s="2"/>
      <c r="U47" s="2"/>
      <c r="V47" s="19"/>
      <c r="W47" s="2"/>
      <c r="X47" s="2">
        <f t="shared" si="2"/>
        <v>490887.73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"4113", " - ", "NON-TAXABLE SALES-TRADE BOOKS")</f>
        <v xml:space="preserve">          4113 - NON-TAXABLE SALES-TRADE BOOKS</v>
      </c>
      <c r="C48" s="11"/>
      <c r="D48" s="2">
        <f t="shared" ref="D48:D50" si="5">0</f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--12127.25</f>
        <v>12127.25</v>
      </c>
      <c r="Q48" s="2"/>
      <c r="R48" s="19"/>
      <c r="S48" s="2"/>
      <c r="T48" s="2"/>
      <c r="U48" s="2"/>
      <c r="V48" s="19"/>
      <c r="W48" s="2"/>
      <c r="X48" s="2">
        <f t="shared" si="2"/>
        <v>12127.25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"4118", " - ", "NON-TAXABLE SALES-STUDY GUIDES")</f>
        <v xml:space="preserve">          4118 - NON-TAXABLE SALES-STUDY GUIDES</v>
      </c>
      <c r="C49" s="11"/>
      <c r="D49" s="2">
        <f t="shared" si="5"/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--771.73</f>
        <v>771.73</v>
      </c>
      <c r="Q49" s="2"/>
      <c r="R49" s="19"/>
      <c r="S49" s="2"/>
      <c r="T49" s="2"/>
      <c r="U49" s="2"/>
      <c r="V49" s="19"/>
      <c r="W49" s="2"/>
      <c r="X49" s="2">
        <f t="shared" si="2"/>
        <v>771.73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"4126", " - ", "NON-TAXABLE SALES-WRITING INST")</f>
        <v xml:space="preserve">          4126 - NON-TAXABLE SALES-WRITING INST</v>
      </c>
      <c r="C50" s="11"/>
      <c r="D50" s="2">
        <f t="shared" si="5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--52.68</f>
        <v>52.68</v>
      </c>
      <c r="Q50" s="2"/>
      <c r="R50" s="19"/>
      <c r="S50" s="2"/>
      <c r="T50" s="2"/>
      <c r="U50" s="2"/>
      <c r="V50" s="19"/>
      <c r="W50" s="2"/>
      <c r="X50" s="2">
        <f t="shared" si="2"/>
        <v>52.68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"4127", " - ", "NON-TAXABLE SALES-SCHOOL SUPPL")</f>
        <v xml:space="preserve">          4127 - NON-TAXABLE SALES-SCHOOL SUPPL</v>
      </c>
      <c r="C51" s="11"/>
      <c r="D51" s="2">
        <f>--548.05</f>
        <v>548.04999999999995</v>
      </c>
      <c r="E51" s="2"/>
      <c r="F51" s="19"/>
      <c r="G51" s="2"/>
      <c r="H51" s="2"/>
      <c r="I51" s="2"/>
      <c r="J51" s="19"/>
      <c r="K51" s="2"/>
      <c r="L51" s="2">
        <f t="shared" si="0"/>
        <v>548.04999999999995</v>
      </c>
      <c r="M51" s="2"/>
      <c r="N51" s="19">
        <f t="shared" si="1"/>
        <v>0</v>
      </c>
      <c r="O51" s="11"/>
      <c r="P51" s="2">
        <f>--7648.73</f>
        <v>7648.73</v>
      </c>
      <c r="Q51" s="2"/>
      <c r="R51" s="19"/>
      <c r="S51" s="2"/>
      <c r="T51" s="2"/>
      <c r="U51" s="2"/>
      <c r="V51" s="19"/>
      <c r="W51" s="2"/>
      <c r="X51" s="2">
        <f t="shared" si="2"/>
        <v>7648.73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"4128", " - ", "NON-TAXABLE SALES-ART/TECH")</f>
        <v xml:space="preserve">          4128 - NON-TAXABLE SALES-ART/TECH</v>
      </c>
      <c r="C52" s="11"/>
      <c r="D52" s="2">
        <f>--45.96</f>
        <v>45.96</v>
      </c>
      <c r="E52" s="2"/>
      <c r="F52" s="19"/>
      <c r="G52" s="2"/>
      <c r="H52" s="2"/>
      <c r="I52" s="2"/>
      <c r="J52" s="19"/>
      <c r="K52" s="2"/>
      <c r="L52" s="2">
        <f t="shared" si="0"/>
        <v>45.96</v>
      </c>
      <c r="M52" s="2"/>
      <c r="N52" s="19">
        <f t="shared" si="1"/>
        <v>0</v>
      </c>
      <c r="O52" s="11"/>
      <c r="P52" s="2">
        <f>--115.91</f>
        <v>115.91</v>
      </c>
      <c r="Q52" s="2"/>
      <c r="R52" s="19"/>
      <c r="S52" s="2"/>
      <c r="T52" s="2"/>
      <c r="U52" s="2"/>
      <c r="V52" s="19"/>
      <c r="W52" s="2"/>
      <c r="X52" s="2">
        <f t="shared" si="2"/>
        <v>115.91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"4131", " - ", "NON-TAXABLE SALES-FOOD")</f>
        <v xml:space="preserve">          4131 - NON-TAXABLE SALES-FOOD</v>
      </c>
      <c r="C53" s="11"/>
      <c r="D53" s="2">
        <f>--775.78</f>
        <v>775.78</v>
      </c>
      <c r="E53" s="2"/>
      <c r="F53" s="19"/>
      <c r="G53" s="2"/>
      <c r="H53" s="2"/>
      <c r="I53" s="2"/>
      <c r="J53" s="19"/>
      <c r="K53" s="2"/>
      <c r="L53" s="2">
        <f t="shared" si="0"/>
        <v>775.78</v>
      </c>
      <c r="M53" s="2"/>
      <c r="N53" s="19">
        <f t="shared" si="1"/>
        <v>0</v>
      </c>
      <c r="O53" s="11"/>
      <c r="P53" s="2">
        <f>--12156.14</f>
        <v>12156.14</v>
      </c>
      <c r="Q53" s="2"/>
      <c r="R53" s="19"/>
      <c r="S53" s="2"/>
      <c r="T53" s="2"/>
      <c r="U53" s="2"/>
      <c r="V53" s="19"/>
      <c r="W53" s="2"/>
      <c r="X53" s="2">
        <f t="shared" si="2"/>
        <v>12156.14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"4132", " - ", "NON-TAXABLE SALES-JUICE")</f>
        <v xml:space="preserve">          4132 - NON-TAXABLE SALES-JUICE</v>
      </c>
      <c r="C54" s="11"/>
      <c r="D54" s="2">
        <f t="shared" ref="D54:D57" si="6">0</f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--2054.37</f>
        <v>2054.37</v>
      </c>
      <c r="Q54" s="2"/>
      <c r="R54" s="19"/>
      <c r="S54" s="2"/>
      <c r="T54" s="2"/>
      <c r="U54" s="2"/>
      <c r="V54" s="19"/>
      <c r="W54" s="2"/>
      <c r="X54" s="2">
        <f t="shared" si="2"/>
        <v>2054.37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"4133", " - ", "NON-TAXABLE SALES-CANDY")</f>
        <v xml:space="preserve">          4133 - NON-TAXABLE SALES-CANDY</v>
      </c>
      <c r="C55" s="11"/>
      <c r="D55" s="2">
        <f t="shared" si="6"/>
        <v>0</v>
      </c>
      <c r="E55" s="2"/>
      <c r="F55" s="19"/>
      <c r="G55" s="2"/>
      <c r="H55" s="2"/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--80.71</f>
        <v>80.709999999999994</v>
      </c>
      <c r="Q55" s="2"/>
      <c r="R55" s="19"/>
      <c r="S55" s="2"/>
      <c r="T55" s="2"/>
      <c r="U55" s="2"/>
      <c r="V55" s="19"/>
      <c r="W55" s="2"/>
      <c r="X55" s="2">
        <f t="shared" si="2"/>
        <v>80.709999999999994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"4134", " - ", "NON-TAXABLE SALES-SODA")</f>
        <v xml:space="preserve">          4134 - NON-TAXABLE SALES-SODA</v>
      </c>
      <c r="C56" s="11"/>
      <c r="D56" s="2">
        <f t="shared" si="6"/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--45.53</f>
        <v>45.53</v>
      </c>
      <c r="Q56" s="2"/>
      <c r="R56" s="19"/>
      <c r="S56" s="2"/>
      <c r="T56" s="2"/>
      <c r="U56" s="2"/>
      <c r="V56" s="19"/>
      <c r="W56" s="2"/>
      <c r="X56" s="2">
        <f t="shared" si="2"/>
        <v>45.53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"4137", " - ", "NON-TAXABLE SALES-WATER")</f>
        <v xml:space="preserve">          4137 - NON-TAXABLE SALES-WATER</v>
      </c>
      <c r="C57" s="11"/>
      <c r="D57" s="2">
        <f t="shared" si="6"/>
        <v>0</v>
      </c>
      <c r="E57" s="2"/>
      <c r="F57" s="19"/>
      <c r="G57" s="2"/>
      <c r="H57" s="2"/>
      <c r="I57" s="2"/>
      <c r="J57" s="19"/>
      <c r="K57" s="2"/>
      <c r="L57" s="2">
        <f t="shared" si="0"/>
        <v>0</v>
      </c>
      <c r="M57" s="2"/>
      <c r="N57" s="19">
        <f t="shared" si="1"/>
        <v>0</v>
      </c>
      <c r="O57" s="11"/>
      <c r="P57" s="2">
        <f>--68.25</f>
        <v>68.25</v>
      </c>
      <c r="Q57" s="2"/>
      <c r="R57" s="19"/>
      <c r="S57" s="2"/>
      <c r="T57" s="2"/>
      <c r="U57" s="2"/>
      <c r="V57" s="19"/>
      <c r="W57" s="2"/>
      <c r="X57" s="2">
        <f t="shared" si="2"/>
        <v>68.25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"4140", " - ", "NON-TAXABLE SALES-LOGO CLOTHIN")</f>
        <v xml:space="preserve">          4140 - NON-TAXABLE SALES-LOGO CLOTHIN</v>
      </c>
      <c r="C58" s="11"/>
      <c r="D58" s="2">
        <f>--16733.37</f>
        <v>16733.37</v>
      </c>
      <c r="E58" s="2"/>
      <c r="F58" s="19"/>
      <c r="G58" s="2"/>
      <c r="H58" s="2"/>
      <c r="I58" s="2"/>
      <c r="J58" s="19"/>
      <c r="K58" s="2"/>
      <c r="L58" s="2">
        <f t="shared" si="0"/>
        <v>16733.37</v>
      </c>
      <c r="M58" s="2"/>
      <c r="N58" s="19">
        <f t="shared" si="1"/>
        <v>0</v>
      </c>
      <c r="O58" s="11"/>
      <c r="P58" s="2">
        <f>--171525.76</f>
        <v>171525.76000000001</v>
      </c>
      <c r="Q58" s="2"/>
      <c r="R58" s="19"/>
      <c r="S58" s="2"/>
      <c r="T58" s="2"/>
      <c r="U58" s="2"/>
      <c r="V58" s="19"/>
      <c r="W58" s="2"/>
      <c r="X58" s="2">
        <f t="shared" si="2"/>
        <v>171525.76000000001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"4141", " - ", "NON-TAXABLE SALES-LOGO GIFTS")</f>
        <v xml:space="preserve">          4141 - NON-TAXABLE SALES-LOGO GIFTS</v>
      </c>
      <c r="C59" s="11"/>
      <c r="D59" s="2">
        <f>--2359.22</f>
        <v>2359.2199999999998</v>
      </c>
      <c r="E59" s="2"/>
      <c r="F59" s="19"/>
      <c r="G59" s="2"/>
      <c r="H59" s="2"/>
      <c r="I59" s="2"/>
      <c r="J59" s="19"/>
      <c r="K59" s="2"/>
      <c r="L59" s="2">
        <f t="shared" si="0"/>
        <v>2359.2199999999998</v>
      </c>
      <c r="M59" s="2"/>
      <c r="N59" s="19">
        <f t="shared" si="1"/>
        <v>0</v>
      </c>
      <c r="O59" s="11"/>
      <c r="P59" s="2">
        <f>--39156.03</f>
        <v>39156.03</v>
      </c>
      <c r="Q59" s="2"/>
      <c r="R59" s="19"/>
      <c r="S59" s="2"/>
      <c r="T59" s="2"/>
      <c r="U59" s="2"/>
      <c r="V59" s="19"/>
      <c r="W59" s="2"/>
      <c r="X59" s="2">
        <f t="shared" si="2"/>
        <v>39156.03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"4142", " - ", "NON-TAXABLE SALES-EVERYDAY GIF")</f>
        <v xml:space="preserve">          4142 - NON-TAXABLE SALES-EVERYDAY GIF</v>
      </c>
      <c r="C60" s="11"/>
      <c r="D60" s="2">
        <f>--16.35</f>
        <v>16.350000000000001</v>
      </c>
      <c r="E60" s="2"/>
      <c r="F60" s="19"/>
      <c r="G60" s="2"/>
      <c r="H60" s="2"/>
      <c r="I60" s="2"/>
      <c r="J60" s="19"/>
      <c r="K60" s="2"/>
      <c r="L60" s="2">
        <f t="shared" si="0"/>
        <v>16.350000000000001</v>
      </c>
      <c r="M60" s="2"/>
      <c r="N60" s="19">
        <f t="shared" si="1"/>
        <v>0</v>
      </c>
      <c r="O60" s="11"/>
      <c r="P60" s="2">
        <f>--2604.45</f>
        <v>2604.4499999999998</v>
      </c>
      <c r="Q60" s="2"/>
      <c r="R60" s="19"/>
      <c r="S60" s="2"/>
      <c r="T60" s="2"/>
      <c r="U60" s="2"/>
      <c r="V60" s="19"/>
      <c r="W60" s="2"/>
      <c r="X60" s="2">
        <f t="shared" si="2"/>
        <v>2604.4499999999998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"4143", " - ", "NON-TAXABLE SALES-CARDS")</f>
        <v xml:space="preserve">          4143 - NON-TAXABLE SALES-CARDS</v>
      </c>
      <c r="C61" s="11"/>
      <c r="D61" s="2">
        <f>--120.71</f>
        <v>120.71</v>
      </c>
      <c r="E61" s="2"/>
      <c r="F61" s="19"/>
      <c r="G61" s="2"/>
      <c r="H61" s="2"/>
      <c r="I61" s="2"/>
      <c r="J61" s="19"/>
      <c r="K61" s="2"/>
      <c r="L61" s="2">
        <f t="shared" si="0"/>
        <v>120.71</v>
      </c>
      <c r="M61" s="2"/>
      <c r="N61" s="19">
        <f t="shared" si="1"/>
        <v>0</v>
      </c>
      <c r="O61" s="11"/>
      <c r="P61" s="2">
        <f>--2552.16</f>
        <v>2552.16</v>
      </c>
      <c r="Q61" s="2"/>
      <c r="R61" s="19"/>
      <c r="S61" s="2"/>
      <c r="T61" s="2"/>
      <c r="U61" s="2"/>
      <c r="V61" s="19"/>
      <c r="W61" s="2"/>
      <c r="X61" s="2">
        <f t="shared" si="2"/>
        <v>2552.16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"4144", " - ", "NON-TAXABLE SALES-ACCESSORIES")</f>
        <v xml:space="preserve">          4144 - NON-TAXABLE SALES-ACCESSORIES</v>
      </c>
      <c r="C62" s="11"/>
      <c r="D62" s="2">
        <f>--164.7</f>
        <v>164.7</v>
      </c>
      <c r="E62" s="2"/>
      <c r="F62" s="19"/>
      <c r="G62" s="2"/>
      <c r="H62" s="2"/>
      <c r="I62" s="2"/>
      <c r="J62" s="19"/>
      <c r="K62" s="2"/>
      <c r="L62" s="2">
        <f t="shared" si="0"/>
        <v>164.7</v>
      </c>
      <c r="M62" s="2"/>
      <c r="N62" s="19">
        <f t="shared" si="1"/>
        <v>0</v>
      </c>
      <c r="O62" s="11"/>
      <c r="P62" s="2">
        <f>--873.8</f>
        <v>873.8</v>
      </c>
      <c r="Q62" s="2"/>
      <c r="R62" s="19"/>
      <c r="S62" s="2"/>
      <c r="T62" s="2"/>
      <c r="U62" s="2"/>
      <c r="V62" s="19"/>
      <c r="W62" s="2"/>
      <c r="X62" s="2">
        <f t="shared" si="2"/>
        <v>873.8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"4145", " - ", "NON-TAXABLE SALES-SPECIAL ORDE")</f>
        <v xml:space="preserve">          4145 - NON-TAXABLE SALES-SPECIAL ORDE</v>
      </c>
      <c r="C63" s="11"/>
      <c r="D63" s="2">
        <f>0</f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--74066.89</f>
        <v>74066.89</v>
      </c>
      <c r="Q63" s="2"/>
      <c r="R63" s="19"/>
      <c r="S63" s="2"/>
      <c r="T63" s="2"/>
      <c r="U63" s="2"/>
      <c r="V63" s="19"/>
      <c r="W63" s="2"/>
      <c r="X63" s="2">
        <f t="shared" si="2"/>
        <v>74066.89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"4146", " - ", "NON-TAXABLE SALES-COIN OP MACH")</f>
        <v xml:space="preserve">          4146 - NON-TAXABLE SALES-COIN OP MACH</v>
      </c>
      <c r="C64" s="11"/>
      <c r="D64" s="2">
        <f>--56.6</f>
        <v>56.6</v>
      </c>
      <c r="E64" s="2"/>
      <c r="F64" s="19"/>
      <c r="G64" s="2"/>
      <c r="H64" s="2"/>
      <c r="I64" s="2"/>
      <c r="J64" s="19"/>
      <c r="K64" s="2"/>
      <c r="L64" s="2">
        <f t="shared" si="0"/>
        <v>56.6</v>
      </c>
      <c r="M64" s="2"/>
      <c r="N64" s="19">
        <f t="shared" si="1"/>
        <v>0</v>
      </c>
      <c r="O64" s="11"/>
      <c r="P64" s="2">
        <f>--385.9</f>
        <v>385.9</v>
      </c>
      <c r="Q64" s="2"/>
      <c r="R64" s="19"/>
      <c r="S64" s="2"/>
      <c r="T64" s="2"/>
      <c r="U64" s="2"/>
      <c r="V64" s="19"/>
      <c r="W64" s="2"/>
      <c r="X64" s="2">
        <f t="shared" si="2"/>
        <v>385.9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"4147", " - ", "NON-TAXABLE SALES-MISC")</f>
        <v xml:space="preserve">          4147 - NON-TAXABLE SALES-MISC</v>
      </c>
      <c r="C65" s="11"/>
      <c r="D65" s="2">
        <f>--13.5</f>
        <v>13.5</v>
      </c>
      <c r="E65" s="2"/>
      <c r="F65" s="19"/>
      <c r="G65" s="2"/>
      <c r="H65" s="2"/>
      <c r="I65" s="2"/>
      <c r="J65" s="19"/>
      <c r="K65" s="2"/>
      <c r="L65" s="2">
        <f t="shared" si="0"/>
        <v>13.5</v>
      </c>
      <c r="M65" s="2"/>
      <c r="N65" s="19">
        <f t="shared" si="1"/>
        <v>0</v>
      </c>
      <c r="O65" s="11"/>
      <c r="P65" s="2">
        <f>--168</f>
        <v>168</v>
      </c>
      <c r="Q65" s="2"/>
      <c r="R65" s="19"/>
      <c r="S65" s="2"/>
      <c r="T65" s="2"/>
      <c r="U65" s="2"/>
      <c r="V65" s="19"/>
      <c r="W65" s="2"/>
      <c r="X65" s="2">
        <f t="shared" si="2"/>
        <v>168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"4151", " - ", "NON-TAXABLE SALES-FOOD")</f>
        <v xml:space="preserve">          4151 - NON-TAXABLE SALES-FOOD</v>
      </c>
      <c r="C66" s="11"/>
      <c r="D66" s="2">
        <f>--54229.87</f>
        <v>54229.87</v>
      </c>
      <c r="E66" s="2"/>
      <c r="F66" s="19"/>
      <c r="G66" s="2"/>
      <c r="H66" s="2"/>
      <c r="I66" s="2"/>
      <c r="J66" s="19"/>
      <c r="K66" s="2"/>
      <c r="L66" s="2">
        <f t="shared" si="0"/>
        <v>54229.87</v>
      </c>
      <c r="M66" s="2"/>
      <c r="N66" s="19">
        <f t="shared" si="1"/>
        <v>0</v>
      </c>
      <c r="O66" s="11"/>
      <c r="P66" s="2">
        <f>--978326.99</f>
        <v>978326.99</v>
      </c>
      <c r="Q66" s="2"/>
      <c r="R66" s="19"/>
      <c r="S66" s="2"/>
      <c r="T66" s="2"/>
      <c r="U66" s="2"/>
      <c r="V66" s="19"/>
      <c r="W66" s="2"/>
      <c r="X66" s="2">
        <f t="shared" si="2"/>
        <v>978326.99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"4152", " - ", "NON-TAXABLE SALES-FOOD")</f>
        <v xml:space="preserve">          4152 - NON-TAXABLE SALES-FOOD</v>
      </c>
      <c r="C67" s="11"/>
      <c r="D67" s="2">
        <f>0</f>
        <v>0</v>
      </c>
      <c r="E67" s="2"/>
      <c r="F67" s="19"/>
      <c r="G67" s="2"/>
      <c r="H67" s="2"/>
      <c r="I67" s="2"/>
      <c r="J67" s="19"/>
      <c r="K67" s="2"/>
      <c r="L67" s="2">
        <f t="shared" si="0"/>
        <v>0</v>
      </c>
      <c r="M67" s="2"/>
      <c r="N67" s="19">
        <f t="shared" si="1"/>
        <v>0</v>
      </c>
      <c r="O67" s="11"/>
      <c r="P67" s="2">
        <f>--11580.95</f>
        <v>11580.95</v>
      </c>
      <c r="Q67" s="2"/>
      <c r="R67" s="19"/>
      <c r="S67" s="2"/>
      <c r="T67" s="2"/>
      <c r="U67" s="2"/>
      <c r="V67" s="19"/>
      <c r="W67" s="2"/>
      <c r="X67" s="2">
        <f t="shared" si="2"/>
        <v>11580.95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"4153", " - ", "NON-TAXABLE SALES-FOOD")</f>
        <v xml:space="preserve">          4153 - NON-TAXABLE SALES-FOOD</v>
      </c>
      <c r="C68" s="11"/>
      <c r="D68" s="2">
        <f>--2896.04</f>
        <v>2896.04</v>
      </c>
      <c r="E68" s="2"/>
      <c r="F68" s="19"/>
      <c r="G68" s="2"/>
      <c r="H68" s="2"/>
      <c r="I68" s="2"/>
      <c r="J68" s="19"/>
      <c r="K68" s="2"/>
      <c r="L68" s="2">
        <f t="shared" si="0"/>
        <v>2896.04</v>
      </c>
      <c r="M68" s="2"/>
      <c r="N68" s="19">
        <f t="shared" si="1"/>
        <v>0</v>
      </c>
      <c r="O68" s="11"/>
      <c r="P68" s="2">
        <f>--50734.77</f>
        <v>50734.77</v>
      </c>
      <c r="Q68" s="2"/>
      <c r="R68" s="19"/>
      <c r="S68" s="2"/>
      <c r="T68" s="2"/>
      <c r="U68" s="2"/>
      <c r="V68" s="19"/>
      <c r="W68" s="2"/>
      <c r="X68" s="2">
        <f t="shared" si="2"/>
        <v>50734.77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"4181", " - ", "NON-TAXABLE SALES-ELECTRONICS")</f>
        <v xml:space="preserve">          4181 - NON-TAXABLE SALES-ELECTRONICS</v>
      </c>
      <c r="C69" s="11"/>
      <c r="D69" s="2">
        <f>--1779.96</f>
        <v>1779.96</v>
      </c>
      <c r="E69" s="2"/>
      <c r="F69" s="19"/>
      <c r="G69" s="2"/>
      <c r="H69" s="2"/>
      <c r="I69" s="2"/>
      <c r="J69" s="19"/>
      <c r="K69" s="2"/>
      <c r="L69" s="2">
        <f t="shared" si="0"/>
        <v>1779.96</v>
      </c>
      <c r="M69" s="2"/>
      <c r="N69" s="19">
        <f t="shared" si="1"/>
        <v>0</v>
      </c>
      <c r="O69" s="11"/>
      <c r="P69" s="2">
        <f>--14288.58</f>
        <v>14288.58</v>
      </c>
      <c r="Q69" s="2"/>
      <c r="R69" s="19"/>
      <c r="S69" s="2"/>
      <c r="T69" s="2"/>
      <c r="U69" s="2"/>
      <c r="V69" s="19"/>
      <c r="W69" s="2"/>
      <c r="X69" s="2">
        <f t="shared" si="2"/>
        <v>14288.58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"4182", " - ", "NON-TAXABLE SALES-COMPUTER HAR")</f>
        <v xml:space="preserve">          4182 - NON-TAXABLE SALES-COMPUTER HAR</v>
      </c>
      <c r="C70" s="11"/>
      <c r="D70" s="2">
        <f>--33038.75</f>
        <v>33038.75</v>
      </c>
      <c r="E70" s="2"/>
      <c r="F70" s="19"/>
      <c r="G70" s="2"/>
      <c r="H70" s="2"/>
      <c r="I70" s="2"/>
      <c r="J70" s="19"/>
      <c r="K70" s="2"/>
      <c r="L70" s="2">
        <f t="shared" si="0"/>
        <v>33038.75</v>
      </c>
      <c r="M70" s="2"/>
      <c r="N70" s="19">
        <f t="shared" si="1"/>
        <v>0</v>
      </c>
      <c r="O70" s="11"/>
      <c r="P70" s="2">
        <f>--347529.22</f>
        <v>347529.22</v>
      </c>
      <c r="Q70" s="2"/>
      <c r="R70" s="19"/>
      <c r="S70" s="2"/>
      <c r="T70" s="2"/>
      <c r="U70" s="2"/>
      <c r="V70" s="19"/>
      <c r="W70" s="2"/>
      <c r="X70" s="2">
        <f t="shared" si="2"/>
        <v>347529.22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"4183", " - ", "NON-TAXABLE SALES-COMPUTER EQU")</f>
        <v xml:space="preserve">          4183 - NON-TAXABLE SALES-COMPUTER EQU</v>
      </c>
      <c r="C71" s="11"/>
      <c r="D71" s="2">
        <f>--2959.73</f>
        <v>2959.73</v>
      </c>
      <c r="E71" s="2"/>
      <c r="F71" s="19"/>
      <c r="G71" s="2"/>
      <c r="H71" s="2"/>
      <c r="I71" s="2"/>
      <c r="J71" s="19"/>
      <c r="K71" s="2"/>
      <c r="L71" s="2">
        <f t="shared" si="0"/>
        <v>2959.73</v>
      </c>
      <c r="M71" s="2"/>
      <c r="N71" s="19">
        <f t="shared" si="1"/>
        <v>0</v>
      </c>
      <c r="O71" s="11"/>
      <c r="P71" s="2">
        <f>--22445.75</f>
        <v>22445.75</v>
      </c>
      <c r="Q71" s="2"/>
      <c r="R71" s="19"/>
      <c r="S71" s="2"/>
      <c r="T71" s="2"/>
      <c r="U71" s="2"/>
      <c r="V71" s="19"/>
      <c r="W71" s="2"/>
      <c r="X71" s="2">
        <f t="shared" si="2"/>
        <v>22445.75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"4185", " - ", "NON-TAXABLE SALES-SOFTWARE")</f>
        <v xml:space="preserve">          4185 - NON-TAXABLE SALES-SOFTWARE</v>
      </c>
      <c r="C72" s="11"/>
      <c r="D72" s="2">
        <f>--5925.22</f>
        <v>5925.22</v>
      </c>
      <c r="E72" s="2"/>
      <c r="F72" s="19"/>
      <c r="G72" s="2"/>
      <c r="H72" s="2"/>
      <c r="I72" s="2"/>
      <c r="J72" s="19"/>
      <c r="K72" s="2"/>
      <c r="L72" s="2">
        <f t="shared" si="0"/>
        <v>5925.22</v>
      </c>
      <c r="M72" s="2"/>
      <c r="N72" s="19">
        <f t="shared" si="1"/>
        <v>0</v>
      </c>
      <c r="O72" s="11"/>
      <c r="P72" s="2">
        <f>--55957.61</f>
        <v>55957.61</v>
      </c>
      <c r="Q72" s="2"/>
      <c r="R72" s="19"/>
      <c r="S72" s="2"/>
      <c r="T72" s="2"/>
      <c r="U72" s="2"/>
      <c r="V72" s="19"/>
      <c r="W72" s="2"/>
      <c r="X72" s="2">
        <f t="shared" si="2"/>
        <v>55957.61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"4186", " - ", "NON-TAXABLE SALES-COMPUTER SUP")</f>
        <v xml:space="preserve">          4186 - NON-TAXABLE SALES-COMPUTER SUP</v>
      </c>
      <c r="C73" s="11"/>
      <c r="D73" s="2">
        <f>--133.97</f>
        <v>133.97</v>
      </c>
      <c r="E73" s="2"/>
      <c r="F73" s="19"/>
      <c r="G73" s="2"/>
      <c r="H73" s="2"/>
      <c r="I73" s="2"/>
      <c r="J73" s="19"/>
      <c r="K73" s="2"/>
      <c r="L73" s="2">
        <f t="shared" si="0"/>
        <v>133.97</v>
      </c>
      <c r="M73" s="2"/>
      <c r="N73" s="19">
        <f t="shared" si="1"/>
        <v>0</v>
      </c>
      <c r="O73" s="11"/>
      <c r="P73" s="2">
        <f>--3479.14</f>
        <v>3479.14</v>
      </c>
      <c r="Q73" s="2"/>
      <c r="R73" s="19"/>
      <c r="S73" s="2"/>
      <c r="T73" s="2"/>
      <c r="U73" s="2"/>
      <c r="V73" s="19"/>
      <c r="W73" s="2"/>
      <c r="X73" s="2">
        <f t="shared" si="2"/>
        <v>3479.14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"4201", " - ", "SALES RETURN TAXABLE-NEW TEXT")</f>
        <v xml:space="preserve">          4201 - SALES RETURN TAXABLE-NEW TEXT</v>
      </c>
      <c r="C74" s="11"/>
      <c r="D74" s="2">
        <f>-658.4</f>
        <v>-658.4</v>
      </c>
      <c r="E74" s="2"/>
      <c r="F74" s="19"/>
      <c r="G74" s="2"/>
      <c r="H74" s="2"/>
      <c r="I74" s="2"/>
      <c r="J74" s="19"/>
      <c r="K74" s="2"/>
      <c r="L74" s="2">
        <f t="shared" si="0"/>
        <v>-658.4</v>
      </c>
      <c r="M74" s="2"/>
      <c r="N74" s="19">
        <f t="shared" si="1"/>
        <v>0</v>
      </c>
      <c r="O74" s="11"/>
      <c r="P74" s="2">
        <f>-52296.42</f>
        <v>-52296.42</v>
      </c>
      <c r="Q74" s="2"/>
      <c r="R74" s="19"/>
      <c r="S74" s="2"/>
      <c r="T74" s="2"/>
      <c r="U74" s="2"/>
      <c r="V74" s="19"/>
      <c r="W74" s="2"/>
      <c r="X74" s="2">
        <f t="shared" si="2"/>
        <v>-52296.42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"4202", " - ", "SALES RETURN TAXABLE-USED TEXT")</f>
        <v xml:space="preserve">          4202 - SALES RETURN TAXABLE-USED TEXT</v>
      </c>
      <c r="C75" s="11"/>
      <c r="D75" s="2">
        <f>-359.4</f>
        <v>-359.4</v>
      </c>
      <c r="E75" s="2"/>
      <c r="F75" s="19"/>
      <c r="G75" s="2"/>
      <c r="H75" s="2"/>
      <c r="I75" s="2"/>
      <c r="J75" s="19"/>
      <c r="K75" s="2"/>
      <c r="L75" s="2">
        <f t="shared" si="0"/>
        <v>-359.4</v>
      </c>
      <c r="M75" s="2"/>
      <c r="N75" s="19">
        <f t="shared" si="1"/>
        <v>0</v>
      </c>
      <c r="O75" s="11"/>
      <c r="P75" s="2">
        <f>-20455.66</f>
        <v>-20455.66</v>
      </c>
      <c r="Q75" s="2"/>
      <c r="R75" s="19"/>
      <c r="S75" s="2"/>
      <c r="T75" s="2"/>
      <c r="U75" s="2"/>
      <c r="V75" s="19"/>
      <c r="W75" s="2"/>
      <c r="X75" s="2">
        <f t="shared" si="2"/>
        <v>-20455.66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"4204", " - ", "SALES RETURN TAXABLE-DIGITAL T")</f>
        <v xml:space="preserve">          4204 - SALES RETURN TAXABLE-DIGITAL T</v>
      </c>
      <c r="C76" s="11"/>
      <c r="D76" s="2">
        <f>0</f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-1763.1</f>
        <v>-1763.1</v>
      </c>
      <c r="Q76" s="2"/>
      <c r="R76" s="19"/>
      <c r="S76" s="2"/>
      <c r="T76" s="2"/>
      <c r="U76" s="2"/>
      <c r="V76" s="19"/>
      <c r="W76" s="2"/>
      <c r="X76" s="2">
        <f t="shared" si="2"/>
        <v>-1763.1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"4213", " - ", "NON-TAXABLE SALES-TRADE BOOKS")</f>
        <v xml:space="preserve">          4213 - NON-TAXABLE SALES-TRADE BOOKS</v>
      </c>
      <c r="C77" s="11"/>
      <c r="D77" s="2">
        <f>-8.99</f>
        <v>-8.99</v>
      </c>
      <c r="E77" s="2"/>
      <c r="F77" s="19"/>
      <c r="G77" s="2"/>
      <c r="H77" s="2"/>
      <c r="I77" s="2"/>
      <c r="J77" s="19"/>
      <c r="K77" s="2"/>
      <c r="L77" s="2">
        <f t="shared" si="0"/>
        <v>-8.99</v>
      </c>
      <c r="M77" s="2"/>
      <c r="N77" s="19">
        <f t="shared" si="1"/>
        <v>0</v>
      </c>
      <c r="O77" s="11"/>
      <c r="P77" s="2">
        <f>-78.92</f>
        <v>-78.92</v>
      </c>
      <c r="Q77" s="2"/>
      <c r="R77" s="19"/>
      <c r="S77" s="2"/>
      <c r="T77" s="2"/>
      <c r="U77" s="2"/>
      <c r="V77" s="19"/>
      <c r="W77" s="2"/>
      <c r="X77" s="2">
        <f t="shared" si="2"/>
        <v>-78.92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"4218", " - ", "SALES RETURN TAXABLE-STUDY GUI")</f>
        <v xml:space="preserve">          4218 - SALES RETURN TAXABLE-STUDY GUI</v>
      </c>
      <c r="C78" s="11"/>
      <c r="D78" s="2">
        <f>0</f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-5.21</f>
        <v>-5.21</v>
      </c>
      <c r="Q78" s="2"/>
      <c r="R78" s="19"/>
      <c r="S78" s="2"/>
      <c r="T78" s="2"/>
      <c r="U78" s="2"/>
      <c r="V78" s="19"/>
      <c r="W78" s="2"/>
      <c r="X78" s="2">
        <f t="shared" si="2"/>
        <v>-5.21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"4226", " - ", "SALES RETURN TAXABLE-WRITING I")</f>
        <v xml:space="preserve">          4226 - SALES RETURN TAXABLE-WRITING I</v>
      </c>
      <c r="C79" s="11"/>
      <c r="D79" s="2">
        <f>-0.79</f>
        <v>-0.79</v>
      </c>
      <c r="E79" s="2"/>
      <c r="F79" s="19"/>
      <c r="G79" s="2"/>
      <c r="H79" s="2"/>
      <c r="I79" s="2"/>
      <c r="J79" s="19"/>
      <c r="K79" s="2"/>
      <c r="L79" s="2">
        <f t="shared" si="0"/>
        <v>-0.79</v>
      </c>
      <c r="M79" s="2"/>
      <c r="N79" s="19">
        <f t="shared" si="1"/>
        <v>0</v>
      </c>
      <c r="O79" s="11"/>
      <c r="P79" s="2">
        <f>-35.02</f>
        <v>-35.020000000000003</v>
      </c>
      <c r="Q79" s="2"/>
      <c r="R79" s="19"/>
      <c r="S79" s="2"/>
      <c r="T79" s="2"/>
      <c r="U79" s="2"/>
      <c r="V79" s="19"/>
      <c r="W79" s="2"/>
      <c r="X79" s="2">
        <f t="shared" si="2"/>
        <v>-35.020000000000003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"4227", " - ", "SALES RETURN TAXABLE-SCHOOL SU")</f>
        <v xml:space="preserve">          4227 - SALES RETURN TAXABLE-SCHOOL SU</v>
      </c>
      <c r="C80" s="11"/>
      <c r="D80" s="2">
        <f>-137.82</f>
        <v>-137.82</v>
      </c>
      <c r="E80" s="2"/>
      <c r="F80" s="19"/>
      <c r="G80" s="2"/>
      <c r="H80" s="2"/>
      <c r="I80" s="2"/>
      <c r="J80" s="19"/>
      <c r="K80" s="2"/>
      <c r="L80" s="2">
        <f t="shared" si="0"/>
        <v>-137.82</v>
      </c>
      <c r="M80" s="2"/>
      <c r="N80" s="19">
        <f t="shared" si="1"/>
        <v>0</v>
      </c>
      <c r="O80" s="11"/>
      <c r="P80" s="2">
        <f>-1484.48</f>
        <v>-1484.48</v>
      </c>
      <c r="Q80" s="2"/>
      <c r="R80" s="19"/>
      <c r="S80" s="2"/>
      <c r="T80" s="2"/>
      <c r="U80" s="2"/>
      <c r="V80" s="19"/>
      <c r="W80" s="2"/>
      <c r="X80" s="2">
        <f t="shared" si="2"/>
        <v>-1484.48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"4228", " - ", "SALES RETURN TAXABLE-ART/TECH")</f>
        <v xml:space="preserve">          4228 - SALES RETURN TAXABLE-ART/TECH</v>
      </c>
      <c r="C81" s="11"/>
      <c r="D81" s="2">
        <f>0</f>
        <v>0</v>
      </c>
      <c r="E81" s="2"/>
      <c r="F81" s="19"/>
      <c r="G81" s="2"/>
      <c r="H81" s="2"/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-12973.73</f>
        <v>-12973.73</v>
      </c>
      <c r="Q81" s="2"/>
      <c r="R81" s="19"/>
      <c r="S81" s="2"/>
      <c r="T81" s="2"/>
      <c r="U81" s="2"/>
      <c r="V81" s="19"/>
      <c r="W81" s="2"/>
      <c r="X81" s="2">
        <f t="shared" si="2"/>
        <v>-12973.73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"4240", " - ", "SALES RETURN TAXABLE-LOGO CLOT")</f>
        <v xml:space="preserve">          4240 - SALES RETURN TAXABLE-LOGO CLOT</v>
      </c>
      <c r="C82" s="11"/>
      <c r="D82" s="2">
        <f>-6427.17</f>
        <v>-6427.17</v>
      </c>
      <c r="E82" s="2"/>
      <c r="F82" s="19"/>
      <c r="G82" s="2"/>
      <c r="H82" s="2"/>
      <c r="I82" s="2"/>
      <c r="J82" s="19"/>
      <c r="K82" s="2"/>
      <c r="L82" s="2">
        <f t="shared" si="0"/>
        <v>-6427.17</v>
      </c>
      <c r="M82" s="2"/>
      <c r="N82" s="19">
        <f t="shared" si="1"/>
        <v>0</v>
      </c>
      <c r="O82" s="11"/>
      <c r="P82" s="2">
        <f>-47093.44</f>
        <v>-47093.440000000002</v>
      </c>
      <c r="Q82" s="2"/>
      <c r="R82" s="19"/>
      <c r="S82" s="2"/>
      <c r="T82" s="2"/>
      <c r="U82" s="2"/>
      <c r="V82" s="19"/>
      <c r="W82" s="2"/>
      <c r="X82" s="2">
        <f t="shared" si="2"/>
        <v>-47093.440000000002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"4241", " - ", "SALES RETURN TAXABLE-LOGO GIFT")</f>
        <v xml:space="preserve">          4241 - SALES RETURN TAXABLE-LOGO GIFT</v>
      </c>
      <c r="C83" s="11"/>
      <c r="D83" s="2">
        <f>-4505.29</f>
        <v>-4505.29</v>
      </c>
      <c r="E83" s="2"/>
      <c r="F83" s="19"/>
      <c r="G83" s="2"/>
      <c r="H83" s="2"/>
      <c r="I83" s="2"/>
      <c r="J83" s="19"/>
      <c r="K83" s="2"/>
      <c r="L83" s="2">
        <f t="shared" si="0"/>
        <v>-4505.29</v>
      </c>
      <c r="M83" s="2"/>
      <c r="N83" s="19">
        <f t="shared" si="1"/>
        <v>0</v>
      </c>
      <c r="O83" s="11"/>
      <c r="P83" s="2">
        <f>-16680.54</f>
        <v>-16680.54</v>
      </c>
      <c r="Q83" s="2"/>
      <c r="R83" s="19"/>
      <c r="S83" s="2"/>
      <c r="T83" s="2"/>
      <c r="U83" s="2"/>
      <c r="V83" s="19"/>
      <c r="W83" s="2"/>
      <c r="X83" s="2">
        <f t="shared" si="2"/>
        <v>-16680.54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"4242", " - ", "SALES RETURN TAXABLE-EVERYDAY")</f>
        <v xml:space="preserve">          4242 - SALES RETURN TAXABLE-EVERYDAY</v>
      </c>
      <c r="C84" s="11"/>
      <c r="D84" s="2">
        <f>-107</f>
        <v>-107</v>
      </c>
      <c r="E84" s="2"/>
      <c r="F84" s="19"/>
      <c r="G84" s="2"/>
      <c r="H84" s="2"/>
      <c r="I84" s="2"/>
      <c r="J84" s="19"/>
      <c r="K84" s="2"/>
      <c r="L84" s="2">
        <f t="shared" si="0"/>
        <v>-107</v>
      </c>
      <c r="M84" s="2"/>
      <c r="N84" s="19">
        <f t="shared" si="1"/>
        <v>0</v>
      </c>
      <c r="O84" s="11"/>
      <c r="P84" s="2">
        <f>-2743.09</f>
        <v>-2743.09</v>
      </c>
      <c r="Q84" s="2"/>
      <c r="R84" s="19"/>
      <c r="S84" s="2"/>
      <c r="T84" s="2"/>
      <c r="U84" s="2"/>
      <c r="V84" s="19"/>
      <c r="W84" s="2"/>
      <c r="X84" s="2">
        <f t="shared" si="2"/>
        <v>-2743.09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"4243", " - ", "SALES RETURN TAXABLE-CARDS")</f>
        <v xml:space="preserve">          4243 - SALES RETURN TAXABLE-CARDS</v>
      </c>
      <c r="C85" s="11"/>
      <c r="D85" s="2">
        <f>-76.9</f>
        <v>-76.900000000000006</v>
      </c>
      <c r="E85" s="2"/>
      <c r="F85" s="19"/>
      <c r="G85" s="2"/>
      <c r="H85" s="2"/>
      <c r="I85" s="2"/>
      <c r="J85" s="19"/>
      <c r="K85" s="2"/>
      <c r="L85" s="2">
        <f t="shared" si="0"/>
        <v>-76.900000000000006</v>
      </c>
      <c r="M85" s="2"/>
      <c r="N85" s="19">
        <f t="shared" si="1"/>
        <v>0</v>
      </c>
      <c r="O85" s="11"/>
      <c r="P85" s="2">
        <f>-6218.99</f>
        <v>-6218.99</v>
      </c>
      <c r="Q85" s="2"/>
      <c r="R85" s="19"/>
      <c r="S85" s="2"/>
      <c r="T85" s="2"/>
      <c r="U85" s="2"/>
      <c r="V85" s="19"/>
      <c r="W85" s="2"/>
      <c r="X85" s="2">
        <f t="shared" si="2"/>
        <v>-6218.99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"4244", " - ", "SALES RETURN TAXABLE-ACCESSORI")</f>
        <v xml:space="preserve">          4244 - SALES RETURN TAXABLE-ACCESSORI</v>
      </c>
      <c r="C86" s="11"/>
      <c r="D86" s="2">
        <f>-24.41</f>
        <v>-24.41</v>
      </c>
      <c r="E86" s="2"/>
      <c r="F86" s="19"/>
      <c r="G86" s="2"/>
      <c r="H86" s="2"/>
      <c r="I86" s="2"/>
      <c r="J86" s="19"/>
      <c r="K86" s="2"/>
      <c r="L86" s="2">
        <f t="shared" si="0"/>
        <v>-24.41</v>
      </c>
      <c r="M86" s="2"/>
      <c r="N86" s="19">
        <f t="shared" si="1"/>
        <v>0</v>
      </c>
      <c r="O86" s="11"/>
      <c r="P86" s="2">
        <f>-1267.91</f>
        <v>-1267.9100000000001</v>
      </c>
      <c r="Q86" s="2"/>
      <c r="R86" s="19"/>
      <c r="S86" s="2"/>
      <c r="T86" s="2"/>
      <c r="U86" s="2"/>
      <c r="V86" s="19"/>
      <c r="W86" s="2"/>
      <c r="X86" s="2">
        <f t="shared" si="2"/>
        <v>-1267.9100000000001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"4245", " - ", "SALES RETURN TAXABLE-SPECIAL O")</f>
        <v xml:space="preserve">          4245 - SALES RETURN TAXABLE-SPECIAL O</v>
      </c>
      <c r="C87" s="11"/>
      <c r="D87" s="2">
        <f>-36</f>
        <v>-36</v>
      </c>
      <c r="E87" s="2"/>
      <c r="F87" s="19"/>
      <c r="G87" s="2"/>
      <c r="H87" s="2"/>
      <c r="I87" s="2"/>
      <c r="J87" s="19"/>
      <c r="K87" s="2"/>
      <c r="L87" s="2">
        <f t="shared" si="0"/>
        <v>-36</v>
      </c>
      <c r="M87" s="2"/>
      <c r="N87" s="19">
        <f t="shared" si="1"/>
        <v>0</v>
      </c>
      <c r="O87" s="11"/>
      <c r="P87" s="2">
        <f>-15460.73</f>
        <v>-15460.73</v>
      </c>
      <c r="Q87" s="2"/>
      <c r="R87" s="19"/>
      <c r="S87" s="2"/>
      <c r="T87" s="2"/>
      <c r="U87" s="2"/>
      <c r="V87" s="19"/>
      <c r="W87" s="2"/>
      <c r="X87" s="2">
        <f t="shared" si="2"/>
        <v>-15460.73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"4281", " - ", "SALES RETURN TAXABLE-ELECTRONI")</f>
        <v xml:space="preserve">          4281 - SALES RETURN TAXABLE-ELECTRONI</v>
      </c>
      <c r="C88" s="11"/>
      <c r="D88" s="2">
        <f>-79.99</f>
        <v>-79.989999999999995</v>
      </c>
      <c r="E88" s="2"/>
      <c r="F88" s="19"/>
      <c r="G88" s="2"/>
      <c r="H88" s="2"/>
      <c r="I88" s="2"/>
      <c r="J88" s="19"/>
      <c r="K88" s="2"/>
      <c r="L88" s="2">
        <f t="shared" si="0"/>
        <v>-79.989999999999995</v>
      </c>
      <c r="M88" s="2"/>
      <c r="N88" s="19">
        <f t="shared" si="1"/>
        <v>0</v>
      </c>
      <c r="O88" s="11"/>
      <c r="P88" s="2">
        <f>-14842.13</f>
        <v>-14842.13</v>
      </c>
      <c r="Q88" s="2"/>
      <c r="R88" s="19"/>
      <c r="S88" s="2"/>
      <c r="T88" s="2"/>
      <c r="U88" s="2"/>
      <c r="V88" s="19"/>
      <c r="W88" s="2"/>
      <c r="X88" s="2">
        <f t="shared" si="2"/>
        <v>-14842.13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"4282", " - ", "SALES RETURN TAXABLE-COMPUTER")</f>
        <v xml:space="preserve">          4282 - SALES RETURN TAXABLE-COMPUTER</v>
      </c>
      <c r="C89" s="11"/>
      <c r="D89" s="2">
        <f>-25075.01</f>
        <v>-25075.01</v>
      </c>
      <c r="E89" s="2"/>
      <c r="F89" s="19"/>
      <c r="G89" s="2"/>
      <c r="H89" s="2"/>
      <c r="I89" s="2"/>
      <c r="J89" s="19"/>
      <c r="K89" s="2"/>
      <c r="L89" s="2">
        <f t="shared" si="0"/>
        <v>-25075.01</v>
      </c>
      <c r="M89" s="2"/>
      <c r="N89" s="19">
        <f t="shared" si="1"/>
        <v>0</v>
      </c>
      <c r="O89" s="11"/>
      <c r="P89" s="2">
        <f>-240220.17</f>
        <v>-240220.17</v>
      </c>
      <c r="Q89" s="2"/>
      <c r="R89" s="19"/>
      <c r="S89" s="2"/>
      <c r="T89" s="2"/>
      <c r="U89" s="2"/>
      <c r="V89" s="19"/>
      <c r="W89" s="2"/>
      <c r="X89" s="2">
        <f t="shared" si="2"/>
        <v>-240220.17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"4283", " - ", "SALES RETURN TAXABLE-COMPUTER")</f>
        <v xml:space="preserve">          4283 - SALES RETURN TAXABLE-COMPUTER</v>
      </c>
      <c r="C90" s="11"/>
      <c r="D90" s="2">
        <f>-181.97</f>
        <v>-181.97</v>
      </c>
      <c r="E90" s="2"/>
      <c r="F90" s="19"/>
      <c r="G90" s="2"/>
      <c r="H90" s="2"/>
      <c r="I90" s="2"/>
      <c r="J90" s="19"/>
      <c r="K90" s="2"/>
      <c r="L90" s="2">
        <f t="shared" si="0"/>
        <v>-181.97</v>
      </c>
      <c r="M90" s="2"/>
      <c r="N90" s="19">
        <f t="shared" si="1"/>
        <v>0</v>
      </c>
      <c r="O90" s="11"/>
      <c r="P90" s="2">
        <f>-4129.17</f>
        <v>-4129.17</v>
      </c>
      <c r="Q90" s="2"/>
      <c r="R90" s="19"/>
      <c r="S90" s="2"/>
      <c r="T90" s="2"/>
      <c r="U90" s="2"/>
      <c r="V90" s="19"/>
      <c r="W90" s="2"/>
      <c r="X90" s="2">
        <f t="shared" si="2"/>
        <v>-4129.17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"4285", " - ", "SALES RETURN TAXABLE-SOFTWARE")</f>
        <v xml:space="preserve">          4285 - SALES RETURN TAXABLE-SOFTWARE</v>
      </c>
      <c r="C91" s="11"/>
      <c r="D91" s="2">
        <f t="shared" ref="D91:D92" si="7">0</f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-1091.79</f>
        <v>-1091.79</v>
      </c>
      <c r="Q91" s="2"/>
      <c r="R91" s="19"/>
      <c r="S91" s="2"/>
      <c r="T91" s="2"/>
      <c r="U91" s="2"/>
      <c r="V91" s="19"/>
      <c r="W91" s="2"/>
      <c r="X91" s="2">
        <f t="shared" si="2"/>
        <v>-1091.79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"4286", " - ", "SALES RETURN TAXABLE-COMPUTER")</f>
        <v xml:space="preserve">          4286 - SALES RETURN TAXABLE-COMPUTER</v>
      </c>
      <c r="C92" s="11"/>
      <c r="D92" s="2">
        <f t="shared" si="7"/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-4802.29</f>
        <v>-4802.29</v>
      </c>
      <c r="Q92" s="2"/>
      <c r="R92" s="19"/>
      <c r="S92" s="2"/>
      <c r="T92" s="2"/>
      <c r="U92" s="2"/>
      <c r="V92" s="19"/>
      <c r="W92" s="2"/>
      <c r="X92" s="2">
        <f t="shared" si="2"/>
        <v>-4802.29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"4301", " - ", "SALES RETURN NON TAXABLE-NEW T")</f>
        <v xml:space="preserve">          4301 - SALES RETURN NON TAXABLE-NEW T</v>
      </c>
      <c r="C93" s="11"/>
      <c r="D93" s="2">
        <f>-1333.16</f>
        <v>-1333.16</v>
      </c>
      <c r="E93" s="2"/>
      <c r="F93" s="19"/>
      <c r="G93" s="2"/>
      <c r="H93" s="2"/>
      <c r="I93" s="2"/>
      <c r="J93" s="19"/>
      <c r="K93" s="2"/>
      <c r="L93" s="2">
        <f t="shared" si="0"/>
        <v>-1333.16</v>
      </c>
      <c r="M93" s="2"/>
      <c r="N93" s="19">
        <f t="shared" si="1"/>
        <v>0</v>
      </c>
      <c r="O93" s="11"/>
      <c r="P93" s="2">
        <f>-4796.36</f>
        <v>-4796.3599999999997</v>
      </c>
      <c r="Q93" s="2"/>
      <c r="R93" s="19"/>
      <c r="S93" s="2"/>
      <c r="T93" s="2"/>
      <c r="U93" s="2"/>
      <c r="V93" s="19"/>
      <c r="W93" s="2"/>
      <c r="X93" s="2">
        <f t="shared" si="2"/>
        <v>-4796.3599999999997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"4302", " - ", "SALES RETURN NON TAXABLE-TEXT")</f>
        <v xml:space="preserve">          4302 - SALES RETURN NON TAXABLE-TEXT</v>
      </c>
      <c r="C94" s="11"/>
      <c r="D94" s="2">
        <f>-134.22</f>
        <v>-134.22</v>
      </c>
      <c r="E94" s="2"/>
      <c r="F94" s="19"/>
      <c r="G94" s="2"/>
      <c r="H94" s="2"/>
      <c r="I94" s="2"/>
      <c r="J94" s="19"/>
      <c r="K94" s="2"/>
      <c r="L94" s="2">
        <f t="shared" si="0"/>
        <v>-134.22</v>
      </c>
      <c r="M94" s="2"/>
      <c r="N94" s="19">
        <f t="shared" si="1"/>
        <v>0</v>
      </c>
      <c r="O94" s="11"/>
      <c r="P94" s="2">
        <f>-2577.54</f>
        <v>-2577.54</v>
      </c>
      <c r="Q94" s="2"/>
      <c r="R94" s="19"/>
      <c r="S94" s="2"/>
      <c r="T94" s="2"/>
      <c r="U94" s="2"/>
      <c r="V94" s="19"/>
      <c r="W94" s="2"/>
      <c r="X94" s="2">
        <f t="shared" si="2"/>
        <v>-2577.54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"4304", " - ", "SALES RETURN NON TAXABLE-DIGIT")</f>
        <v xml:space="preserve">          4304 - SALES RETURN NON TAXABLE-DIGIT</v>
      </c>
      <c r="C95" s="11"/>
      <c r="D95" s="2">
        <f>-3338.22</f>
        <v>-3338.22</v>
      </c>
      <c r="E95" s="2"/>
      <c r="F95" s="19"/>
      <c r="G95" s="2"/>
      <c r="H95" s="2"/>
      <c r="I95" s="2"/>
      <c r="J95" s="19"/>
      <c r="K95" s="2"/>
      <c r="L95" s="2">
        <f t="shared" si="0"/>
        <v>-3338.22</v>
      </c>
      <c r="M95" s="2"/>
      <c r="N95" s="19">
        <f t="shared" si="1"/>
        <v>0</v>
      </c>
      <c r="O95" s="11"/>
      <c r="P95" s="2">
        <f>-30881.98</f>
        <v>-30881.98</v>
      </c>
      <c r="Q95" s="2"/>
      <c r="R95" s="19"/>
      <c r="S95" s="2"/>
      <c r="T95" s="2"/>
      <c r="U95" s="2"/>
      <c r="V95" s="19"/>
      <c r="W95" s="2"/>
      <c r="X95" s="2">
        <f t="shared" si="2"/>
        <v>-30881.98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"4327", " - ", "SALES RETURN NON TAXABLE-SCHOO")</f>
        <v xml:space="preserve">          4327 - SALES RETURN NON TAXABLE-SCHOO</v>
      </c>
      <c r="C96" s="11"/>
      <c r="D96" s="2">
        <f>-17.41</f>
        <v>-17.41</v>
      </c>
      <c r="E96" s="2"/>
      <c r="F96" s="19"/>
      <c r="G96" s="2"/>
      <c r="H96" s="2"/>
      <c r="I96" s="2"/>
      <c r="J96" s="19"/>
      <c r="K96" s="2"/>
      <c r="L96" s="2">
        <f t="shared" si="0"/>
        <v>-17.41</v>
      </c>
      <c r="M96" s="2"/>
      <c r="N96" s="19">
        <f t="shared" si="1"/>
        <v>0</v>
      </c>
      <c r="O96" s="11"/>
      <c r="P96" s="2">
        <f>-17.41</f>
        <v>-17.41</v>
      </c>
      <c r="Q96" s="2"/>
      <c r="R96" s="19"/>
      <c r="S96" s="2"/>
      <c r="T96" s="2"/>
      <c r="U96" s="2"/>
      <c r="V96" s="19"/>
      <c r="W96" s="2"/>
      <c r="X96" s="2">
        <f t="shared" si="2"/>
        <v>-17.41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"4340", " - ", "SALES RETURN NON TAXABLE-LOGO")</f>
        <v xml:space="preserve">          4340 - SALES RETURN NON TAXABLE-LOGO</v>
      </c>
      <c r="C97" s="11"/>
      <c r="D97" s="2">
        <f>-143.74</f>
        <v>-143.74</v>
      </c>
      <c r="E97" s="2"/>
      <c r="F97" s="19"/>
      <c r="G97" s="2"/>
      <c r="H97" s="2"/>
      <c r="I97" s="2"/>
      <c r="J97" s="19"/>
      <c r="K97" s="2"/>
      <c r="L97" s="2">
        <f t="shared" si="0"/>
        <v>-143.74</v>
      </c>
      <c r="M97" s="2"/>
      <c r="N97" s="19">
        <f t="shared" si="1"/>
        <v>0</v>
      </c>
      <c r="O97" s="11"/>
      <c r="P97" s="2">
        <f>-3451.26</f>
        <v>-3451.26</v>
      </c>
      <c r="Q97" s="2"/>
      <c r="R97" s="19"/>
      <c r="S97" s="2"/>
      <c r="T97" s="2"/>
      <c r="U97" s="2"/>
      <c r="V97" s="19"/>
      <c r="W97" s="2"/>
      <c r="X97" s="2">
        <f t="shared" si="2"/>
        <v>-3451.26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"4341", " - ", "SALES RETURN NON TAXABLE-LOGO")</f>
        <v xml:space="preserve">          4341 - SALES RETURN NON TAXABLE-LOGO</v>
      </c>
      <c r="C98" s="11"/>
      <c r="D98" s="2">
        <f>-104.3</f>
        <v>-104.3</v>
      </c>
      <c r="E98" s="2"/>
      <c r="F98" s="19"/>
      <c r="G98" s="2"/>
      <c r="H98" s="2"/>
      <c r="I98" s="2"/>
      <c r="J98" s="19"/>
      <c r="K98" s="2"/>
      <c r="L98" s="2">
        <f t="shared" si="0"/>
        <v>-104.3</v>
      </c>
      <c r="M98" s="2"/>
      <c r="N98" s="19">
        <f t="shared" si="1"/>
        <v>0</v>
      </c>
      <c r="O98" s="11"/>
      <c r="P98" s="2">
        <f>-506.74</f>
        <v>-506.74</v>
      </c>
      <c r="Q98" s="2"/>
      <c r="R98" s="19"/>
      <c r="S98" s="2"/>
      <c r="T98" s="2"/>
      <c r="U98" s="2"/>
      <c r="V98" s="19"/>
      <c r="W98" s="2"/>
      <c r="X98" s="2">
        <f t="shared" si="2"/>
        <v>-506.74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"4342", " - ", "SALES RETURN NON TAXABLE-EVERY")</f>
        <v xml:space="preserve">          4342 - SALES RETURN NON TAXABLE-EVERY</v>
      </c>
      <c r="C99" s="11"/>
      <c r="D99" s="2">
        <f t="shared" ref="D99:D101" si="8">0</f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-118.7</f>
        <v>-118.7</v>
      </c>
      <c r="Q99" s="2"/>
      <c r="R99" s="19"/>
      <c r="S99" s="2"/>
      <c r="T99" s="2"/>
      <c r="U99" s="2"/>
      <c r="V99" s="19"/>
      <c r="W99" s="2"/>
      <c r="X99" s="2">
        <f t="shared" si="2"/>
        <v>-118.7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"4381", " - ", "SALES RETURN NON TAXABLE-ELECT")</f>
        <v xml:space="preserve">          4381 - SALES RETURN NON TAXABLE-ELECT</v>
      </c>
      <c r="C100" s="11"/>
      <c r="D100" s="2">
        <f t="shared" si="8"/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-5624.15</f>
        <v>-5624.15</v>
      </c>
      <c r="Q100" s="2"/>
      <c r="R100" s="19"/>
      <c r="S100" s="2"/>
      <c r="T100" s="2"/>
      <c r="U100" s="2"/>
      <c r="V100" s="19"/>
      <c r="W100" s="2"/>
      <c r="X100" s="2">
        <f t="shared" si="2"/>
        <v>-5624.15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"4383", " - ", "SALES RETURN NON TAXABLE-COMPU")</f>
        <v xml:space="preserve">          4383 - SALES RETURN NON TAXABLE-COMPU</v>
      </c>
      <c r="C101" s="11"/>
      <c r="D101" s="2">
        <f t="shared" si="8"/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-14.99</f>
        <v>-14.99</v>
      </c>
      <c r="Q101" s="2"/>
      <c r="R101" s="19"/>
      <c r="S101" s="2"/>
      <c r="T101" s="2"/>
      <c r="U101" s="2"/>
      <c r="V101" s="19"/>
      <c r="W101" s="2"/>
      <c r="X101" s="2">
        <f t="shared" si="2"/>
        <v>-14.99</v>
      </c>
      <c r="Y101" s="2"/>
      <c r="Z101" s="19">
        <f t="shared" si="3"/>
        <v>0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collapsed="1" x14ac:dyDescent="0.25">
      <c r="A103" s="10"/>
      <c r="B103" s="29" t="s">
        <v>257</v>
      </c>
      <c r="C103" s="10"/>
      <c r="D103" s="4">
        <f>SUM(OSRRefD16x_0)</f>
        <v>334574</v>
      </c>
      <c r="E103" s="4"/>
      <c r="F103" s="12">
        <f t="shared" ref="F103:F153" si="9">IF(D$12=0,0,D103/D$12)</f>
        <v>0.41383939475601994</v>
      </c>
      <c r="G103" s="4"/>
      <c r="H103" s="4">
        <f>SUM(OSRRefH16x_0)</f>
        <v>493571</v>
      </c>
      <c r="I103" s="4"/>
      <c r="J103" s="12">
        <f t="shared" ref="J103:J153" si="10">IF(H$12=0,0,H103/H$12)</f>
        <v>0.46112443991016139</v>
      </c>
      <c r="K103" s="4"/>
      <c r="L103" s="4">
        <f t="shared" ref="L103:L153" si="11">+D103-H103</f>
        <v>-158997</v>
      </c>
      <c r="M103" s="4"/>
      <c r="N103" s="12">
        <f t="shared" ref="N103:N153" si="12">IF(H103=0,0,L103/H103)</f>
        <v>-0.32213602500957311</v>
      </c>
      <c r="O103" s="10"/>
      <c r="P103" s="4">
        <f>SUM(OSRRefP16x_0)</f>
        <v>5970496.9100000011</v>
      </c>
      <c r="Q103" s="4"/>
      <c r="R103" s="12">
        <f t="shared" ref="R103:R153" si="13">IF(P$12=0,0,P103/P$12)</f>
        <v>0.60847137781565741</v>
      </c>
      <c r="S103" s="4"/>
      <c r="T103" s="4">
        <f>SUM(OSRRefT16x_0)</f>
        <v>8298390</v>
      </c>
      <c r="U103" s="4"/>
      <c r="V103" s="12">
        <f t="shared" ref="V103:V153" si="14">IF(T$12=0,0,T103/T$12)</f>
        <v>0.50905511774796941</v>
      </c>
      <c r="W103" s="4"/>
      <c r="X103" s="4">
        <f t="shared" ref="X103:X153" si="15">+P103-T103</f>
        <v>-2327893.0899999989</v>
      </c>
      <c r="Y103" s="4"/>
      <c r="Z103" s="12">
        <f t="shared" ref="Z103:Z153" si="16">IF(T103=0,0,X103/T103)</f>
        <v>-0.28052346177993548</v>
      </c>
    </row>
    <row r="104" spans="1:26" s="24" customFormat="1" hidden="1" outlineLevel="1" x14ac:dyDescent="0.25">
      <c r="A104" s="44"/>
      <c r="B104" s="11" t="str">
        <f>CONCATENATE("          ", "5000", " - ", "PURCHASES @ COST")</f>
        <v xml:space="preserve">          5000 - PURCHASES @ COST</v>
      </c>
      <c r="C104" s="11"/>
      <c r="D104" s="2"/>
      <c r="E104" s="2"/>
      <c r="F104" s="19">
        <f t="shared" si="9"/>
        <v>0</v>
      </c>
      <c r="G104" s="2"/>
      <c r="H104" s="2">
        <v>493571</v>
      </c>
      <c r="I104" s="2"/>
      <c r="J104" s="19">
        <f t="shared" si="10"/>
        <v>0.46112443991016139</v>
      </c>
      <c r="K104" s="2"/>
      <c r="L104" s="2">
        <f t="shared" si="11"/>
        <v>-493571</v>
      </c>
      <c r="M104" s="2"/>
      <c r="N104" s="19">
        <f t="shared" si="12"/>
        <v>-1</v>
      </c>
      <c r="O104" s="11"/>
      <c r="P104" s="2">
        <v>0</v>
      </c>
      <c r="Q104" s="2"/>
      <c r="R104" s="19">
        <f t="shared" si="13"/>
        <v>0</v>
      </c>
      <c r="S104" s="2"/>
      <c r="T104" s="2">
        <v>8298390</v>
      </c>
      <c r="U104" s="2"/>
      <c r="V104" s="19">
        <f t="shared" si="14"/>
        <v>0.50905511774796941</v>
      </c>
      <c r="W104" s="2"/>
      <c r="X104" s="2">
        <f t="shared" si="15"/>
        <v>-8298390</v>
      </c>
      <c r="Y104" s="2"/>
      <c r="Z104" s="19">
        <f t="shared" si="16"/>
        <v>-1</v>
      </c>
    </row>
    <row r="105" spans="1:26" s="24" customFormat="1" hidden="1" outlineLevel="1" x14ac:dyDescent="0.25">
      <c r="A105" s="44"/>
      <c r="B105" s="11" t="str">
        <f>CONCATENATE("          ", "5001", " - ", "PURCHASES @ COST-NEW TEXT")</f>
        <v xml:space="preserve">          5001 - PURCHASES @ COST-NEW TEXT</v>
      </c>
      <c r="C105" s="11"/>
      <c r="D105" s="2">
        <v>65020.01</v>
      </c>
      <c r="E105" s="2"/>
      <c r="F105" s="19">
        <f t="shared" si="9"/>
        <v>8.0424185936236417E-2</v>
      </c>
      <c r="G105" s="2"/>
      <c r="H105" s="2"/>
      <c r="I105" s="2"/>
      <c r="J105" s="19">
        <f t="shared" si="10"/>
        <v>0</v>
      </c>
      <c r="K105" s="2"/>
      <c r="L105" s="2">
        <f t="shared" si="11"/>
        <v>65020.01</v>
      </c>
      <c r="M105" s="2"/>
      <c r="N105" s="19">
        <f t="shared" si="12"/>
        <v>0</v>
      </c>
      <c r="O105" s="11"/>
      <c r="P105" s="2">
        <v>1071566.48</v>
      </c>
      <c r="Q105" s="2"/>
      <c r="R105" s="19">
        <f t="shared" si="13"/>
        <v>0.10920657733104396</v>
      </c>
      <c r="S105" s="2"/>
      <c r="T105" s="2"/>
      <c r="U105" s="2"/>
      <c r="V105" s="19">
        <f t="shared" si="14"/>
        <v>0</v>
      </c>
      <c r="W105" s="2"/>
      <c r="X105" s="2">
        <f t="shared" si="15"/>
        <v>1071566.48</v>
      </c>
      <c r="Y105" s="2"/>
      <c r="Z105" s="19">
        <f t="shared" si="16"/>
        <v>0</v>
      </c>
    </row>
    <row r="106" spans="1:26" s="24" customFormat="1" hidden="1" outlineLevel="1" x14ac:dyDescent="0.25">
      <c r="A106" s="44"/>
      <c r="B106" s="11" t="str">
        <f>CONCATENATE("          ", "5002", " - ", "PURCHASES @ COST-USED TEXT")</f>
        <v xml:space="preserve">          5002 - PURCHASES @ COST-USED TEXT</v>
      </c>
      <c r="C106" s="11"/>
      <c r="D106" s="2">
        <v>4952.26</v>
      </c>
      <c r="E106" s="2"/>
      <c r="F106" s="19">
        <f t="shared" si="9"/>
        <v>6.1255216516359528E-3</v>
      </c>
      <c r="G106" s="2"/>
      <c r="H106" s="2"/>
      <c r="I106" s="2"/>
      <c r="J106" s="19">
        <f t="shared" si="10"/>
        <v>0</v>
      </c>
      <c r="K106" s="2"/>
      <c r="L106" s="2">
        <f t="shared" si="11"/>
        <v>4952.26</v>
      </c>
      <c r="M106" s="2"/>
      <c r="N106" s="19">
        <f t="shared" si="12"/>
        <v>0</v>
      </c>
      <c r="O106" s="11"/>
      <c r="P106" s="2">
        <v>279913.28000000003</v>
      </c>
      <c r="Q106" s="2"/>
      <c r="R106" s="19">
        <f t="shared" si="13"/>
        <v>2.8526808022500072E-2</v>
      </c>
      <c r="S106" s="2"/>
      <c r="T106" s="2"/>
      <c r="U106" s="2"/>
      <c r="V106" s="19">
        <f t="shared" si="14"/>
        <v>0</v>
      </c>
      <c r="W106" s="2"/>
      <c r="X106" s="2">
        <f t="shared" si="15"/>
        <v>279913.28000000003</v>
      </c>
      <c r="Y106" s="2"/>
      <c r="Z106" s="19">
        <f t="shared" si="16"/>
        <v>0</v>
      </c>
    </row>
    <row r="107" spans="1:26" s="24" customFormat="1" hidden="1" outlineLevel="1" x14ac:dyDescent="0.25">
      <c r="A107" s="44"/>
      <c r="B107" s="11" t="str">
        <f>CONCATENATE("          ", "5003", " - ", "PURCHASES @ COST-RENTAL TEXT")</f>
        <v xml:space="preserve">          5003 - PURCHASES @ COST-RENTAL TEXT</v>
      </c>
      <c r="C107" s="11"/>
      <c r="D107" s="2">
        <v>7179.56</v>
      </c>
      <c r="E107" s="2"/>
      <c r="F107" s="19">
        <f t="shared" si="9"/>
        <v>8.8805010700608259E-3</v>
      </c>
      <c r="G107" s="2"/>
      <c r="H107" s="2"/>
      <c r="I107" s="2"/>
      <c r="J107" s="19">
        <f t="shared" si="10"/>
        <v>0</v>
      </c>
      <c r="K107" s="2"/>
      <c r="L107" s="2">
        <f t="shared" si="11"/>
        <v>7179.56</v>
      </c>
      <c r="M107" s="2"/>
      <c r="N107" s="19">
        <f t="shared" si="12"/>
        <v>0</v>
      </c>
      <c r="O107" s="11"/>
      <c r="P107" s="2">
        <v>7212.08</v>
      </c>
      <c r="Q107" s="2"/>
      <c r="R107" s="19">
        <f t="shared" si="13"/>
        <v>7.3500486151608204E-4</v>
      </c>
      <c r="S107" s="2"/>
      <c r="T107" s="2"/>
      <c r="U107" s="2"/>
      <c r="V107" s="19">
        <f t="shared" si="14"/>
        <v>0</v>
      </c>
      <c r="W107" s="2"/>
      <c r="X107" s="2">
        <f t="shared" si="15"/>
        <v>7212.08</v>
      </c>
      <c r="Y107" s="2"/>
      <c r="Z107" s="19">
        <f t="shared" si="16"/>
        <v>0</v>
      </c>
    </row>
    <row r="108" spans="1:26" s="24" customFormat="1" hidden="1" outlineLevel="1" x14ac:dyDescent="0.25">
      <c r="A108" s="44"/>
      <c r="B108" s="11" t="str">
        <f>CONCATENATE("          ", "5004", " - ", "PURCHASES @ COST-DIGITAL TEXT")</f>
        <v xml:space="preserve">          5004 - PURCHASES @ COST-DIGITAL TEXT</v>
      </c>
      <c r="C108" s="11"/>
      <c r="D108" s="2">
        <v>-7843.95</v>
      </c>
      <c r="E108" s="2"/>
      <c r="F108" s="19">
        <f t="shared" si="9"/>
        <v>-9.7022946209104188E-3</v>
      </c>
      <c r="G108" s="2"/>
      <c r="H108" s="2"/>
      <c r="I108" s="2"/>
      <c r="J108" s="19">
        <f t="shared" si="10"/>
        <v>0</v>
      </c>
      <c r="K108" s="2"/>
      <c r="L108" s="2">
        <f t="shared" si="11"/>
        <v>-7843.95</v>
      </c>
      <c r="M108" s="2"/>
      <c r="N108" s="19">
        <f t="shared" si="12"/>
        <v>0</v>
      </c>
      <c r="O108" s="11"/>
      <c r="P108" s="2">
        <v>199606.43</v>
      </c>
      <c r="Q108" s="2"/>
      <c r="R108" s="19">
        <f t="shared" si="13"/>
        <v>2.0342494320621723E-2</v>
      </c>
      <c r="S108" s="2"/>
      <c r="T108" s="2"/>
      <c r="U108" s="2"/>
      <c r="V108" s="19">
        <f t="shared" si="14"/>
        <v>0</v>
      </c>
      <c r="W108" s="2"/>
      <c r="X108" s="2">
        <f t="shared" si="15"/>
        <v>199606.43</v>
      </c>
      <c r="Y108" s="2"/>
      <c r="Z108" s="19">
        <f t="shared" si="16"/>
        <v>0</v>
      </c>
    </row>
    <row r="109" spans="1:26" s="24" customFormat="1" hidden="1" outlineLevel="1" x14ac:dyDescent="0.25">
      <c r="A109" s="44"/>
      <c r="B109" s="11" t="str">
        <f>CONCATENATE("          ", "5011", " - ", "PURCHASES @ COST-NO VALUE TEXT")</f>
        <v xml:space="preserve">          5011 - PURCHASES @ COST-NO VALUE TEXT</v>
      </c>
      <c r="C109" s="11"/>
      <c r="D109" s="2"/>
      <c r="E109" s="2"/>
      <c r="F109" s="19">
        <f t="shared" si="9"/>
        <v>0</v>
      </c>
      <c r="G109" s="2"/>
      <c r="H109" s="2"/>
      <c r="I109" s="2"/>
      <c r="J109" s="19">
        <f t="shared" si="10"/>
        <v>0</v>
      </c>
      <c r="K109" s="2"/>
      <c r="L109" s="2">
        <f t="shared" si="11"/>
        <v>0</v>
      </c>
      <c r="M109" s="2"/>
      <c r="N109" s="19">
        <f t="shared" si="12"/>
        <v>0</v>
      </c>
      <c r="O109" s="11"/>
      <c r="P109" s="2">
        <v>67.17</v>
      </c>
      <c r="Q109" s="2"/>
      <c r="R109" s="19">
        <f t="shared" si="13"/>
        <v>6.8454976300921835E-6</v>
      </c>
      <c r="S109" s="2"/>
      <c r="T109" s="2"/>
      <c r="U109" s="2"/>
      <c r="V109" s="19">
        <f t="shared" si="14"/>
        <v>0</v>
      </c>
      <c r="W109" s="2"/>
      <c r="X109" s="2">
        <f t="shared" si="15"/>
        <v>67.17</v>
      </c>
      <c r="Y109" s="2"/>
      <c r="Z109" s="19">
        <f t="shared" si="16"/>
        <v>0</v>
      </c>
    </row>
    <row r="110" spans="1:26" s="24" customFormat="1" hidden="1" outlineLevel="1" x14ac:dyDescent="0.25">
      <c r="A110" s="44"/>
      <c r="B110" s="11" t="str">
        <f>CONCATENATE("          ", "5013", " - ", "PURCHASES @ COST-TRADE BOOKS")</f>
        <v xml:space="preserve">          5013 - PURCHASES @ COST-TRADE BOOKS</v>
      </c>
      <c r="C110" s="11"/>
      <c r="D110" s="2"/>
      <c r="E110" s="2"/>
      <c r="F110" s="19">
        <f t="shared" si="9"/>
        <v>0</v>
      </c>
      <c r="G110" s="2"/>
      <c r="H110" s="2"/>
      <c r="I110" s="2"/>
      <c r="J110" s="19">
        <f t="shared" si="10"/>
        <v>0</v>
      </c>
      <c r="K110" s="2"/>
      <c r="L110" s="2">
        <f t="shared" si="11"/>
        <v>0</v>
      </c>
      <c r="M110" s="2"/>
      <c r="N110" s="19">
        <f t="shared" si="12"/>
        <v>0</v>
      </c>
      <c r="O110" s="11"/>
      <c r="P110" s="2">
        <v>9670.02</v>
      </c>
      <c r="Q110" s="2"/>
      <c r="R110" s="19">
        <f t="shared" si="13"/>
        <v>9.8550095270126558E-4</v>
      </c>
      <c r="S110" s="2"/>
      <c r="T110" s="2"/>
      <c r="U110" s="2"/>
      <c r="V110" s="19">
        <f t="shared" si="14"/>
        <v>0</v>
      </c>
      <c r="W110" s="2"/>
      <c r="X110" s="2">
        <f t="shared" si="15"/>
        <v>9670.02</v>
      </c>
      <c r="Y110" s="2"/>
      <c r="Z110" s="19">
        <f t="shared" si="16"/>
        <v>0</v>
      </c>
    </row>
    <row r="111" spans="1:26" s="24" customFormat="1" hidden="1" outlineLevel="1" x14ac:dyDescent="0.25">
      <c r="A111" s="44"/>
      <c r="B111" s="11" t="str">
        <f>CONCATENATE("          ", "5014", " - ", "PURCHASES @ COST-REMAINDERS")</f>
        <v xml:space="preserve">          5014 - PURCHASES @ COST-REMAINDERS</v>
      </c>
      <c r="C111" s="11"/>
      <c r="D111" s="2"/>
      <c r="E111" s="2"/>
      <c r="F111" s="19">
        <f t="shared" si="9"/>
        <v>0</v>
      </c>
      <c r="G111" s="2"/>
      <c r="H111" s="2"/>
      <c r="I111" s="2"/>
      <c r="J111" s="19">
        <f t="shared" si="10"/>
        <v>0</v>
      </c>
      <c r="K111" s="2"/>
      <c r="L111" s="2">
        <f t="shared" si="11"/>
        <v>0</v>
      </c>
      <c r="M111" s="2"/>
      <c r="N111" s="19">
        <f t="shared" si="12"/>
        <v>0</v>
      </c>
      <c r="O111" s="11"/>
      <c r="P111" s="2">
        <v>111.57</v>
      </c>
      <c r="Q111" s="2"/>
      <c r="R111" s="19">
        <f t="shared" si="13"/>
        <v>1.1370435768786435E-5</v>
      </c>
      <c r="S111" s="2"/>
      <c r="T111" s="2"/>
      <c r="U111" s="2"/>
      <c r="V111" s="19">
        <f t="shared" si="14"/>
        <v>0</v>
      </c>
      <c r="W111" s="2"/>
      <c r="X111" s="2">
        <f t="shared" si="15"/>
        <v>111.57</v>
      </c>
      <c r="Y111" s="2"/>
      <c r="Z111" s="19">
        <f t="shared" si="16"/>
        <v>0</v>
      </c>
    </row>
    <row r="112" spans="1:26" s="24" customFormat="1" hidden="1" outlineLevel="1" x14ac:dyDescent="0.25">
      <c r="A112" s="44"/>
      <c r="B112" s="11" t="str">
        <f>CONCATENATE("          ", "5018", " - ", "PURCHASES @ COST-STUDY GUIDES")</f>
        <v xml:space="preserve">          5018 - PURCHASES @ COST-STUDY GUIDES</v>
      </c>
      <c r="C112" s="11"/>
      <c r="D112" s="2"/>
      <c r="E112" s="2"/>
      <c r="F112" s="19">
        <f t="shared" si="9"/>
        <v>0</v>
      </c>
      <c r="G112" s="2"/>
      <c r="H112" s="2"/>
      <c r="I112" s="2"/>
      <c r="J112" s="19">
        <f t="shared" si="10"/>
        <v>0</v>
      </c>
      <c r="K112" s="2"/>
      <c r="L112" s="2">
        <f t="shared" si="11"/>
        <v>0</v>
      </c>
      <c r="M112" s="2"/>
      <c r="N112" s="19">
        <f t="shared" si="12"/>
        <v>0</v>
      </c>
      <c r="O112" s="11"/>
      <c r="P112" s="2">
        <v>967.21</v>
      </c>
      <c r="Q112" s="2"/>
      <c r="R112" s="19">
        <f t="shared" si="13"/>
        <v>9.8571293178524049E-5</v>
      </c>
      <c r="S112" s="2"/>
      <c r="T112" s="2"/>
      <c r="U112" s="2"/>
      <c r="V112" s="19">
        <f t="shared" si="14"/>
        <v>0</v>
      </c>
      <c r="W112" s="2"/>
      <c r="X112" s="2">
        <f t="shared" si="15"/>
        <v>967.21</v>
      </c>
      <c r="Y112" s="2"/>
      <c r="Z112" s="19">
        <f t="shared" si="16"/>
        <v>0</v>
      </c>
    </row>
    <row r="113" spans="1:26" s="24" customFormat="1" hidden="1" outlineLevel="1" x14ac:dyDescent="0.25">
      <c r="A113" s="44"/>
      <c r="B113" s="11" t="str">
        <f>CONCATENATE("          ", "5025", " - ", "PURCHASES @ COST-TEST FORMS")</f>
        <v xml:space="preserve">          5025 - PURCHASES @ COST-TEST FORMS</v>
      </c>
      <c r="C113" s="11"/>
      <c r="D113" s="2"/>
      <c r="E113" s="2"/>
      <c r="F113" s="19">
        <f t="shared" si="9"/>
        <v>0</v>
      </c>
      <c r="G113" s="2"/>
      <c r="H113" s="2"/>
      <c r="I113" s="2"/>
      <c r="J113" s="19">
        <f t="shared" si="10"/>
        <v>0</v>
      </c>
      <c r="K113" s="2"/>
      <c r="L113" s="2">
        <f t="shared" si="11"/>
        <v>0</v>
      </c>
      <c r="M113" s="2"/>
      <c r="N113" s="19">
        <f t="shared" si="12"/>
        <v>0</v>
      </c>
      <c r="O113" s="11"/>
      <c r="P113" s="2">
        <v>599.29</v>
      </c>
      <c r="Q113" s="2"/>
      <c r="R113" s="19">
        <f t="shared" si="13"/>
        <v>6.1075454440046812E-5</v>
      </c>
      <c r="S113" s="2"/>
      <c r="T113" s="2"/>
      <c r="U113" s="2"/>
      <c r="V113" s="19">
        <f t="shared" si="14"/>
        <v>0</v>
      </c>
      <c r="W113" s="2"/>
      <c r="X113" s="2">
        <f t="shared" si="15"/>
        <v>599.29</v>
      </c>
      <c r="Y113" s="2"/>
      <c r="Z113" s="19">
        <f t="shared" si="16"/>
        <v>0</v>
      </c>
    </row>
    <row r="114" spans="1:26" s="24" customFormat="1" hidden="1" outlineLevel="1" x14ac:dyDescent="0.25">
      <c r="A114" s="44"/>
      <c r="B114" s="11" t="str">
        <f>CONCATENATE("          ", "5026", " - ", "PURCHASES @ COST-WRITING INSTR")</f>
        <v xml:space="preserve">          5026 - PURCHASES @ COST-WRITING INSTR</v>
      </c>
      <c r="C114" s="11"/>
      <c r="D114" s="2">
        <v>-2.0499999999999998</v>
      </c>
      <c r="E114" s="2"/>
      <c r="F114" s="19">
        <f t="shared" si="9"/>
        <v>-2.5356744972706807E-6</v>
      </c>
      <c r="G114" s="2"/>
      <c r="H114" s="2"/>
      <c r="I114" s="2"/>
      <c r="J114" s="19">
        <f t="shared" si="10"/>
        <v>0</v>
      </c>
      <c r="K114" s="2"/>
      <c r="L114" s="2">
        <f t="shared" si="11"/>
        <v>-2.0499999999999998</v>
      </c>
      <c r="M114" s="2"/>
      <c r="N114" s="19">
        <f t="shared" si="12"/>
        <v>0</v>
      </c>
      <c r="O114" s="11"/>
      <c r="P114" s="2">
        <v>582.5</v>
      </c>
      <c r="Q114" s="2"/>
      <c r="R114" s="19">
        <f t="shared" si="13"/>
        <v>5.936433481507662E-5</v>
      </c>
      <c r="S114" s="2"/>
      <c r="T114" s="2"/>
      <c r="U114" s="2"/>
      <c r="V114" s="19">
        <f t="shared" si="14"/>
        <v>0</v>
      </c>
      <c r="W114" s="2"/>
      <c r="X114" s="2">
        <f t="shared" si="15"/>
        <v>582.5</v>
      </c>
      <c r="Y114" s="2"/>
      <c r="Z114" s="19">
        <f t="shared" si="16"/>
        <v>0</v>
      </c>
    </row>
    <row r="115" spans="1:26" s="24" customFormat="1" hidden="1" outlineLevel="1" x14ac:dyDescent="0.25">
      <c r="A115" s="44"/>
      <c r="B115" s="11" t="str">
        <f>CONCATENATE("          ", "5027", " - ", "PURCHASES @ COST-SCHOOL SUPPLI")</f>
        <v xml:space="preserve">          5027 - PURCHASES @ COST-SCHOOL SUPPLI</v>
      </c>
      <c r="C115" s="11"/>
      <c r="D115" s="2">
        <v>0.39</v>
      </c>
      <c r="E115" s="2"/>
      <c r="F115" s="19">
        <f t="shared" si="9"/>
        <v>4.8239661167588573E-7</v>
      </c>
      <c r="G115" s="2"/>
      <c r="H115" s="2"/>
      <c r="I115" s="2"/>
      <c r="J115" s="19">
        <f t="shared" si="10"/>
        <v>0</v>
      </c>
      <c r="K115" s="2"/>
      <c r="L115" s="2">
        <f t="shared" si="11"/>
        <v>0.39</v>
      </c>
      <c r="M115" s="2"/>
      <c r="N115" s="19">
        <f t="shared" si="12"/>
        <v>0</v>
      </c>
      <c r="O115" s="11"/>
      <c r="P115" s="2">
        <v>23734.99</v>
      </c>
      <c r="Q115" s="2"/>
      <c r="R115" s="19">
        <f t="shared" si="13"/>
        <v>2.4189045376695204E-3</v>
      </c>
      <c r="S115" s="2"/>
      <c r="T115" s="2"/>
      <c r="U115" s="2"/>
      <c r="V115" s="19">
        <f t="shared" si="14"/>
        <v>0</v>
      </c>
      <c r="W115" s="2"/>
      <c r="X115" s="2">
        <f t="shared" si="15"/>
        <v>23734.99</v>
      </c>
      <c r="Y115" s="2"/>
      <c r="Z115" s="19">
        <f t="shared" si="16"/>
        <v>0</v>
      </c>
    </row>
    <row r="116" spans="1:26" s="24" customFormat="1" hidden="1" outlineLevel="1" x14ac:dyDescent="0.25">
      <c r="A116" s="44"/>
      <c r="B116" s="11" t="str">
        <f>CONCATENATE("          ", "5028", " - ", "PURCHASES @ COST-ART/TECH")</f>
        <v xml:space="preserve">          5028 - PURCHASES @ COST-ART/TECH</v>
      </c>
      <c r="C116" s="11"/>
      <c r="D116" s="2">
        <v>674.12</v>
      </c>
      <c r="E116" s="2"/>
      <c r="F116" s="19">
        <f t="shared" si="9"/>
        <v>8.3382872785371296E-4</v>
      </c>
      <c r="G116" s="2"/>
      <c r="H116" s="2"/>
      <c r="I116" s="2"/>
      <c r="J116" s="19">
        <f t="shared" si="10"/>
        <v>0</v>
      </c>
      <c r="K116" s="2"/>
      <c r="L116" s="2">
        <f t="shared" si="11"/>
        <v>674.12</v>
      </c>
      <c r="M116" s="2"/>
      <c r="N116" s="19">
        <f t="shared" si="12"/>
        <v>0</v>
      </c>
      <c r="O116" s="11"/>
      <c r="P116" s="2">
        <v>47680.74</v>
      </c>
      <c r="Q116" s="2"/>
      <c r="R116" s="19">
        <f t="shared" si="13"/>
        <v>4.8592882636748777E-3</v>
      </c>
      <c r="S116" s="2"/>
      <c r="T116" s="2"/>
      <c r="U116" s="2"/>
      <c r="V116" s="19">
        <f t="shared" si="14"/>
        <v>0</v>
      </c>
      <c r="W116" s="2"/>
      <c r="X116" s="2">
        <f t="shared" si="15"/>
        <v>47680.74</v>
      </c>
      <c r="Y116" s="2"/>
      <c r="Z116" s="19">
        <f t="shared" si="16"/>
        <v>0</v>
      </c>
    </row>
    <row r="117" spans="1:26" s="24" customFormat="1" hidden="1" outlineLevel="1" x14ac:dyDescent="0.25">
      <c r="A117" s="44"/>
      <c r="B117" s="11" t="str">
        <f>CONCATENATE("          ", "5031", " - ", "PURCHASES @ COST-FOOD")</f>
        <v xml:space="preserve">          5031 - PURCHASES @ COST-FOOD</v>
      </c>
      <c r="C117" s="11"/>
      <c r="D117" s="2">
        <v>280.37</v>
      </c>
      <c r="E117" s="2"/>
      <c r="F117" s="19">
        <f t="shared" si="9"/>
        <v>3.4679368721940532E-4</v>
      </c>
      <c r="G117" s="2"/>
      <c r="H117" s="2"/>
      <c r="I117" s="2"/>
      <c r="J117" s="19">
        <f t="shared" si="10"/>
        <v>0</v>
      </c>
      <c r="K117" s="2"/>
      <c r="L117" s="2">
        <f t="shared" si="11"/>
        <v>280.37</v>
      </c>
      <c r="M117" s="2"/>
      <c r="N117" s="19">
        <f t="shared" si="12"/>
        <v>0</v>
      </c>
      <c r="O117" s="11"/>
      <c r="P117" s="2">
        <v>8066.09</v>
      </c>
      <c r="Q117" s="2"/>
      <c r="R117" s="19">
        <f t="shared" si="13"/>
        <v>8.2203960070135866E-4</v>
      </c>
      <c r="S117" s="2"/>
      <c r="T117" s="2"/>
      <c r="U117" s="2"/>
      <c r="V117" s="19">
        <f t="shared" si="14"/>
        <v>0</v>
      </c>
      <c r="W117" s="2"/>
      <c r="X117" s="2">
        <f t="shared" si="15"/>
        <v>8066.09</v>
      </c>
      <c r="Y117" s="2"/>
      <c r="Z117" s="19">
        <f t="shared" si="16"/>
        <v>0</v>
      </c>
    </row>
    <row r="118" spans="1:26" s="24" customFormat="1" hidden="1" outlineLevel="1" x14ac:dyDescent="0.25">
      <c r="A118" s="44"/>
      <c r="B118" s="11" t="str">
        <f>CONCATENATE("          ", "5040", " - ", "PURCHASES @ COST-LOGO CLOTHING")</f>
        <v xml:space="preserve">          5040 - PURCHASES @ COST-LOGO CLOTHING</v>
      </c>
      <c r="C118" s="11"/>
      <c r="D118" s="2">
        <v>48288.73</v>
      </c>
      <c r="E118" s="2"/>
      <c r="F118" s="19">
        <f t="shared" si="9"/>
        <v>5.9729024959312031E-2</v>
      </c>
      <c r="G118" s="2"/>
      <c r="H118" s="2"/>
      <c r="I118" s="2"/>
      <c r="J118" s="19">
        <f t="shared" si="10"/>
        <v>0</v>
      </c>
      <c r="K118" s="2"/>
      <c r="L118" s="2">
        <f t="shared" si="11"/>
        <v>48288.73</v>
      </c>
      <c r="M118" s="2"/>
      <c r="N118" s="19">
        <f t="shared" si="12"/>
        <v>0</v>
      </c>
      <c r="O118" s="11"/>
      <c r="P118" s="2">
        <v>327378.98</v>
      </c>
      <c r="Q118" s="2"/>
      <c r="R118" s="19">
        <f t="shared" si="13"/>
        <v>3.3364180910108621E-2</v>
      </c>
      <c r="S118" s="2"/>
      <c r="T118" s="2"/>
      <c r="U118" s="2"/>
      <c r="V118" s="19">
        <f t="shared" si="14"/>
        <v>0</v>
      </c>
      <c r="W118" s="2"/>
      <c r="X118" s="2">
        <f t="shared" si="15"/>
        <v>327378.98</v>
      </c>
      <c r="Y118" s="2"/>
      <c r="Z118" s="19">
        <f t="shared" si="16"/>
        <v>0</v>
      </c>
    </row>
    <row r="119" spans="1:26" s="24" customFormat="1" hidden="1" outlineLevel="1" x14ac:dyDescent="0.25">
      <c r="A119" s="44"/>
      <c r="B119" s="11" t="str">
        <f>CONCATENATE("          ", "5041", " - ", "PURCHASES @ COST-LOGO GIFTS")</f>
        <v xml:space="preserve">          5041 - PURCHASES @ COST-LOGO GIFTS</v>
      </c>
      <c r="C119" s="11"/>
      <c r="D119" s="2">
        <v>22136.9</v>
      </c>
      <c r="E119" s="2"/>
      <c r="F119" s="19">
        <f t="shared" si="9"/>
        <v>2.738145013591773E-2</v>
      </c>
      <c r="G119" s="2"/>
      <c r="H119" s="2"/>
      <c r="I119" s="2"/>
      <c r="J119" s="19">
        <f t="shared" si="10"/>
        <v>0</v>
      </c>
      <c r="K119" s="2"/>
      <c r="L119" s="2">
        <f t="shared" si="11"/>
        <v>22136.9</v>
      </c>
      <c r="M119" s="2"/>
      <c r="N119" s="19">
        <f t="shared" si="12"/>
        <v>0</v>
      </c>
      <c r="O119" s="11"/>
      <c r="P119" s="2">
        <v>106398.85</v>
      </c>
      <c r="Q119" s="2"/>
      <c r="R119" s="19">
        <f t="shared" si="13"/>
        <v>1.0843428249509211E-2</v>
      </c>
      <c r="S119" s="2"/>
      <c r="T119" s="2"/>
      <c r="U119" s="2"/>
      <c r="V119" s="19">
        <f t="shared" si="14"/>
        <v>0</v>
      </c>
      <c r="W119" s="2"/>
      <c r="X119" s="2">
        <f t="shared" si="15"/>
        <v>106398.85</v>
      </c>
      <c r="Y119" s="2"/>
      <c r="Z119" s="19">
        <f t="shared" si="16"/>
        <v>0</v>
      </c>
    </row>
    <row r="120" spans="1:26" s="24" customFormat="1" hidden="1" outlineLevel="1" x14ac:dyDescent="0.25">
      <c r="A120" s="44"/>
      <c r="B120" s="11" t="str">
        <f>CONCATENATE("          ", "5042", " - ", "PURCHASES @ COST-EVERYDAY GIFT")</f>
        <v xml:space="preserve">          5042 - PURCHASES @ COST-EVERYDAY GIFT</v>
      </c>
      <c r="C120" s="11"/>
      <c r="D120" s="2">
        <v>-0.11</v>
      </c>
      <c r="E120" s="2"/>
      <c r="F120" s="19">
        <f t="shared" si="9"/>
        <v>-1.36060582780378E-7</v>
      </c>
      <c r="G120" s="2"/>
      <c r="H120" s="2"/>
      <c r="I120" s="2"/>
      <c r="J120" s="19">
        <f t="shared" si="10"/>
        <v>0</v>
      </c>
      <c r="K120" s="2"/>
      <c r="L120" s="2">
        <f t="shared" si="11"/>
        <v>-0.11</v>
      </c>
      <c r="M120" s="2"/>
      <c r="N120" s="19">
        <f t="shared" si="12"/>
        <v>0</v>
      </c>
      <c r="O120" s="11"/>
      <c r="P120" s="2">
        <v>18748.07</v>
      </c>
      <c r="Q120" s="2"/>
      <c r="R120" s="19">
        <f t="shared" si="13"/>
        <v>1.9106724542772421E-3</v>
      </c>
      <c r="S120" s="2"/>
      <c r="T120" s="2"/>
      <c r="U120" s="2"/>
      <c r="V120" s="19">
        <f t="shared" si="14"/>
        <v>0</v>
      </c>
      <c r="W120" s="2"/>
      <c r="X120" s="2">
        <f t="shared" si="15"/>
        <v>18748.07</v>
      </c>
      <c r="Y120" s="2"/>
      <c r="Z120" s="19">
        <f t="shared" si="16"/>
        <v>0</v>
      </c>
    </row>
    <row r="121" spans="1:26" s="24" customFormat="1" hidden="1" outlineLevel="1" x14ac:dyDescent="0.25">
      <c r="A121" s="44"/>
      <c r="B121" s="11" t="str">
        <f>CONCATENATE("          ", "5043", " - ", "PURCHASES @ COST-CARDS")</f>
        <v xml:space="preserve">          5043 - PURCHASES @ COST-CARDS</v>
      </c>
      <c r="C121" s="11"/>
      <c r="D121" s="2">
        <v>178</v>
      </c>
      <c r="E121" s="2"/>
      <c r="F121" s="19">
        <f t="shared" si="9"/>
        <v>2.2017076122642987E-4</v>
      </c>
      <c r="G121" s="2"/>
      <c r="H121" s="2"/>
      <c r="I121" s="2"/>
      <c r="J121" s="19">
        <f t="shared" si="10"/>
        <v>0</v>
      </c>
      <c r="K121" s="2"/>
      <c r="L121" s="2">
        <f t="shared" si="11"/>
        <v>178</v>
      </c>
      <c r="M121" s="2"/>
      <c r="N121" s="19">
        <f t="shared" si="12"/>
        <v>0</v>
      </c>
      <c r="O121" s="11"/>
      <c r="P121" s="2">
        <v>55583.33</v>
      </c>
      <c r="Q121" s="2"/>
      <c r="R121" s="19">
        <f t="shared" si="13"/>
        <v>5.6646650854195587E-3</v>
      </c>
      <c r="S121" s="2"/>
      <c r="T121" s="2"/>
      <c r="U121" s="2"/>
      <c r="V121" s="19">
        <f t="shared" si="14"/>
        <v>0</v>
      </c>
      <c r="W121" s="2"/>
      <c r="X121" s="2">
        <f t="shared" si="15"/>
        <v>55583.33</v>
      </c>
      <c r="Y121" s="2"/>
      <c r="Z121" s="19">
        <f t="shared" si="16"/>
        <v>0</v>
      </c>
    </row>
    <row r="122" spans="1:26" s="24" customFormat="1" hidden="1" outlineLevel="1" x14ac:dyDescent="0.25">
      <c r="A122" s="44"/>
      <c r="B122" s="11" t="str">
        <f>CONCATENATE("          ", "5044", " - ", "PURCHASES @ COST-ACCESSORIES")</f>
        <v xml:space="preserve">          5044 - PURCHASES @ COST-ACCESSORIES</v>
      </c>
      <c r="C122" s="11"/>
      <c r="D122" s="2"/>
      <c r="E122" s="2"/>
      <c r="F122" s="19">
        <f t="shared" si="9"/>
        <v>0</v>
      </c>
      <c r="G122" s="2"/>
      <c r="H122" s="2"/>
      <c r="I122" s="2"/>
      <c r="J122" s="19">
        <f t="shared" si="10"/>
        <v>0</v>
      </c>
      <c r="K122" s="2"/>
      <c r="L122" s="2">
        <f t="shared" si="11"/>
        <v>0</v>
      </c>
      <c r="M122" s="2"/>
      <c r="N122" s="19">
        <f t="shared" si="12"/>
        <v>0</v>
      </c>
      <c r="O122" s="11"/>
      <c r="P122" s="2">
        <v>2555.71</v>
      </c>
      <c r="Q122" s="2"/>
      <c r="R122" s="19">
        <f t="shared" si="13"/>
        <v>2.6046012726221369E-4</v>
      </c>
      <c r="S122" s="2"/>
      <c r="T122" s="2"/>
      <c r="U122" s="2"/>
      <c r="V122" s="19">
        <f t="shared" si="14"/>
        <v>0</v>
      </c>
      <c r="W122" s="2"/>
      <c r="X122" s="2">
        <f t="shared" si="15"/>
        <v>2555.71</v>
      </c>
      <c r="Y122" s="2"/>
      <c r="Z122" s="19">
        <f t="shared" si="16"/>
        <v>0</v>
      </c>
    </row>
    <row r="123" spans="1:26" s="24" customFormat="1" hidden="1" outlineLevel="1" x14ac:dyDescent="0.25">
      <c r="A123" s="44"/>
      <c r="B123" s="11" t="str">
        <f>CONCATENATE("          ", "5045", " - ", "PURCHASES @ COST-SPECIAL ORDER")</f>
        <v xml:space="preserve">          5045 - PURCHASES @ COST-SPECIAL ORDER</v>
      </c>
      <c r="C123" s="11"/>
      <c r="D123" s="2">
        <v>24141.17</v>
      </c>
      <c r="E123" s="2"/>
      <c r="F123" s="19">
        <f t="shared" si="9"/>
        <v>2.9860560538183437E-2</v>
      </c>
      <c r="G123" s="2"/>
      <c r="H123" s="2"/>
      <c r="I123" s="2"/>
      <c r="J123" s="19">
        <f t="shared" si="10"/>
        <v>0</v>
      </c>
      <c r="K123" s="2"/>
      <c r="L123" s="2">
        <f t="shared" si="11"/>
        <v>24141.17</v>
      </c>
      <c r="M123" s="2"/>
      <c r="N123" s="19">
        <f t="shared" si="12"/>
        <v>0</v>
      </c>
      <c r="O123" s="11"/>
      <c r="P123" s="2">
        <v>139139.24</v>
      </c>
      <c r="Q123" s="2"/>
      <c r="R123" s="19">
        <f t="shared" si="13"/>
        <v>1.4180100307768758E-2</v>
      </c>
      <c r="S123" s="2"/>
      <c r="T123" s="2"/>
      <c r="U123" s="2"/>
      <c r="V123" s="19">
        <f t="shared" si="14"/>
        <v>0</v>
      </c>
      <c r="W123" s="2"/>
      <c r="X123" s="2">
        <f t="shared" si="15"/>
        <v>139139.24</v>
      </c>
      <c r="Y123" s="2"/>
      <c r="Z123" s="19">
        <f t="shared" si="16"/>
        <v>0</v>
      </c>
    </row>
    <row r="124" spans="1:26" s="24" customFormat="1" hidden="1" outlineLevel="1" x14ac:dyDescent="0.25">
      <c r="A124" s="44"/>
      <c r="B124" s="11" t="str">
        <f>CONCATENATE("          ", "5053", " - ", "PURCHASES @ COST-FOOD")</f>
        <v xml:space="preserve">          5053 - PURCHASES @ COST-FOOD</v>
      </c>
      <c r="C124" s="11"/>
      <c r="D124" s="2">
        <v>28040.93</v>
      </c>
      <c r="E124" s="2"/>
      <c r="F124" s="19">
        <f t="shared" si="9"/>
        <v>3.4684229795488956E-2</v>
      </c>
      <c r="G124" s="2"/>
      <c r="H124" s="2"/>
      <c r="I124" s="2"/>
      <c r="J124" s="19">
        <f t="shared" si="10"/>
        <v>0</v>
      </c>
      <c r="K124" s="2"/>
      <c r="L124" s="2">
        <f t="shared" si="11"/>
        <v>28040.93</v>
      </c>
      <c r="M124" s="2"/>
      <c r="N124" s="19">
        <f t="shared" si="12"/>
        <v>0</v>
      </c>
      <c r="O124" s="11"/>
      <c r="P124" s="2">
        <v>453376.95</v>
      </c>
      <c r="Q124" s="2"/>
      <c r="R124" s="19">
        <f t="shared" si="13"/>
        <v>4.6205014690537775E-2</v>
      </c>
      <c r="S124" s="2"/>
      <c r="T124" s="2"/>
      <c r="U124" s="2"/>
      <c r="V124" s="19">
        <f t="shared" si="14"/>
        <v>0</v>
      </c>
      <c r="W124" s="2"/>
      <c r="X124" s="2">
        <f t="shared" si="15"/>
        <v>453376.95</v>
      </c>
      <c r="Y124" s="2"/>
      <c r="Z124" s="19">
        <f t="shared" si="16"/>
        <v>0</v>
      </c>
    </row>
    <row r="125" spans="1:26" s="24" customFormat="1" hidden="1" outlineLevel="1" x14ac:dyDescent="0.25">
      <c r="A125" s="44"/>
      <c r="B125" s="11" t="str">
        <f>CONCATENATE("          ", "5059", " - ", "PURCHASES @ COST-FOOD")</f>
        <v xml:space="preserve">          5059 - PURCHASES @ COST-FOOD</v>
      </c>
      <c r="C125" s="11"/>
      <c r="D125" s="2">
        <v>1355</v>
      </c>
      <c r="E125" s="2"/>
      <c r="F125" s="19">
        <f t="shared" si="9"/>
        <v>1.6760189969764745E-3</v>
      </c>
      <c r="G125" s="2"/>
      <c r="H125" s="2"/>
      <c r="I125" s="2"/>
      <c r="J125" s="19">
        <f t="shared" si="10"/>
        <v>0</v>
      </c>
      <c r="K125" s="2"/>
      <c r="L125" s="2">
        <f t="shared" si="11"/>
        <v>1355</v>
      </c>
      <c r="M125" s="2"/>
      <c r="N125" s="19">
        <f t="shared" si="12"/>
        <v>0</v>
      </c>
      <c r="O125" s="11"/>
      <c r="P125" s="2">
        <v>33849.300000000003</v>
      </c>
      <c r="Q125" s="2"/>
      <c r="R125" s="19">
        <f t="shared" si="13"/>
        <v>3.4496844265338596E-3</v>
      </c>
      <c r="S125" s="2"/>
      <c r="T125" s="2"/>
      <c r="U125" s="2"/>
      <c r="V125" s="19">
        <f t="shared" si="14"/>
        <v>0</v>
      </c>
      <c r="W125" s="2"/>
      <c r="X125" s="2">
        <f t="shared" si="15"/>
        <v>33849.300000000003</v>
      </c>
      <c r="Y125" s="2"/>
      <c r="Z125" s="19">
        <f t="shared" si="16"/>
        <v>0</v>
      </c>
    </row>
    <row r="126" spans="1:26" s="24" customFormat="1" hidden="1" outlineLevel="1" x14ac:dyDescent="0.25">
      <c r="A126" s="44"/>
      <c r="B126" s="11" t="str">
        <f>CONCATENATE("          ", "5081", " - ", "PURCHASES @ COST-ELECTRONICS")</f>
        <v xml:space="preserve">          5081 - PURCHASES @ COST-ELECTRONICS</v>
      </c>
      <c r="C126" s="11"/>
      <c r="D126" s="2">
        <v>-28.91</v>
      </c>
      <c r="E126" s="2"/>
      <c r="F126" s="19">
        <f t="shared" si="9"/>
        <v>-3.5759194983461168E-5</v>
      </c>
      <c r="G126" s="2"/>
      <c r="H126" s="2"/>
      <c r="I126" s="2"/>
      <c r="J126" s="19">
        <f t="shared" si="10"/>
        <v>0</v>
      </c>
      <c r="K126" s="2"/>
      <c r="L126" s="2">
        <f t="shared" si="11"/>
        <v>-28.91</v>
      </c>
      <c r="M126" s="2"/>
      <c r="N126" s="19">
        <f t="shared" si="12"/>
        <v>0</v>
      </c>
      <c r="O126" s="11"/>
      <c r="P126" s="2">
        <v>32419.46</v>
      </c>
      <c r="Q126" s="2"/>
      <c r="R126" s="19">
        <f t="shared" si="13"/>
        <v>3.3039651123845217E-3</v>
      </c>
      <c r="S126" s="2"/>
      <c r="T126" s="2"/>
      <c r="U126" s="2"/>
      <c r="V126" s="19">
        <f t="shared" si="14"/>
        <v>0</v>
      </c>
      <c r="W126" s="2"/>
      <c r="X126" s="2">
        <f t="shared" si="15"/>
        <v>32419.46</v>
      </c>
      <c r="Y126" s="2"/>
      <c r="Z126" s="19">
        <f t="shared" si="16"/>
        <v>0</v>
      </c>
    </row>
    <row r="127" spans="1:26" s="24" customFormat="1" hidden="1" outlineLevel="1" x14ac:dyDescent="0.25">
      <c r="A127" s="44"/>
      <c r="B127" s="11" t="str">
        <f>CONCATENATE("          ", "5082", " - ", "PURCHASES @ COST-COMPUTER HARD")</f>
        <v xml:space="preserve">          5082 - PURCHASES @ COST-COMPUTER HARD</v>
      </c>
      <c r="C127" s="11"/>
      <c r="D127" s="2">
        <v>129194.07</v>
      </c>
      <c r="E127" s="2"/>
      <c r="F127" s="19">
        <f t="shared" si="9"/>
        <v>0.15980200414517229</v>
      </c>
      <c r="G127" s="2"/>
      <c r="H127" s="2"/>
      <c r="I127" s="2"/>
      <c r="J127" s="19">
        <f t="shared" si="10"/>
        <v>0</v>
      </c>
      <c r="K127" s="2"/>
      <c r="L127" s="2">
        <f t="shared" si="11"/>
        <v>129194.07</v>
      </c>
      <c r="M127" s="2"/>
      <c r="N127" s="19">
        <f t="shared" si="12"/>
        <v>0</v>
      </c>
      <c r="O127" s="11"/>
      <c r="P127" s="2">
        <v>1802534.87</v>
      </c>
      <c r="Q127" s="2"/>
      <c r="R127" s="19">
        <f t="shared" si="13"/>
        <v>0.18370177431507401</v>
      </c>
      <c r="S127" s="2"/>
      <c r="T127" s="2"/>
      <c r="U127" s="2"/>
      <c r="V127" s="19">
        <f t="shared" si="14"/>
        <v>0</v>
      </c>
      <c r="W127" s="2"/>
      <c r="X127" s="2">
        <f t="shared" si="15"/>
        <v>1802534.87</v>
      </c>
      <c r="Y127" s="2"/>
      <c r="Z127" s="19">
        <f t="shared" si="16"/>
        <v>0</v>
      </c>
    </row>
    <row r="128" spans="1:26" s="24" customFormat="1" hidden="1" outlineLevel="1" x14ac:dyDescent="0.25">
      <c r="A128" s="44"/>
      <c r="B128" s="11" t="str">
        <f>CONCATENATE("          ", "5083", " - ", "PURCHASES @ COST-COMPUTER EQUI")</f>
        <v xml:space="preserve">          5083 - PURCHASES @ COST-COMPUTER EQUI</v>
      </c>
      <c r="C128" s="11"/>
      <c r="D128" s="2">
        <v>7514.45</v>
      </c>
      <c r="E128" s="2"/>
      <c r="F128" s="19">
        <f t="shared" si="9"/>
        <v>9.2947313297637411E-3</v>
      </c>
      <c r="G128" s="2"/>
      <c r="H128" s="2"/>
      <c r="I128" s="2"/>
      <c r="J128" s="19">
        <f t="shared" si="10"/>
        <v>0</v>
      </c>
      <c r="K128" s="2"/>
      <c r="L128" s="2">
        <f t="shared" si="11"/>
        <v>7514.45</v>
      </c>
      <c r="M128" s="2"/>
      <c r="N128" s="19">
        <f t="shared" si="12"/>
        <v>0</v>
      </c>
      <c r="O128" s="11"/>
      <c r="P128" s="2">
        <v>127029.94</v>
      </c>
      <c r="Q128" s="2"/>
      <c r="R128" s="19">
        <f t="shared" si="13"/>
        <v>1.2946004960856815E-2</v>
      </c>
      <c r="S128" s="2"/>
      <c r="T128" s="2"/>
      <c r="U128" s="2"/>
      <c r="V128" s="19">
        <f t="shared" si="14"/>
        <v>0</v>
      </c>
      <c r="W128" s="2"/>
      <c r="X128" s="2">
        <f t="shared" si="15"/>
        <v>127029.94</v>
      </c>
      <c r="Y128" s="2"/>
      <c r="Z128" s="19">
        <f t="shared" si="16"/>
        <v>0</v>
      </c>
    </row>
    <row r="129" spans="1:26" s="24" customFormat="1" hidden="1" outlineLevel="1" x14ac:dyDescent="0.25">
      <c r="A129" s="44"/>
      <c r="B129" s="11" t="str">
        <f>CONCATENATE("          ", "5085", " - ", "PURCHASES @ COST-SOFTWARE")</f>
        <v xml:space="preserve">          5085 - PURCHASES @ COST-SOFTWARE</v>
      </c>
      <c r="C129" s="11"/>
      <c r="D129" s="2">
        <v>8375.49</v>
      </c>
      <c r="E129" s="2"/>
      <c r="F129" s="19">
        <f t="shared" si="9"/>
        <v>1.0359764095192984E-2</v>
      </c>
      <c r="G129" s="2"/>
      <c r="H129" s="2"/>
      <c r="I129" s="2"/>
      <c r="J129" s="19">
        <f t="shared" si="10"/>
        <v>0</v>
      </c>
      <c r="K129" s="2"/>
      <c r="L129" s="2">
        <f t="shared" si="11"/>
        <v>8375.49</v>
      </c>
      <c r="M129" s="2"/>
      <c r="N129" s="19">
        <f t="shared" si="12"/>
        <v>0</v>
      </c>
      <c r="O129" s="11"/>
      <c r="P129" s="2">
        <v>46286.37</v>
      </c>
      <c r="Q129" s="2"/>
      <c r="R129" s="19">
        <f t="shared" si="13"/>
        <v>4.7171838043854391E-3</v>
      </c>
      <c r="S129" s="2"/>
      <c r="T129" s="2"/>
      <c r="U129" s="2"/>
      <c r="V129" s="19">
        <f t="shared" si="14"/>
        <v>0</v>
      </c>
      <c r="W129" s="2"/>
      <c r="X129" s="2">
        <f t="shared" si="15"/>
        <v>46286.37</v>
      </c>
      <c r="Y129" s="2"/>
      <c r="Z129" s="19">
        <f t="shared" si="16"/>
        <v>0</v>
      </c>
    </row>
    <row r="130" spans="1:26" s="24" customFormat="1" hidden="1" outlineLevel="1" x14ac:dyDescent="0.25">
      <c r="A130" s="44"/>
      <c r="B130" s="11" t="str">
        <f>CONCATENATE("          ", "5086", " - ", "PURCHASES @ COST-COMPUTER SUPP")</f>
        <v xml:space="preserve">          5086 - PURCHASES @ COST-COMPUTER SUPP</v>
      </c>
      <c r="C130" s="11"/>
      <c r="D130" s="2">
        <v>83.62</v>
      </c>
      <c r="E130" s="2"/>
      <c r="F130" s="19">
        <f t="shared" si="9"/>
        <v>1.0343078120086554E-4</v>
      </c>
      <c r="G130" s="2"/>
      <c r="H130" s="2"/>
      <c r="I130" s="2"/>
      <c r="J130" s="19">
        <f t="shared" si="10"/>
        <v>0</v>
      </c>
      <c r="K130" s="2"/>
      <c r="L130" s="2">
        <f t="shared" si="11"/>
        <v>83.62</v>
      </c>
      <c r="M130" s="2"/>
      <c r="N130" s="19">
        <f t="shared" si="12"/>
        <v>0</v>
      </c>
      <c r="O130" s="11"/>
      <c r="P130" s="2">
        <v>23776.22</v>
      </c>
      <c r="Q130" s="2"/>
      <c r="R130" s="19">
        <f t="shared" si="13"/>
        <v>2.4231064115311949E-3</v>
      </c>
      <c r="S130" s="2"/>
      <c r="T130" s="2"/>
      <c r="U130" s="2"/>
      <c r="V130" s="19">
        <f t="shared" si="14"/>
        <v>0</v>
      </c>
      <c r="W130" s="2"/>
      <c r="X130" s="2">
        <f t="shared" si="15"/>
        <v>23776.22</v>
      </c>
      <c r="Y130" s="2"/>
      <c r="Z130" s="19">
        <f t="shared" si="16"/>
        <v>0</v>
      </c>
    </row>
    <row r="131" spans="1:26" s="24" customFormat="1" hidden="1" outlineLevel="1" x14ac:dyDescent="0.25">
      <c r="A131" s="44"/>
      <c r="B131" s="11" t="str">
        <f>CONCATENATE("          ", "5092", " - ", "PURCHASES @ COST-GRAD MERCH")</f>
        <v xml:space="preserve">          5092 - PURCHASES @ COST-GRAD MERCH</v>
      </c>
      <c r="C131" s="11"/>
      <c r="D131" s="2"/>
      <c r="E131" s="2"/>
      <c r="F131" s="19">
        <f t="shared" si="9"/>
        <v>0</v>
      </c>
      <c r="G131" s="2"/>
      <c r="H131" s="2"/>
      <c r="I131" s="2"/>
      <c r="J131" s="19">
        <f t="shared" si="10"/>
        <v>0</v>
      </c>
      <c r="K131" s="2"/>
      <c r="L131" s="2">
        <f t="shared" si="11"/>
        <v>0</v>
      </c>
      <c r="M131" s="2"/>
      <c r="N131" s="19">
        <f t="shared" si="12"/>
        <v>0</v>
      </c>
      <c r="O131" s="11"/>
      <c r="P131" s="2">
        <v>0</v>
      </c>
      <c r="Q131" s="2"/>
      <c r="R131" s="19">
        <f t="shared" si="13"/>
        <v>0</v>
      </c>
      <c r="S131" s="2"/>
      <c r="T131" s="2"/>
      <c r="U131" s="2"/>
      <c r="V131" s="19">
        <f t="shared" si="14"/>
        <v>0</v>
      </c>
      <c r="W131" s="2"/>
      <c r="X131" s="2">
        <f t="shared" si="15"/>
        <v>0</v>
      </c>
      <c r="Y131" s="2"/>
      <c r="Z131" s="19">
        <f t="shared" si="16"/>
        <v>0</v>
      </c>
    </row>
    <row r="132" spans="1:26" s="24" customFormat="1" hidden="1" outlineLevel="1" x14ac:dyDescent="0.25">
      <c r="A132" s="44"/>
      <c r="B132" s="11" t="str">
        <f>CONCATENATE("          ", "5200", " - ", "PURCHASES OFFSET")</f>
        <v xml:space="preserve">          5200 - PURCHASES OFFSET</v>
      </c>
      <c r="C132" s="11"/>
      <c r="D132" s="2">
        <v>-307740.75</v>
      </c>
      <c r="E132" s="2"/>
      <c r="F132" s="19">
        <f t="shared" si="9"/>
        <v>-0.38064896172973284</v>
      </c>
      <c r="G132" s="2"/>
      <c r="H132" s="2"/>
      <c r="I132" s="2"/>
      <c r="J132" s="19">
        <f t="shared" si="10"/>
        <v>0</v>
      </c>
      <c r="K132" s="2"/>
      <c r="L132" s="2">
        <f t="shared" si="11"/>
        <v>-307740.75</v>
      </c>
      <c r="M132" s="2"/>
      <c r="N132" s="19">
        <f t="shared" si="12"/>
        <v>0</v>
      </c>
      <c r="O132" s="11"/>
      <c r="P132" s="2">
        <v>-3876506.96</v>
      </c>
      <c r="Q132" s="2"/>
      <c r="R132" s="19">
        <f t="shared" si="13"/>
        <v>-0.39506653577066925</v>
      </c>
      <c r="S132" s="2"/>
      <c r="T132" s="2"/>
      <c r="U132" s="2"/>
      <c r="V132" s="19">
        <f t="shared" si="14"/>
        <v>0</v>
      </c>
      <c r="W132" s="2"/>
      <c r="X132" s="2">
        <f t="shared" si="15"/>
        <v>-3876506.96</v>
      </c>
      <c r="Y132" s="2"/>
      <c r="Z132" s="19">
        <f t="shared" si="16"/>
        <v>0</v>
      </c>
    </row>
    <row r="133" spans="1:26" s="24" customFormat="1" hidden="1" outlineLevel="1" x14ac:dyDescent="0.25">
      <c r="A133" s="44"/>
      <c r="B133" s="11" t="str">
        <f>CONCATENATE("          ", "5300", " - ", "COG$ OFFSET")</f>
        <v xml:space="preserve">          5300 - COG$ OFFSET</v>
      </c>
      <c r="C133" s="11"/>
      <c r="D133" s="2">
        <v>297791</v>
      </c>
      <c r="E133" s="2"/>
      <c r="F133" s="19">
        <f t="shared" si="9"/>
        <v>0.36834197278865044</v>
      </c>
      <c r="G133" s="2"/>
      <c r="H133" s="2"/>
      <c r="I133" s="2"/>
      <c r="J133" s="19">
        <f t="shared" si="10"/>
        <v>0</v>
      </c>
      <c r="K133" s="2"/>
      <c r="L133" s="2">
        <f t="shared" si="11"/>
        <v>297791</v>
      </c>
      <c r="M133" s="2"/>
      <c r="N133" s="19">
        <f t="shared" si="12"/>
        <v>0</v>
      </c>
      <c r="O133" s="11"/>
      <c r="P133" s="2">
        <v>4928176</v>
      </c>
      <c r="Q133" s="2"/>
      <c r="R133" s="19">
        <f t="shared" si="13"/>
        <v>0.50224530487832619</v>
      </c>
      <c r="S133" s="2"/>
      <c r="T133" s="2"/>
      <c r="U133" s="2"/>
      <c r="V133" s="19">
        <f t="shared" si="14"/>
        <v>0</v>
      </c>
      <c r="W133" s="2"/>
      <c r="X133" s="2">
        <f t="shared" si="15"/>
        <v>4928176</v>
      </c>
      <c r="Y133" s="2"/>
      <c r="Z133" s="19">
        <f t="shared" si="16"/>
        <v>0</v>
      </c>
    </row>
    <row r="134" spans="1:26" s="24" customFormat="1" hidden="1" outlineLevel="1" x14ac:dyDescent="0.25">
      <c r="A134" s="44"/>
      <c r="B134" s="11" t="str">
        <f>CONCATENATE("          ", "5500", " - ", "FREIGHT-IN")</f>
        <v xml:space="preserve">          5500 - FREIGHT-IN</v>
      </c>
      <c r="C134" s="11"/>
      <c r="D134" s="2">
        <v>0</v>
      </c>
      <c r="E134" s="2"/>
      <c r="F134" s="19">
        <f t="shared" si="9"/>
        <v>0</v>
      </c>
      <c r="G134" s="2"/>
      <c r="H134" s="2"/>
      <c r="I134" s="2"/>
      <c r="J134" s="19">
        <f t="shared" si="10"/>
        <v>0</v>
      </c>
      <c r="K134" s="2"/>
      <c r="L134" s="2">
        <f t="shared" si="11"/>
        <v>0</v>
      </c>
      <c r="M134" s="2"/>
      <c r="N134" s="19">
        <f t="shared" si="12"/>
        <v>0</v>
      </c>
      <c r="O134" s="11"/>
      <c r="P134" s="2">
        <v>0</v>
      </c>
      <c r="Q134" s="2"/>
      <c r="R134" s="19">
        <f t="shared" si="13"/>
        <v>0</v>
      </c>
      <c r="S134" s="2"/>
      <c r="T134" s="2"/>
      <c r="U134" s="2"/>
      <c r="V134" s="19">
        <f t="shared" si="14"/>
        <v>0</v>
      </c>
      <c r="W134" s="2"/>
      <c r="X134" s="2">
        <f t="shared" si="15"/>
        <v>0</v>
      </c>
      <c r="Y134" s="2"/>
      <c r="Z134" s="19">
        <f t="shared" si="16"/>
        <v>0</v>
      </c>
    </row>
    <row r="135" spans="1:26" s="24" customFormat="1" hidden="1" outlineLevel="1" x14ac:dyDescent="0.25">
      <c r="A135" s="44"/>
      <c r="B135" s="11" t="str">
        <f>CONCATENATE("          ", "5501", " - ", "FREIGHT-IN-NEW TEXT")</f>
        <v xml:space="preserve">          5501 - FREIGHT-IN-NEW TEXT</v>
      </c>
      <c r="C135" s="11"/>
      <c r="D135" s="2">
        <v>1522.41</v>
      </c>
      <c r="E135" s="2"/>
      <c r="F135" s="19">
        <f t="shared" si="9"/>
        <v>1.8830908348243208E-3</v>
      </c>
      <c r="G135" s="2"/>
      <c r="H135" s="2"/>
      <c r="I135" s="2"/>
      <c r="J135" s="19">
        <f t="shared" si="10"/>
        <v>0</v>
      </c>
      <c r="K135" s="2"/>
      <c r="L135" s="2">
        <f t="shared" si="11"/>
        <v>1522.41</v>
      </c>
      <c r="M135" s="2"/>
      <c r="N135" s="19">
        <f t="shared" si="12"/>
        <v>0</v>
      </c>
      <c r="O135" s="11"/>
      <c r="P135" s="2">
        <v>51836.14</v>
      </c>
      <c r="Q135" s="2"/>
      <c r="R135" s="19">
        <f t="shared" si="13"/>
        <v>5.2827776317273577E-3</v>
      </c>
      <c r="S135" s="2"/>
      <c r="T135" s="2"/>
      <c r="U135" s="2"/>
      <c r="V135" s="19">
        <f t="shared" si="14"/>
        <v>0</v>
      </c>
      <c r="W135" s="2"/>
      <c r="X135" s="2">
        <f t="shared" si="15"/>
        <v>51836.14</v>
      </c>
      <c r="Y135" s="2"/>
      <c r="Z135" s="19">
        <f t="shared" si="16"/>
        <v>0</v>
      </c>
    </row>
    <row r="136" spans="1:26" s="24" customFormat="1" hidden="1" outlineLevel="1" x14ac:dyDescent="0.25">
      <c r="A136" s="44"/>
      <c r="B136" s="11" t="str">
        <f>CONCATENATE("          ", "5502", " - ", "FREIGHT-IN-USED TEXT")</f>
        <v xml:space="preserve">          5502 - FREIGHT-IN-USED TEXT</v>
      </c>
      <c r="C136" s="11"/>
      <c r="D136" s="2">
        <v>133.97</v>
      </c>
      <c r="E136" s="2"/>
      <c r="F136" s="19">
        <f t="shared" si="9"/>
        <v>1.657094206826113E-4</v>
      </c>
      <c r="G136" s="2"/>
      <c r="H136" s="2"/>
      <c r="I136" s="2"/>
      <c r="J136" s="19">
        <f t="shared" si="10"/>
        <v>0</v>
      </c>
      <c r="K136" s="2"/>
      <c r="L136" s="2">
        <f t="shared" si="11"/>
        <v>133.97</v>
      </c>
      <c r="M136" s="2"/>
      <c r="N136" s="19">
        <f t="shared" si="12"/>
        <v>0</v>
      </c>
      <c r="O136" s="11"/>
      <c r="P136" s="2">
        <v>17992.87</v>
      </c>
      <c r="Q136" s="2"/>
      <c r="R136" s="19">
        <f t="shared" si="13"/>
        <v>1.833707740710983E-3</v>
      </c>
      <c r="S136" s="2"/>
      <c r="T136" s="2"/>
      <c r="U136" s="2"/>
      <c r="V136" s="19">
        <f t="shared" si="14"/>
        <v>0</v>
      </c>
      <c r="W136" s="2"/>
      <c r="X136" s="2">
        <f t="shared" si="15"/>
        <v>17992.87</v>
      </c>
      <c r="Y136" s="2"/>
      <c r="Z136" s="19">
        <f t="shared" si="16"/>
        <v>0</v>
      </c>
    </row>
    <row r="137" spans="1:26" s="24" customFormat="1" hidden="1" outlineLevel="1" x14ac:dyDescent="0.25">
      <c r="A137" s="44"/>
      <c r="B137" s="11" t="str">
        <f>CONCATENATE("          ", "5504", " - ", "FREIGHT-IN-DIGITAL TEXT")</f>
        <v xml:space="preserve">          5504 - FREIGHT-IN-DIGITAL TEXT</v>
      </c>
      <c r="C137" s="11"/>
      <c r="D137" s="2"/>
      <c r="E137" s="2"/>
      <c r="F137" s="19">
        <f t="shared" si="9"/>
        <v>0</v>
      </c>
      <c r="G137" s="2"/>
      <c r="H137" s="2"/>
      <c r="I137" s="2"/>
      <c r="J137" s="19">
        <f t="shared" si="10"/>
        <v>0</v>
      </c>
      <c r="K137" s="2"/>
      <c r="L137" s="2">
        <f t="shared" si="11"/>
        <v>0</v>
      </c>
      <c r="M137" s="2"/>
      <c r="N137" s="19">
        <f t="shared" si="12"/>
        <v>0</v>
      </c>
      <c r="O137" s="11"/>
      <c r="P137" s="2">
        <v>28.92</v>
      </c>
      <c r="Q137" s="2"/>
      <c r="R137" s="19">
        <f t="shared" si="13"/>
        <v>2.9473245714197701E-6</v>
      </c>
      <c r="S137" s="2"/>
      <c r="T137" s="2"/>
      <c r="U137" s="2"/>
      <c r="V137" s="19">
        <f t="shared" si="14"/>
        <v>0</v>
      </c>
      <c r="W137" s="2"/>
      <c r="X137" s="2">
        <f t="shared" si="15"/>
        <v>28.92</v>
      </c>
      <c r="Y137" s="2"/>
      <c r="Z137" s="19">
        <f t="shared" si="16"/>
        <v>0</v>
      </c>
    </row>
    <row r="138" spans="1:26" s="24" customFormat="1" hidden="1" outlineLevel="1" x14ac:dyDescent="0.25">
      <c r="A138" s="44"/>
      <c r="B138" s="11" t="str">
        <f>CONCATENATE("          ", "5513", " - ", "FREIGHT-IN-TRADE BOOKS")</f>
        <v xml:space="preserve">          5513 - FREIGHT-IN-TRADE BOOKS</v>
      </c>
      <c r="C138" s="11"/>
      <c r="D138" s="2"/>
      <c r="E138" s="2"/>
      <c r="F138" s="19">
        <f t="shared" si="9"/>
        <v>0</v>
      </c>
      <c r="G138" s="2"/>
      <c r="H138" s="2"/>
      <c r="I138" s="2"/>
      <c r="J138" s="19">
        <f t="shared" si="10"/>
        <v>0</v>
      </c>
      <c r="K138" s="2"/>
      <c r="L138" s="2">
        <f t="shared" si="11"/>
        <v>0</v>
      </c>
      <c r="M138" s="2"/>
      <c r="N138" s="19">
        <f t="shared" si="12"/>
        <v>0</v>
      </c>
      <c r="O138" s="11"/>
      <c r="P138" s="2">
        <v>85.28</v>
      </c>
      <c r="Q138" s="2"/>
      <c r="R138" s="19">
        <f t="shared" si="13"/>
        <v>8.6911424429695005E-6</v>
      </c>
      <c r="S138" s="2"/>
      <c r="T138" s="2"/>
      <c r="U138" s="2"/>
      <c r="V138" s="19">
        <f t="shared" si="14"/>
        <v>0</v>
      </c>
      <c r="W138" s="2"/>
      <c r="X138" s="2">
        <f t="shared" si="15"/>
        <v>85.28</v>
      </c>
      <c r="Y138" s="2"/>
      <c r="Z138" s="19">
        <f t="shared" si="16"/>
        <v>0</v>
      </c>
    </row>
    <row r="139" spans="1:26" s="24" customFormat="1" hidden="1" outlineLevel="1" x14ac:dyDescent="0.25">
      <c r="A139" s="44"/>
      <c r="B139" s="11" t="str">
        <f>CONCATENATE("          ", "5525", " - ", "FREIGHT-IN-TEST FORMS")</f>
        <v xml:space="preserve">          5525 - FREIGHT-IN-TEST FORMS</v>
      </c>
      <c r="C139" s="11"/>
      <c r="D139" s="2"/>
      <c r="E139" s="2"/>
      <c r="F139" s="19">
        <f t="shared" si="9"/>
        <v>0</v>
      </c>
      <c r="G139" s="2"/>
      <c r="H139" s="2"/>
      <c r="I139" s="2"/>
      <c r="J139" s="19">
        <f t="shared" si="10"/>
        <v>0</v>
      </c>
      <c r="K139" s="2"/>
      <c r="L139" s="2">
        <f t="shared" si="11"/>
        <v>0</v>
      </c>
      <c r="M139" s="2"/>
      <c r="N139" s="19">
        <f t="shared" si="12"/>
        <v>0</v>
      </c>
      <c r="O139" s="11"/>
      <c r="P139" s="2">
        <v>48.14</v>
      </c>
      <c r="Q139" s="2"/>
      <c r="R139" s="19">
        <f t="shared" si="13"/>
        <v>4.9060928377644435E-6</v>
      </c>
      <c r="S139" s="2"/>
      <c r="T139" s="2"/>
      <c r="U139" s="2"/>
      <c r="V139" s="19">
        <f t="shared" si="14"/>
        <v>0</v>
      </c>
      <c r="W139" s="2"/>
      <c r="X139" s="2">
        <f t="shared" si="15"/>
        <v>48.14</v>
      </c>
      <c r="Y139" s="2"/>
      <c r="Z139" s="19">
        <f t="shared" si="16"/>
        <v>0</v>
      </c>
    </row>
    <row r="140" spans="1:26" s="24" customFormat="1" hidden="1" outlineLevel="1" x14ac:dyDescent="0.25">
      <c r="A140" s="44"/>
      <c r="B140" s="11" t="str">
        <f>CONCATENATE("          ", "5526", " - ", "FREIGHT-IN-WRITING INSTRUMENTS")</f>
        <v xml:space="preserve">          5526 - FREIGHT-IN-WRITING INSTRUMENTS</v>
      </c>
      <c r="C140" s="11"/>
      <c r="D140" s="2"/>
      <c r="E140" s="2"/>
      <c r="F140" s="19">
        <f t="shared" si="9"/>
        <v>0</v>
      </c>
      <c r="G140" s="2"/>
      <c r="H140" s="2"/>
      <c r="I140" s="2"/>
      <c r="J140" s="19">
        <f t="shared" si="10"/>
        <v>0</v>
      </c>
      <c r="K140" s="2"/>
      <c r="L140" s="2">
        <f t="shared" si="11"/>
        <v>0</v>
      </c>
      <c r="M140" s="2"/>
      <c r="N140" s="19">
        <f t="shared" si="12"/>
        <v>0</v>
      </c>
      <c r="O140" s="11"/>
      <c r="P140" s="2">
        <v>0</v>
      </c>
      <c r="Q140" s="2"/>
      <c r="R140" s="19">
        <f t="shared" si="13"/>
        <v>0</v>
      </c>
      <c r="S140" s="2"/>
      <c r="T140" s="2"/>
      <c r="U140" s="2"/>
      <c r="V140" s="19">
        <f t="shared" si="14"/>
        <v>0</v>
      </c>
      <c r="W140" s="2"/>
      <c r="X140" s="2">
        <f t="shared" si="15"/>
        <v>0</v>
      </c>
      <c r="Y140" s="2"/>
      <c r="Z140" s="19">
        <f t="shared" si="16"/>
        <v>0</v>
      </c>
    </row>
    <row r="141" spans="1:26" s="24" customFormat="1" hidden="1" outlineLevel="1" x14ac:dyDescent="0.25">
      <c r="A141" s="44"/>
      <c r="B141" s="11" t="str">
        <f>CONCATENATE("          ", "5527", " - ", "FREIGHT-IN-SCHOOL SUPPLIES")</f>
        <v xml:space="preserve">          5527 - FREIGHT-IN-SCHOOL SUPPLIES</v>
      </c>
      <c r="C141" s="11"/>
      <c r="D141" s="2"/>
      <c r="E141" s="2"/>
      <c r="F141" s="19">
        <f t="shared" si="9"/>
        <v>0</v>
      </c>
      <c r="G141" s="2"/>
      <c r="H141" s="2"/>
      <c r="I141" s="2"/>
      <c r="J141" s="19">
        <f t="shared" si="10"/>
        <v>0</v>
      </c>
      <c r="K141" s="2"/>
      <c r="L141" s="2">
        <f t="shared" si="11"/>
        <v>0</v>
      </c>
      <c r="M141" s="2"/>
      <c r="N141" s="19">
        <f t="shared" si="12"/>
        <v>0</v>
      </c>
      <c r="O141" s="11"/>
      <c r="P141" s="2">
        <v>218.62</v>
      </c>
      <c r="Q141" s="2"/>
      <c r="R141" s="19">
        <f t="shared" si="13"/>
        <v>2.2280224682012104E-5</v>
      </c>
      <c r="S141" s="2"/>
      <c r="T141" s="2"/>
      <c r="U141" s="2"/>
      <c r="V141" s="19">
        <f t="shared" si="14"/>
        <v>0</v>
      </c>
      <c r="W141" s="2"/>
      <c r="X141" s="2">
        <f t="shared" si="15"/>
        <v>218.62</v>
      </c>
      <c r="Y141" s="2"/>
      <c r="Z141" s="19">
        <f t="shared" si="16"/>
        <v>0</v>
      </c>
    </row>
    <row r="142" spans="1:26" s="24" customFormat="1" hidden="1" outlineLevel="1" x14ac:dyDescent="0.25">
      <c r="A142" s="44"/>
      <c r="B142" s="11" t="str">
        <f>CONCATENATE("          ", "5528", " - ", "FREIGHT-IN-ART/TECH")</f>
        <v xml:space="preserve">          5528 - FREIGHT-IN-ART/TECH</v>
      </c>
      <c r="C142" s="11"/>
      <c r="D142" s="2">
        <v>28.53</v>
      </c>
      <c r="E142" s="2"/>
      <c r="F142" s="19">
        <f t="shared" si="9"/>
        <v>3.5289167515674408E-5</v>
      </c>
      <c r="G142" s="2"/>
      <c r="H142" s="2"/>
      <c r="I142" s="2"/>
      <c r="J142" s="19">
        <f t="shared" si="10"/>
        <v>0</v>
      </c>
      <c r="K142" s="2"/>
      <c r="L142" s="2">
        <f t="shared" si="11"/>
        <v>28.53</v>
      </c>
      <c r="M142" s="2"/>
      <c r="N142" s="19">
        <f t="shared" si="12"/>
        <v>0</v>
      </c>
      <c r="O142" s="11"/>
      <c r="P142" s="2">
        <v>572.96</v>
      </c>
      <c r="Q142" s="2"/>
      <c r="R142" s="19">
        <f t="shared" si="13"/>
        <v>5.8392084593384211E-5</v>
      </c>
      <c r="S142" s="2"/>
      <c r="T142" s="2"/>
      <c r="U142" s="2"/>
      <c r="V142" s="19">
        <f t="shared" si="14"/>
        <v>0</v>
      </c>
      <c r="W142" s="2"/>
      <c r="X142" s="2">
        <f t="shared" si="15"/>
        <v>572.96</v>
      </c>
      <c r="Y142" s="2"/>
      <c r="Z142" s="19">
        <f t="shared" si="16"/>
        <v>0</v>
      </c>
    </row>
    <row r="143" spans="1:26" s="24" customFormat="1" hidden="1" outlineLevel="1" x14ac:dyDescent="0.25">
      <c r="A143" s="44"/>
      <c r="B143" s="11" t="str">
        <f>CONCATENATE("          ", "5540", " - ", "FREIGHT-IN-LOGO CLOTHING")</f>
        <v xml:space="preserve">          5540 - FREIGHT-IN-LOGO CLOTHING</v>
      </c>
      <c r="C143" s="11"/>
      <c r="D143" s="2">
        <v>1283.68</v>
      </c>
      <c r="E143" s="2"/>
      <c r="F143" s="19">
        <f t="shared" si="9"/>
        <v>1.5878022627592331E-3</v>
      </c>
      <c r="G143" s="2"/>
      <c r="H143" s="2"/>
      <c r="I143" s="2"/>
      <c r="J143" s="19">
        <f t="shared" si="10"/>
        <v>0</v>
      </c>
      <c r="K143" s="2"/>
      <c r="L143" s="2">
        <f t="shared" si="11"/>
        <v>1283.68</v>
      </c>
      <c r="M143" s="2"/>
      <c r="N143" s="19">
        <f t="shared" si="12"/>
        <v>0</v>
      </c>
      <c r="O143" s="11"/>
      <c r="P143" s="2">
        <v>10499.7</v>
      </c>
      <c r="Q143" s="2"/>
      <c r="R143" s="19">
        <f t="shared" si="13"/>
        <v>1.0700561480821631E-3</v>
      </c>
      <c r="S143" s="2"/>
      <c r="T143" s="2"/>
      <c r="U143" s="2"/>
      <c r="V143" s="19">
        <f t="shared" si="14"/>
        <v>0</v>
      </c>
      <c r="W143" s="2"/>
      <c r="X143" s="2">
        <f t="shared" si="15"/>
        <v>10499.7</v>
      </c>
      <c r="Y143" s="2"/>
      <c r="Z143" s="19">
        <f t="shared" si="16"/>
        <v>0</v>
      </c>
    </row>
    <row r="144" spans="1:26" s="24" customFormat="1" hidden="1" outlineLevel="1" x14ac:dyDescent="0.25">
      <c r="A144" s="44"/>
      <c r="B144" s="11" t="str">
        <f>CONCATENATE("          ", "5541", " - ", "FREIGHT-IN-LOGO GIFTS")</f>
        <v xml:space="preserve">          5541 - FREIGHT-IN-LOGO GIFTS</v>
      </c>
      <c r="C144" s="11"/>
      <c r="D144" s="2">
        <v>961.21</v>
      </c>
      <c r="E144" s="2"/>
      <c r="F144" s="19">
        <f t="shared" si="9"/>
        <v>1.1889344797666106E-3</v>
      </c>
      <c r="G144" s="2"/>
      <c r="H144" s="2"/>
      <c r="I144" s="2"/>
      <c r="J144" s="19">
        <f t="shared" si="10"/>
        <v>0</v>
      </c>
      <c r="K144" s="2"/>
      <c r="L144" s="2">
        <f t="shared" si="11"/>
        <v>961.21</v>
      </c>
      <c r="M144" s="2"/>
      <c r="N144" s="19">
        <f t="shared" si="12"/>
        <v>0</v>
      </c>
      <c r="O144" s="11"/>
      <c r="P144" s="2">
        <v>5977.2</v>
      </c>
      <c r="Q144" s="2"/>
      <c r="R144" s="19">
        <f t="shared" si="13"/>
        <v>6.0915450996854243E-4</v>
      </c>
      <c r="S144" s="2"/>
      <c r="T144" s="2"/>
      <c r="U144" s="2"/>
      <c r="V144" s="19">
        <f t="shared" si="14"/>
        <v>0</v>
      </c>
      <c r="W144" s="2"/>
      <c r="X144" s="2">
        <f t="shared" si="15"/>
        <v>5977.2</v>
      </c>
      <c r="Y144" s="2"/>
      <c r="Z144" s="19">
        <f t="shared" si="16"/>
        <v>0</v>
      </c>
    </row>
    <row r="145" spans="1:26" s="24" customFormat="1" hidden="1" outlineLevel="1" x14ac:dyDescent="0.25">
      <c r="A145" s="44"/>
      <c r="B145" s="11" t="str">
        <f>CONCATENATE("          ", "5542", " - ", "FREIGHT-IN-EVERYDAY GIFTS")</f>
        <v xml:space="preserve">          5542 - FREIGHT-IN-EVERYDAY GIFTS</v>
      </c>
      <c r="C145" s="11"/>
      <c r="D145" s="2"/>
      <c r="E145" s="2"/>
      <c r="F145" s="19">
        <f t="shared" si="9"/>
        <v>0</v>
      </c>
      <c r="G145" s="2"/>
      <c r="H145" s="2"/>
      <c r="I145" s="2"/>
      <c r="J145" s="19">
        <f t="shared" si="10"/>
        <v>0</v>
      </c>
      <c r="K145" s="2"/>
      <c r="L145" s="2">
        <f t="shared" si="11"/>
        <v>0</v>
      </c>
      <c r="M145" s="2"/>
      <c r="N145" s="19">
        <f t="shared" si="12"/>
        <v>0</v>
      </c>
      <c r="O145" s="11"/>
      <c r="P145" s="2">
        <v>681.72</v>
      </c>
      <c r="Q145" s="2"/>
      <c r="R145" s="19">
        <f t="shared" si="13"/>
        <v>6.9476144772762297E-5</v>
      </c>
      <c r="S145" s="2"/>
      <c r="T145" s="2"/>
      <c r="U145" s="2"/>
      <c r="V145" s="19">
        <f t="shared" si="14"/>
        <v>0</v>
      </c>
      <c r="W145" s="2"/>
      <c r="X145" s="2">
        <f t="shared" si="15"/>
        <v>681.72</v>
      </c>
      <c r="Y145" s="2"/>
      <c r="Z145" s="19">
        <f t="shared" si="16"/>
        <v>0</v>
      </c>
    </row>
    <row r="146" spans="1:26" s="24" customFormat="1" hidden="1" outlineLevel="1" x14ac:dyDescent="0.25">
      <c r="A146" s="44"/>
      <c r="B146" s="11" t="str">
        <f>CONCATENATE("          ", "5543", " - ", "FREIGHT-IN-CARDS")</f>
        <v xml:space="preserve">          5543 - FREIGHT-IN-CARDS</v>
      </c>
      <c r="C146" s="11"/>
      <c r="D146" s="2"/>
      <c r="E146" s="2"/>
      <c r="F146" s="19">
        <f t="shared" si="9"/>
        <v>0</v>
      </c>
      <c r="G146" s="2"/>
      <c r="H146" s="2"/>
      <c r="I146" s="2"/>
      <c r="J146" s="19">
        <f t="shared" si="10"/>
        <v>0</v>
      </c>
      <c r="K146" s="2"/>
      <c r="L146" s="2">
        <f t="shared" si="11"/>
        <v>0</v>
      </c>
      <c r="M146" s="2"/>
      <c r="N146" s="19">
        <f t="shared" si="12"/>
        <v>0</v>
      </c>
      <c r="O146" s="11"/>
      <c r="P146" s="2">
        <v>9110.5300000000007</v>
      </c>
      <c r="Q146" s="2"/>
      <c r="R146" s="19">
        <f t="shared" si="13"/>
        <v>9.2848163650266101E-4</v>
      </c>
      <c r="S146" s="2"/>
      <c r="T146" s="2"/>
      <c r="U146" s="2"/>
      <c r="V146" s="19">
        <f t="shared" si="14"/>
        <v>0</v>
      </c>
      <c r="W146" s="2"/>
      <c r="X146" s="2">
        <f t="shared" si="15"/>
        <v>9110.5300000000007</v>
      </c>
      <c r="Y146" s="2"/>
      <c r="Z146" s="19">
        <f t="shared" si="16"/>
        <v>0</v>
      </c>
    </row>
    <row r="147" spans="1:26" s="24" customFormat="1" hidden="1" outlineLevel="1" x14ac:dyDescent="0.25">
      <c r="A147" s="44"/>
      <c r="B147" s="11" t="str">
        <f>CONCATENATE("          ", "5545", " - ", "FREIGHT-IN-SPECIAL ORDERS")</f>
        <v xml:space="preserve">          5545 - FREIGHT-IN-SPECIAL ORDERS</v>
      </c>
      <c r="C147" s="11"/>
      <c r="D147" s="2">
        <v>1033.9000000000001</v>
      </c>
      <c r="E147" s="2"/>
      <c r="F147" s="19">
        <f t="shared" si="9"/>
        <v>1.278845786696662E-3</v>
      </c>
      <c r="G147" s="2"/>
      <c r="H147" s="2"/>
      <c r="I147" s="2"/>
      <c r="J147" s="19">
        <f t="shared" si="10"/>
        <v>0</v>
      </c>
      <c r="K147" s="2"/>
      <c r="L147" s="2">
        <f t="shared" si="11"/>
        <v>1033.9000000000001</v>
      </c>
      <c r="M147" s="2"/>
      <c r="N147" s="19">
        <f t="shared" si="12"/>
        <v>0</v>
      </c>
      <c r="O147" s="11"/>
      <c r="P147" s="2">
        <v>2468.66</v>
      </c>
      <c r="Q147" s="2"/>
      <c r="R147" s="19">
        <f t="shared" si="13"/>
        <v>2.5158859877182327E-4</v>
      </c>
      <c r="S147" s="2"/>
      <c r="T147" s="2"/>
      <c r="U147" s="2"/>
      <c r="V147" s="19">
        <f t="shared" si="14"/>
        <v>0</v>
      </c>
      <c r="W147" s="2"/>
      <c r="X147" s="2">
        <f t="shared" si="15"/>
        <v>2468.66</v>
      </c>
      <c r="Y147" s="2"/>
      <c r="Z147" s="19">
        <f t="shared" si="16"/>
        <v>0</v>
      </c>
    </row>
    <row r="148" spans="1:26" s="24" customFormat="1" hidden="1" outlineLevel="1" x14ac:dyDescent="0.25">
      <c r="A148" s="44"/>
      <c r="B148" s="11" t="str">
        <f>CONCATENATE("          ", "5581", " - ", "FREIGHT-IN-ELECTRONICS")</f>
        <v xml:space="preserve">          5581 - FREIGHT-IN-ELECTRONICS</v>
      </c>
      <c r="C148" s="11"/>
      <c r="D148" s="2"/>
      <c r="E148" s="2"/>
      <c r="F148" s="19">
        <f t="shared" si="9"/>
        <v>0</v>
      </c>
      <c r="G148" s="2"/>
      <c r="H148" s="2"/>
      <c r="I148" s="2"/>
      <c r="J148" s="19">
        <f t="shared" si="10"/>
        <v>0</v>
      </c>
      <c r="K148" s="2"/>
      <c r="L148" s="2">
        <f t="shared" si="11"/>
        <v>0</v>
      </c>
      <c r="M148" s="2"/>
      <c r="N148" s="19">
        <f t="shared" si="12"/>
        <v>0</v>
      </c>
      <c r="O148" s="11"/>
      <c r="P148" s="2">
        <v>31</v>
      </c>
      <c r="Q148" s="2"/>
      <c r="R148" s="19">
        <f t="shared" si="13"/>
        <v>3.1593036553946354E-6</v>
      </c>
      <c r="S148" s="2"/>
      <c r="T148" s="2"/>
      <c r="U148" s="2"/>
      <c r="V148" s="19">
        <f t="shared" si="14"/>
        <v>0</v>
      </c>
      <c r="W148" s="2"/>
      <c r="X148" s="2">
        <f t="shared" si="15"/>
        <v>31</v>
      </c>
      <c r="Y148" s="2"/>
      <c r="Z148" s="19">
        <f t="shared" si="16"/>
        <v>0</v>
      </c>
    </row>
    <row r="149" spans="1:26" s="24" customFormat="1" hidden="1" outlineLevel="1" x14ac:dyDescent="0.25">
      <c r="A149" s="44"/>
      <c r="B149" s="11" t="str">
        <f>CONCATENATE("          ", "5582", " - ", "FREIGHT-IN-COMPUTER HARDWARE")</f>
        <v xml:space="preserve">          5582 - FREIGHT-IN-COMPUTER HARDWARE</v>
      </c>
      <c r="C149" s="11"/>
      <c r="D149" s="2">
        <v>20</v>
      </c>
      <c r="E149" s="2"/>
      <c r="F149" s="19">
        <f t="shared" si="9"/>
        <v>2.4738287778250546E-5</v>
      </c>
      <c r="G149" s="2"/>
      <c r="H149" s="2"/>
      <c r="I149" s="2"/>
      <c r="J149" s="19">
        <f t="shared" si="10"/>
        <v>0</v>
      </c>
      <c r="K149" s="2"/>
      <c r="L149" s="2">
        <f t="shared" si="11"/>
        <v>20</v>
      </c>
      <c r="M149" s="2"/>
      <c r="N149" s="19">
        <f t="shared" si="12"/>
        <v>0</v>
      </c>
      <c r="O149" s="11"/>
      <c r="P149" s="2">
        <v>145</v>
      </c>
      <c r="Q149" s="2"/>
      <c r="R149" s="19">
        <f t="shared" si="13"/>
        <v>1.4777388065555553E-5</v>
      </c>
      <c r="S149" s="2"/>
      <c r="T149" s="2"/>
      <c r="U149" s="2"/>
      <c r="V149" s="19">
        <f t="shared" si="14"/>
        <v>0</v>
      </c>
      <c r="W149" s="2"/>
      <c r="X149" s="2">
        <f t="shared" si="15"/>
        <v>145</v>
      </c>
      <c r="Y149" s="2"/>
      <c r="Z149" s="19">
        <f t="shared" si="16"/>
        <v>0</v>
      </c>
    </row>
    <row r="150" spans="1:26" s="24" customFormat="1" hidden="1" outlineLevel="1" x14ac:dyDescent="0.25">
      <c r="A150" s="44"/>
      <c r="B150" s="11" t="str">
        <f>CONCATENATE("          ", "5583", " - ", "FREIGHT-IN-COMPUTER EQUIPMENT")</f>
        <v xml:space="preserve">          5583 - FREIGHT-IN-COMPUTER EQUIPMENT</v>
      </c>
      <c r="C150" s="11"/>
      <c r="D150" s="2"/>
      <c r="E150" s="2"/>
      <c r="F150" s="19">
        <f t="shared" si="9"/>
        <v>0</v>
      </c>
      <c r="G150" s="2"/>
      <c r="H150" s="2"/>
      <c r="I150" s="2"/>
      <c r="J150" s="19">
        <f t="shared" si="10"/>
        <v>0</v>
      </c>
      <c r="K150" s="2"/>
      <c r="L150" s="2">
        <f t="shared" si="11"/>
        <v>0</v>
      </c>
      <c r="M150" s="2"/>
      <c r="N150" s="19">
        <f t="shared" si="12"/>
        <v>0</v>
      </c>
      <c r="O150" s="11"/>
      <c r="P150" s="2">
        <v>242.46</v>
      </c>
      <c r="Q150" s="2"/>
      <c r="R150" s="19">
        <f t="shared" si="13"/>
        <v>2.4709831106031723E-5</v>
      </c>
      <c r="S150" s="2"/>
      <c r="T150" s="2"/>
      <c r="U150" s="2"/>
      <c r="V150" s="19">
        <f t="shared" si="14"/>
        <v>0</v>
      </c>
      <c r="W150" s="2"/>
      <c r="X150" s="2">
        <f t="shared" si="15"/>
        <v>242.46</v>
      </c>
      <c r="Y150" s="2"/>
      <c r="Z150" s="19">
        <f t="shared" si="16"/>
        <v>0</v>
      </c>
    </row>
    <row r="151" spans="1:26" s="24" customFormat="1" hidden="1" outlineLevel="1" x14ac:dyDescent="0.25">
      <c r="A151" s="44"/>
      <c r="B151" s="11" t="str">
        <f>CONCATENATE("          ", "5585", " - ", "FREIGHT-IN-SOFTWARE")</f>
        <v xml:space="preserve">          5585 - FREIGHT-IN-SOFTWARE</v>
      </c>
      <c r="C151" s="11"/>
      <c r="D151" s="2"/>
      <c r="E151" s="2"/>
      <c r="F151" s="19">
        <f t="shared" si="9"/>
        <v>0</v>
      </c>
      <c r="G151" s="2"/>
      <c r="H151" s="2"/>
      <c r="I151" s="2"/>
      <c r="J151" s="19">
        <f t="shared" si="10"/>
        <v>0</v>
      </c>
      <c r="K151" s="2"/>
      <c r="L151" s="2">
        <f t="shared" si="11"/>
        <v>0</v>
      </c>
      <c r="M151" s="2"/>
      <c r="N151" s="19">
        <f t="shared" si="12"/>
        <v>0</v>
      </c>
      <c r="O151" s="11"/>
      <c r="P151" s="2">
        <v>9.41</v>
      </c>
      <c r="Q151" s="2"/>
      <c r="R151" s="19">
        <f t="shared" si="13"/>
        <v>9.5900152894398464E-7</v>
      </c>
      <c r="S151" s="2"/>
      <c r="T151" s="2"/>
      <c r="U151" s="2"/>
      <c r="V151" s="19">
        <f t="shared" si="14"/>
        <v>0</v>
      </c>
      <c r="W151" s="2"/>
      <c r="X151" s="2">
        <f t="shared" si="15"/>
        <v>9.41</v>
      </c>
      <c r="Y151" s="2"/>
      <c r="Z151" s="19">
        <f t="shared" si="16"/>
        <v>0</v>
      </c>
    </row>
    <row r="152" spans="1:26" s="24" customFormat="1" hidden="1" outlineLevel="1" x14ac:dyDescent="0.25">
      <c r="A152" s="44"/>
      <c r="B152" s="11" t="str">
        <f>CONCATENATE("          ", "5586", " - ", "FREIGHT-IN-COMPUTER SUPPLIES")</f>
        <v xml:space="preserve">          5586 - FREIGHT-IN-COMPUTER SUPPLIES</v>
      </c>
      <c r="C152" s="11"/>
      <c r="D152" s="2"/>
      <c r="E152" s="2"/>
      <c r="F152" s="19">
        <f t="shared" si="9"/>
        <v>0</v>
      </c>
      <c r="G152" s="2"/>
      <c r="H152" s="2"/>
      <c r="I152" s="2"/>
      <c r="J152" s="19">
        <f t="shared" si="10"/>
        <v>0</v>
      </c>
      <c r="K152" s="2"/>
      <c r="L152" s="2">
        <f t="shared" si="11"/>
        <v>0</v>
      </c>
      <c r="M152" s="2"/>
      <c r="N152" s="19">
        <f t="shared" si="12"/>
        <v>0</v>
      </c>
      <c r="O152" s="11"/>
      <c r="P152" s="2">
        <v>24.12</v>
      </c>
      <c r="Q152" s="2"/>
      <c r="R152" s="19">
        <f t="shared" si="13"/>
        <v>2.4581420699393103E-6</v>
      </c>
      <c r="S152" s="2"/>
      <c r="T152" s="2"/>
      <c r="U152" s="2"/>
      <c r="V152" s="19">
        <f t="shared" si="14"/>
        <v>0</v>
      </c>
      <c r="W152" s="2"/>
      <c r="X152" s="2">
        <f t="shared" si="15"/>
        <v>24.12</v>
      </c>
      <c r="Y152" s="2"/>
      <c r="Z152" s="19">
        <f t="shared" si="16"/>
        <v>0</v>
      </c>
    </row>
    <row r="153" spans="1:26" s="24" customFormat="1" hidden="1" outlineLevel="1" x14ac:dyDescent="0.25">
      <c r="A153" s="44"/>
      <c r="B153" s="11" t="str">
        <f>CONCATENATE("          ", "5592", " - ", "FREIGHT-IN-GRAD MERCH")</f>
        <v xml:space="preserve">          5592 - FREIGHT-IN-GRAD MERCH</v>
      </c>
      <c r="C153" s="11"/>
      <c r="D153" s="2"/>
      <c r="E153" s="2"/>
      <c r="F153" s="19">
        <f t="shared" si="9"/>
        <v>0</v>
      </c>
      <c r="G153" s="2"/>
      <c r="H153" s="2"/>
      <c r="I153" s="2"/>
      <c r="J153" s="19">
        <f t="shared" si="10"/>
        <v>0</v>
      </c>
      <c r="K153" s="2"/>
      <c r="L153" s="2">
        <f t="shared" si="11"/>
        <v>0</v>
      </c>
      <c r="M153" s="2"/>
      <c r="N153" s="19">
        <f t="shared" si="12"/>
        <v>0</v>
      </c>
      <c r="O153" s="11"/>
      <c r="P153" s="2">
        <v>0</v>
      </c>
      <c r="Q153" s="2"/>
      <c r="R153" s="19">
        <f t="shared" si="13"/>
        <v>0</v>
      </c>
      <c r="S153" s="2"/>
      <c r="T153" s="2"/>
      <c r="U153" s="2"/>
      <c r="V153" s="19">
        <f t="shared" si="14"/>
        <v>0</v>
      </c>
      <c r="W153" s="2"/>
      <c r="X153" s="2">
        <f t="shared" si="15"/>
        <v>0</v>
      </c>
      <c r="Y153" s="2"/>
      <c r="Z153" s="19">
        <f t="shared" si="16"/>
        <v>0</v>
      </c>
    </row>
    <row r="154" spans="1:26" x14ac:dyDescent="0.25">
      <c r="A154" s="9"/>
      <c r="B154" s="10"/>
      <c r="C154" s="10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O154" s="10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x14ac:dyDescent="0.25">
      <c r="A155" s="10"/>
      <c r="B155" s="28" t="s">
        <v>108</v>
      </c>
      <c r="C155" s="28"/>
      <c r="D155" s="20">
        <f>D12-D103</f>
        <v>473889.38999999978</v>
      </c>
      <c r="E155" s="14"/>
      <c r="F155" s="21">
        <f>IF(D$12=0,0,D155/D$12)</f>
        <v>0.58616060524398006</v>
      </c>
      <c r="G155" s="14"/>
      <c r="H155" s="20">
        <f>H12-H103</f>
        <v>576793</v>
      </c>
      <c r="I155" s="14"/>
      <c r="J155" s="21">
        <f>IF(H$12=0,0,H155/H$12)</f>
        <v>0.53887556008983861</v>
      </c>
      <c r="K155" s="15"/>
      <c r="L155" s="20">
        <f>+D155-H155</f>
        <v>-102903.61000000022</v>
      </c>
      <c r="M155" s="15"/>
      <c r="N155" s="21">
        <f>IF(H155=0,0,L155/H155)</f>
        <v>-0.17840648204815285</v>
      </c>
      <c r="O155" s="29"/>
      <c r="P155" s="20">
        <f>P12-P103</f>
        <v>3841791.9300000025</v>
      </c>
      <c r="Q155" s="14"/>
      <c r="R155" s="21">
        <f>IF(P$12=0,0,P155/P$12)</f>
        <v>0.39152862218434259</v>
      </c>
      <c r="S155" s="14"/>
      <c r="T155" s="20">
        <f>T12-T103</f>
        <v>8003165</v>
      </c>
      <c r="U155" s="14"/>
      <c r="V155" s="21">
        <f>IF(T$12=0,0,T155/T$12)</f>
        <v>0.49094488225203053</v>
      </c>
      <c r="W155" s="15"/>
      <c r="X155" s="20">
        <f>+P155-T155</f>
        <v>-4161373.0699999975</v>
      </c>
      <c r="Y155" s="15"/>
      <c r="Z155" s="21">
        <f>IF(T155=0,0,X155/T155)</f>
        <v>-0.51996592223201665</v>
      </c>
    </row>
    <row r="156" spans="1:26" x14ac:dyDescent="0.25">
      <c r="A156" s="9"/>
      <c r="B156" s="10"/>
      <c r="C156" s="9"/>
      <c r="D156" s="1"/>
      <c r="E156" s="1"/>
      <c r="F156" s="5"/>
      <c r="G156" s="1"/>
      <c r="H156" s="1"/>
      <c r="I156" s="1"/>
      <c r="J156" s="5"/>
      <c r="K156" s="1"/>
      <c r="L156" s="1"/>
      <c r="M156" s="1"/>
      <c r="N156" s="5"/>
      <c r="O156" s="36"/>
      <c r="P156" s="1"/>
      <c r="Q156" s="1"/>
      <c r="R156" s="5"/>
      <c r="S156" s="1"/>
      <c r="T156" s="1"/>
      <c r="U156" s="1"/>
      <c r="V156" s="5"/>
      <c r="W156" s="1"/>
      <c r="X156" s="1"/>
      <c r="Y156" s="1"/>
      <c r="Z156" s="5"/>
    </row>
    <row r="157" spans="1:26" s="23" customFormat="1" x14ac:dyDescent="0.25">
      <c r="A157" s="10"/>
      <c r="B157" s="29" t="s">
        <v>295</v>
      </c>
      <c r="C157" s="10"/>
      <c r="D157" s="22">
        <f>SUM(OSRRefD22x_0)</f>
        <v>611093.25999999989</v>
      </c>
      <c r="E157" s="22"/>
      <c r="F157" s="31">
        <f t="shared" ref="F157:F168" si="17">IF(D$12=0,0,D157/D$12)</f>
        <v>0.75587004626146403</v>
      </c>
      <c r="G157" s="22"/>
      <c r="H157" s="22">
        <f>SUM(OSRRefH22x_0)</f>
        <v>879113.46593584621</v>
      </c>
      <c r="I157" s="22"/>
      <c r="J157" s="31">
        <f t="shared" ref="J157:J168" si="18">IF(H$12=0,0,H157/H$12)</f>
        <v>0.82132196704658056</v>
      </c>
      <c r="K157" s="4"/>
      <c r="L157" s="22">
        <f t="shared" ref="L157:L168" si="19">+D157-H157</f>
        <v>-268020.20593584632</v>
      </c>
      <c r="M157" s="4"/>
      <c r="N157" s="31">
        <f t="shared" ref="N157:N168" si="20">IF(H157=0,0,L157/H157)</f>
        <v>-0.3048755551145263</v>
      </c>
      <c r="O157" s="10"/>
      <c r="P157" s="22">
        <f>SUM(OSRRefP22x_0)</f>
        <v>7389847.6900000023</v>
      </c>
      <c r="Q157" s="22"/>
      <c r="R157" s="31">
        <f t="shared" ref="R157:R168" si="21">IF(P$12=0,0,P157/P$12)</f>
        <v>0.75312170386537458</v>
      </c>
      <c r="S157" s="22"/>
      <c r="T157" s="22">
        <f>SUM(OSRRefT22x_0)</f>
        <v>10663092.040658886</v>
      </c>
      <c r="U157" s="22"/>
      <c r="V157" s="31">
        <f t="shared" ref="V157:V168" si="22">IF(T$12=0,0,T157/T$12)</f>
        <v>0.6541150240365956</v>
      </c>
      <c r="W157" s="4"/>
      <c r="X157" s="22">
        <f t="shared" ref="X157:X168" si="23">+P157-T157</f>
        <v>-3273244.3506588833</v>
      </c>
      <c r="Y157" s="4"/>
      <c r="Z157" s="31">
        <f t="shared" ref="Z157:Z168" si="24">IF(T157=0,0,X157/T157)</f>
        <v>-0.30696952986786985</v>
      </c>
    </row>
    <row r="158" spans="1:26" s="27" customFormat="1" outlineLevel="1" collapsed="1" x14ac:dyDescent="0.25">
      <c r="A158" s="26"/>
      <c r="B158" s="13" t="str">
        <f>CONCATENATE("     ","*Benefits                                         ")</f>
        <v xml:space="preserve">     *Benefits                                         </v>
      </c>
      <c r="C158" s="13"/>
      <c r="D158" s="1">
        <f>SUM(OSRRefD22_0x_0)</f>
        <v>149333.91</v>
      </c>
      <c r="E158" s="1"/>
      <c r="F158" s="5">
        <f t="shared" si="17"/>
        <v>0.18471326203156835</v>
      </c>
      <c r="G158" s="1"/>
      <c r="H158" s="1">
        <f>SUM(OSRRefH22_0x_0)</f>
        <v>165873.9426438201</v>
      </c>
      <c r="I158" s="1"/>
      <c r="J158" s="5">
        <f t="shared" si="18"/>
        <v>0.15496965765274254</v>
      </c>
      <c r="K158" s="1"/>
      <c r="L158" s="1">
        <f t="shared" si="19"/>
        <v>-16540.032643820101</v>
      </c>
      <c r="M158" s="1"/>
      <c r="N158" s="5">
        <f t="shared" si="20"/>
        <v>-9.9714472208189991E-2</v>
      </c>
      <c r="O158" s="13"/>
      <c r="P158" s="1">
        <f>SUM(OSRRefP22_0x_0)</f>
        <v>1702790.9699999997</v>
      </c>
      <c r="Q158" s="1"/>
      <c r="R158" s="5">
        <f t="shared" si="21"/>
        <v>0.17353657212561213</v>
      </c>
      <c r="S158" s="1"/>
      <c r="T158" s="1">
        <f>SUM(OSRRefT22_0x_0)</f>
        <v>1955644.275957911</v>
      </c>
      <c r="U158" s="1"/>
      <c r="V158" s="5">
        <f t="shared" si="22"/>
        <v>0.11996673176012418</v>
      </c>
      <c r="W158" s="1"/>
      <c r="X158" s="1">
        <f t="shared" si="23"/>
        <v>-252853.3059579113</v>
      </c>
      <c r="Y158" s="1"/>
      <c r="Z158" s="5">
        <f t="shared" si="24"/>
        <v>-0.12929412013545205</v>
      </c>
    </row>
    <row r="159" spans="1:26" s="24" customFormat="1" hidden="1" outlineLevel="2" x14ac:dyDescent="0.25">
      <c r="A159" s="25"/>
      <c r="B159" s="11" t="str">
        <f>CONCATENATE("          ", "6111", " - ", "F.I.C.A.")</f>
        <v xml:space="preserve">          6111 - F.I.C.A.</v>
      </c>
      <c r="C159" s="11"/>
      <c r="D159" s="7">
        <v>19179.330000000002</v>
      </c>
      <c r="E159" s="2"/>
      <c r="F159" s="6">
        <f t="shared" si="17"/>
        <v>2.3723189246701706E-2</v>
      </c>
      <c r="G159" s="2"/>
      <c r="H159" s="7">
        <v>20297.745997816201</v>
      </c>
      <c r="I159" s="2"/>
      <c r="J159" s="6">
        <f t="shared" si="18"/>
        <v>1.8963404970473784E-2</v>
      </c>
      <c r="K159" s="2"/>
      <c r="L159" s="7">
        <f t="shared" si="19"/>
        <v>-1118.4159978161988</v>
      </c>
      <c r="M159" s="2"/>
      <c r="N159" s="6">
        <f t="shared" si="20"/>
        <v>-5.5100502190564768E-2</v>
      </c>
      <c r="O159" s="11"/>
      <c r="P159" s="7">
        <v>235841.61</v>
      </c>
      <c r="Q159" s="2"/>
      <c r="R159" s="6">
        <f t="shared" si="21"/>
        <v>2.4035330986037291E-2</v>
      </c>
      <c r="S159" s="2"/>
      <c r="T159" s="7">
        <v>254236.719890009</v>
      </c>
      <c r="U159" s="2"/>
      <c r="V159" s="6">
        <f t="shared" si="22"/>
        <v>1.5595856952910873E-2</v>
      </c>
      <c r="W159" s="2"/>
      <c r="X159" s="7">
        <f t="shared" si="23"/>
        <v>-18395.109890009015</v>
      </c>
      <c r="Y159" s="2"/>
      <c r="Z159" s="6">
        <f t="shared" si="24"/>
        <v>-7.2354260619659244E-2</v>
      </c>
    </row>
    <row r="160" spans="1:26" s="24" customFormat="1" hidden="1" outlineLevel="2" x14ac:dyDescent="0.25">
      <c r="A160" s="25"/>
      <c r="B160" s="11" t="str">
        <f>CONCATENATE("          ", "6112", " - ", "COMPENSATION INSURANCE")</f>
        <v xml:space="preserve">          6112 - COMPENSATION INSURANCE</v>
      </c>
      <c r="C160" s="11"/>
      <c r="D160" s="7">
        <v>10479</v>
      </c>
      <c r="E160" s="2"/>
      <c r="F160" s="6">
        <f t="shared" si="17"/>
        <v>1.2961625881414375E-2</v>
      </c>
      <c r="G160" s="2"/>
      <c r="H160" s="7">
        <v>11322.0419908885</v>
      </c>
      <c r="I160" s="2"/>
      <c r="J160" s="6">
        <f t="shared" si="18"/>
        <v>1.0577749243143921E-2</v>
      </c>
      <c r="K160" s="2"/>
      <c r="L160" s="7">
        <f t="shared" si="19"/>
        <v>-843.04199088849964</v>
      </c>
      <c r="M160" s="2"/>
      <c r="N160" s="6">
        <f t="shared" si="20"/>
        <v>-7.4460242380918931E-2</v>
      </c>
      <c r="O160" s="11"/>
      <c r="P160" s="7">
        <v>90994.63</v>
      </c>
      <c r="Q160" s="2"/>
      <c r="R160" s="6">
        <f t="shared" si="21"/>
        <v>9.2735376509768506E-3</v>
      </c>
      <c r="S160" s="2"/>
      <c r="T160" s="7">
        <v>138052.37166918701</v>
      </c>
      <c r="U160" s="2"/>
      <c r="V160" s="6">
        <f t="shared" si="22"/>
        <v>8.4686627545155664E-3</v>
      </c>
      <c r="W160" s="2"/>
      <c r="X160" s="7">
        <f t="shared" si="23"/>
        <v>-47057.741669187002</v>
      </c>
      <c r="Y160" s="2"/>
      <c r="Z160" s="6">
        <f t="shared" si="24"/>
        <v>-0.34086876668769456</v>
      </c>
    </row>
    <row r="161" spans="1:26" s="24" customFormat="1" hidden="1" outlineLevel="2" x14ac:dyDescent="0.25">
      <c r="A161" s="25"/>
      <c r="B161" s="11" t="str">
        <f>CONCATENATE("          ", "6113", " - ", "GROUP INSURANCE")</f>
        <v xml:space="preserve">          6113 - GROUP INSURANCE</v>
      </c>
      <c r="C161" s="11"/>
      <c r="D161" s="7">
        <v>73931.67</v>
      </c>
      <c r="E161" s="2"/>
      <c r="F161" s="6">
        <f t="shared" si="17"/>
        <v>9.1447146419332631E-2</v>
      </c>
      <c r="G161" s="2"/>
      <c r="H161" s="7">
        <v>90074.230769230795</v>
      </c>
      <c r="I161" s="2"/>
      <c r="J161" s="6">
        <f t="shared" si="18"/>
        <v>8.4152896369114424E-2</v>
      </c>
      <c r="K161" s="2"/>
      <c r="L161" s="7">
        <f t="shared" si="19"/>
        <v>-16142.560769230797</v>
      </c>
      <c r="M161" s="2"/>
      <c r="N161" s="6">
        <f t="shared" si="20"/>
        <v>-0.17921397309057086</v>
      </c>
      <c r="O161" s="11"/>
      <c r="P161" s="7">
        <v>823372.93</v>
      </c>
      <c r="Q161" s="2"/>
      <c r="R161" s="6">
        <f t="shared" si="21"/>
        <v>8.3912422822644883E-2</v>
      </c>
      <c r="S161" s="2"/>
      <c r="T161" s="7">
        <v>1037133.15384615</v>
      </c>
      <c r="U161" s="2"/>
      <c r="V161" s="6">
        <f t="shared" si="22"/>
        <v>6.3621731414343602E-2</v>
      </c>
      <c r="W161" s="2"/>
      <c r="X161" s="7">
        <f t="shared" si="23"/>
        <v>-213760.22384614998</v>
      </c>
      <c r="Y161" s="2"/>
      <c r="Z161" s="6">
        <f t="shared" si="24"/>
        <v>-0.20610682731858701</v>
      </c>
    </row>
    <row r="162" spans="1:26" s="24" customFormat="1" hidden="1" outlineLevel="2" x14ac:dyDescent="0.25">
      <c r="A162" s="25"/>
      <c r="B162" s="11" t="str">
        <f>CONCATENATE("          ", "6114", " - ", "STATE UNEMPLOYMENT INSURANCE")</f>
        <v xml:space="preserve">          6114 - STATE UNEMPLOYMENT INSURANCE</v>
      </c>
      <c r="C162" s="11"/>
      <c r="D162" s="7">
        <v>1070.3599999999999</v>
      </c>
      <c r="E162" s="2"/>
      <c r="F162" s="6">
        <f t="shared" si="17"/>
        <v>1.3239436853164127E-3</v>
      </c>
      <c r="G162" s="2"/>
      <c r="H162" s="7">
        <v>1012.2900875</v>
      </c>
      <c r="I162" s="2"/>
      <c r="J162" s="6">
        <f t="shared" si="18"/>
        <v>9.4574377267920076E-4</v>
      </c>
      <c r="K162" s="2"/>
      <c r="L162" s="7">
        <f t="shared" si="19"/>
        <v>58.069912499999873</v>
      </c>
      <c r="M162" s="2"/>
      <c r="N162" s="6">
        <f t="shared" si="20"/>
        <v>5.7364892946262173E-2</v>
      </c>
      <c r="O162" s="11"/>
      <c r="P162" s="7">
        <v>9280.8799999999992</v>
      </c>
      <c r="Q162" s="2"/>
      <c r="R162" s="6">
        <f t="shared" si="21"/>
        <v>9.458425196541601E-4</v>
      </c>
      <c r="S162" s="2"/>
      <c r="T162" s="7">
        <v>12480.79970645</v>
      </c>
      <c r="U162" s="2"/>
      <c r="V162" s="6">
        <f t="shared" si="22"/>
        <v>7.6562019429741513E-4</v>
      </c>
      <c r="W162" s="2"/>
      <c r="X162" s="7">
        <f t="shared" si="23"/>
        <v>-3199.9197064500004</v>
      </c>
      <c r="Y162" s="2"/>
      <c r="Z162" s="6">
        <f t="shared" si="24"/>
        <v>-0.25638739357353052</v>
      </c>
    </row>
    <row r="163" spans="1:26" s="24" customFormat="1" hidden="1" outlineLevel="2" x14ac:dyDescent="0.25">
      <c r="A163" s="25"/>
      <c r="B163" s="11" t="str">
        <f>CONCATENATE("          ", "6115", " - ", "P.E.R.S.")</f>
        <v xml:space="preserve">          6115 - P.E.R.S.</v>
      </c>
      <c r="C163" s="11"/>
      <c r="D163" s="7">
        <v>13550.14</v>
      </c>
      <c r="E163" s="2"/>
      <c r="F163" s="6">
        <f t="shared" si="17"/>
        <v>1.6760363137779191E-2</v>
      </c>
      <c r="G163" s="2"/>
      <c r="H163" s="7">
        <v>12350.504878769199</v>
      </c>
      <c r="I163" s="2"/>
      <c r="J163" s="6">
        <f t="shared" si="18"/>
        <v>1.1538602642436778E-2</v>
      </c>
      <c r="K163" s="2"/>
      <c r="L163" s="7">
        <f t="shared" si="19"/>
        <v>1199.6351212308</v>
      </c>
      <c r="M163" s="2"/>
      <c r="N163" s="6">
        <f t="shared" si="20"/>
        <v>9.7132476202895987E-2</v>
      </c>
      <c r="O163" s="11"/>
      <c r="P163" s="7">
        <v>169232.25</v>
      </c>
      <c r="Q163" s="2"/>
      <c r="R163" s="6">
        <f t="shared" si="21"/>
        <v>1.7246969872118028E-2</v>
      </c>
      <c r="S163" s="2"/>
      <c r="T163" s="7">
        <v>147959.769853231</v>
      </c>
      <c r="U163" s="2"/>
      <c r="V163" s="6">
        <f t="shared" si="22"/>
        <v>9.0764206146733244E-3</v>
      </c>
      <c r="W163" s="2"/>
      <c r="X163" s="7">
        <f t="shared" si="23"/>
        <v>21272.480146768998</v>
      </c>
      <c r="Y163" s="2"/>
      <c r="Z163" s="6">
        <f t="shared" si="24"/>
        <v>0.14377205484889763</v>
      </c>
    </row>
    <row r="164" spans="1:26" s="24" customFormat="1" hidden="1" outlineLevel="2" x14ac:dyDescent="0.25">
      <c r="A164" s="25"/>
      <c r="B164" s="11" t="str">
        <f>CONCATENATE("          ", "6116", " - ", "EDUCATIONAL BENEFITS")</f>
        <v xml:space="preserve">          6116 - EDUCATIONAL BENEFITS</v>
      </c>
      <c r="C164" s="11"/>
      <c r="D164" s="7"/>
      <c r="E164" s="2"/>
      <c r="F164" s="6">
        <f t="shared" si="17"/>
        <v>0</v>
      </c>
      <c r="G164" s="2"/>
      <c r="H164" s="7">
        <v>0</v>
      </c>
      <c r="I164" s="2"/>
      <c r="J164" s="6">
        <f t="shared" si="18"/>
        <v>0</v>
      </c>
      <c r="K164" s="2"/>
      <c r="L164" s="7">
        <f t="shared" si="19"/>
        <v>0</v>
      </c>
      <c r="M164" s="2"/>
      <c r="N164" s="6">
        <f t="shared" si="20"/>
        <v>0</v>
      </c>
      <c r="O164" s="11"/>
      <c r="P164" s="7">
        <v>0</v>
      </c>
      <c r="Q164" s="2"/>
      <c r="R164" s="6">
        <f t="shared" si="21"/>
        <v>0</v>
      </c>
      <c r="S164" s="2"/>
      <c r="T164" s="7">
        <v>0</v>
      </c>
      <c r="U164" s="2"/>
      <c r="V164" s="6">
        <f t="shared" si="22"/>
        <v>0</v>
      </c>
      <c r="W164" s="2"/>
      <c r="X164" s="7">
        <f t="shared" si="23"/>
        <v>0</v>
      </c>
      <c r="Y164" s="2"/>
      <c r="Z164" s="6">
        <f t="shared" si="24"/>
        <v>0</v>
      </c>
    </row>
    <row r="165" spans="1:26" s="24" customFormat="1" hidden="1" outlineLevel="2" x14ac:dyDescent="0.25">
      <c r="A165" s="25"/>
      <c r="B165" s="11" t="str">
        <f>CONCATENATE("          ", "6117", " - ", "RETIREMENT STAFF HOURLY")</f>
        <v xml:space="preserve">          6117 - RETIREMENT STAFF HOURLY</v>
      </c>
      <c r="C165" s="11"/>
      <c r="D165" s="7">
        <v>2181.4699999999998</v>
      </c>
      <c r="E165" s="2"/>
      <c r="F165" s="6">
        <f t="shared" si="17"/>
        <v>2.6982916319810107E-3</v>
      </c>
      <c r="G165" s="2"/>
      <c r="H165" s="7"/>
      <c r="I165" s="2"/>
      <c r="J165" s="6">
        <f t="shared" si="18"/>
        <v>0</v>
      </c>
      <c r="K165" s="2"/>
      <c r="L165" s="7">
        <f t="shared" si="19"/>
        <v>2181.4699999999998</v>
      </c>
      <c r="M165" s="2"/>
      <c r="N165" s="6">
        <f t="shared" si="20"/>
        <v>0</v>
      </c>
      <c r="O165" s="11"/>
      <c r="P165" s="7">
        <v>24130.720000000001</v>
      </c>
      <c r="Q165" s="2"/>
      <c r="R165" s="6">
        <f t="shared" si="21"/>
        <v>2.4592345775259496E-3</v>
      </c>
      <c r="S165" s="2"/>
      <c r="T165" s="7"/>
      <c r="U165" s="2"/>
      <c r="V165" s="6">
        <f t="shared" si="22"/>
        <v>0</v>
      </c>
      <c r="W165" s="2"/>
      <c r="X165" s="7">
        <f t="shared" si="23"/>
        <v>24130.720000000001</v>
      </c>
      <c r="Y165" s="2"/>
      <c r="Z165" s="6">
        <f t="shared" si="24"/>
        <v>0</v>
      </c>
    </row>
    <row r="166" spans="1:26" s="24" customFormat="1" hidden="1" outlineLevel="2" x14ac:dyDescent="0.25">
      <c r="A166" s="25"/>
      <c r="B166" s="11" t="str">
        <f>CONCATENATE("          ", "6118", " - ", "VACATION")</f>
        <v xml:space="preserve">          6118 - VACATION</v>
      </c>
      <c r="C166" s="11"/>
      <c r="D166" s="7">
        <v>14864.38</v>
      </c>
      <c r="E166" s="2"/>
      <c r="F166" s="6">
        <f t="shared" si="17"/>
        <v>1.8385965504263593E-2</v>
      </c>
      <c r="G166" s="2"/>
      <c r="H166" s="7">
        <v>13040.8390430769</v>
      </c>
      <c r="I166" s="2"/>
      <c r="J166" s="6">
        <f t="shared" si="18"/>
        <v>1.2183555354138311E-2</v>
      </c>
      <c r="K166" s="2"/>
      <c r="L166" s="7">
        <f t="shared" si="19"/>
        <v>1823.5409569230997</v>
      </c>
      <c r="M166" s="2"/>
      <c r="N166" s="6">
        <f t="shared" si="20"/>
        <v>0.13983310053130196</v>
      </c>
      <c r="O166" s="11"/>
      <c r="P166" s="7">
        <v>178536.18</v>
      </c>
      <c r="Q166" s="2"/>
      <c r="R166" s="6">
        <f t="shared" si="21"/>
        <v>1.8195161486909504E-2</v>
      </c>
      <c r="S166" s="2"/>
      <c r="T166" s="7">
        <v>156140.10991692299</v>
      </c>
      <c r="U166" s="2"/>
      <c r="V166" s="6">
        <f t="shared" si="22"/>
        <v>9.578234095883674E-3</v>
      </c>
      <c r="W166" s="2"/>
      <c r="X166" s="7">
        <f t="shared" si="23"/>
        <v>22396.070083077007</v>
      </c>
      <c r="Y166" s="2"/>
      <c r="Z166" s="6">
        <f t="shared" si="24"/>
        <v>0.14343572638057717</v>
      </c>
    </row>
    <row r="167" spans="1:26" s="24" customFormat="1" hidden="1" outlineLevel="2" x14ac:dyDescent="0.25">
      <c r="A167" s="25"/>
      <c r="B167" s="11" t="str">
        <f>CONCATENATE("          ", "6119", " - ", "SICK LEAVE")</f>
        <v xml:space="preserve">          6119 - SICK LEAVE</v>
      </c>
      <c r="C167" s="11"/>
      <c r="D167" s="7">
        <v>9716.08</v>
      </c>
      <c r="E167" s="2"/>
      <c r="F167" s="6">
        <f t="shared" si="17"/>
        <v>1.2017959155825229E-2</v>
      </c>
      <c r="G167" s="2"/>
      <c r="H167" s="7">
        <v>11426.2898765385</v>
      </c>
      <c r="I167" s="2"/>
      <c r="J167" s="6">
        <f t="shared" si="18"/>
        <v>1.0675144041221957E-2</v>
      </c>
      <c r="K167" s="2"/>
      <c r="L167" s="7">
        <f t="shared" si="19"/>
        <v>-1710.2098765384999</v>
      </c>
      <c r="M167" s="2"/>
      <c r="N167" s="6">
        <f t="shared" si="20"/>
        <v>-0.14967324433542148</v>
      </c>
      <c r="O167" s="11"/>
      <c r="P167" s="7">
        <v>119980.2</v>
      </c>
      <c r="Q167" s="2"/>
      <c r="R167" s="6">
        <f t="shared" si="21"/>
        <v>1.2227544659192886E-2</v>
      </c>
      <c r="S167" s="2"/>
      <c r="T167" s="7">
        <v>139791.35107596099</v>
      </c>
      <c r="U167" s="2"/>
      <c r="V167" s="6">
        <f t="shared" si="22"/>
        <v>8.5753384309632426E-3</v>
      </c>
      <c r="W167" s="2"/>
      <c r="X167" s="7">
        <f t="shared" si="23"/>
        <v>-19811.151075960996</v>
      </c>
      <c r="Y167" s="2"/>
      <c r="Z167" s="6">
        <f t="shared" si="24"/>
        <v>-0.14171943345190108</v>
      </c>
    </row>
    <row r="168" spans="1:26" s="24" customFormat="1" hidden="1" outlineLevel="2" x14ac:dyDescent="0.25">
      <c r="A168" s="25"/>
      <c r="B168" s="11" t="str">
        <f>CONCATENATE("          ", "6156", " - ", "EMPLOYEE MEALS")</f>
        <v xml:space="preserve">          6156 - EMPLOYEE MEALS</v>
      </c>
      <c r="C168" s="11"/>
      <c r="D168" s="7">
        <v>4361.4799999999996</v>
      </c>
      <c r="E168" s="2"/>
      <c r="F168" s="6">
        <f t="shared" si="17"/>
        <v>5.3947773689542091E-3</v>
      </c>
      <c r="G168" s="2"/>
      <c r="H168" s="7">
        <v>6350</v>
      </c>
      <c r="I168" s="2"/>
      <c r="J168" s="6">
        <f t="shared" si="18"/>
        <v>5.9325612595341401E-3</v>
      </c>
      <c r="K168" s="2"/>
      <c r="L168" s="7">
        <f t="shared" si="19"/>
        <v>-1988.5200000000004</v>
      </c>
      <c r="M168" s="2"/>
      <c r="N168" s="6">
        <f t="shared" si="20"/>
        <v>-0.31315275590551189</v>
      </c>
      <c r="O168" s="11"/>
      <c r="P168" s="7">
        <v>51421.57</v>
      </c>
      <c r="Q168" s="2"/>
      <c r="R168" s="6">
        <f t="shared" si="21"/>
        <v>5.2405275505526174E-3</v>
      </c>
      <c r="S168" s="2"/>
      <c r="T168" s="7">
        <v>69850</v>
      </c>
      <c r="U168" s="2"/>
      <c r="V168" s="6">
        <f t="shared" si="22"/>
        <v>4.2848673025364754E-3</v>
      </c>
      <c r="W168" s="2"/>
      <c r="X168" s="7">
        <f t="shared" si="23"/>
        <v>-18428.43</v>
      </c>
      <c r="Y168" s="2"/>
      <c r="Z168" s="6">
        <f t="shared" si="24"/>
        <v>-0.26382863278453828</v>
      </c>
    </row>
    <row r="169" spans="1:26" s="27" customFormat="1" outlineLevel="1" collapsed="1" x14ac:dyDescent="0.25">
      <c r="A169" s="26"/>
      <c r="B169" s="13" t="str">
        <f>CONCATENATE("     ","*Payroll                                          ")</f>
        <v xml:space="preserve">     *Payroll                                          </v>
      </c>
      <c r="C169" s="13"/>
      <c r="D169" s="1">
        <f>SUM(OSRRefD22_1x_0)</f>
        <v>258131.67</v>
      </c>
      <c r="E169" s="1"/>
      <c r="F169" s="5">
        <f t="shared" ref="F169:F179" si="25">IF(D$12=0,0,D169/D$12)</f>
        <v>0.31928677685702017</v>
      </c>
      <c r="G169" s="1"/>
      <c r="H169" s="1">
        <f>SUM(OSRRefH22_1x_0)</f>
        <v>361457.18995869276</v>
      </c>
      <c r="I169" s="1"/>
      <c r="J169" s="5">
        <f t="shared" ref="J169:J179" si="26">IF(H$12=0,0,H169/H$12)</f>
        <v>0.33769557828803359</v>
      </c>
      <c r="K169" s="1"/>
      <c r="L169" s="1">
        <f t="shared" ref="L169:L179" si="27">+D169-H169</f>
        <v>-103325.51995869275</v>
      </c>
      <c r="M169" s="1"/>
      <c r="N169" s="5">
        <f t="shared" ref="N169:N179" si="28">IF(H169=0,0,L169/H169)</f>
        <v>-0.28585825051785735</v>
      </c>
      <c r="O169" s="13"/>
      <c r="P169" s="1">
        <f>SUM(OSRRefP22_1x_0)</f>
        <v>3132509.9200000004</v>
      </c>
      <c r="Q169" s="1"/>
      <c r="R169" s="5">
        <f t="shared" ref="R169:R179" si="29">IF(P$12=0,0,P169/P$12)</f>
        <v>0.31924354970374058</v>
      </c>
      <c r="S169" s="1"/>
      <c r="T169" s="1">
        <f>SUM(OSRRefT22_1x_0)</f>
        <v>4472880.0980343092</v>
      </c>
      <c r="U169" s="1"/>
      <c r="V169" s="5">
        <f t="shared" ref="V169:V179" si="30">IF(T$12=0,0,T169/T$12)</f>
        <v>0.27438364610212396</v>
      </c>
      <c r="W169" s="1"/>
      <c r="X169" s="1">
        <f t="shared" ref="X169:X179" si="31">+P169-T169</f>
        <v>-1340370.1780343088</v>
      </c>
      <c r="Y169" s="1"/>
      <c r="Z169" s="5">
        <f t="shared" ref="Z169:Z179" si="32">IF(T169=0,0,X169/T169)</f>
        <v>-0.29966602025020961</v>
      </c>
    </row>
    <row r="170" spans="1:26" s="24" customFormat="1" hidden="1" outlineLevel="2" x14ac:dyDescent="0.25">
      <c r="A170" s="25"/>
      <c r="B170" s="11" t="str">
        <f>CONCATENATE("          ", "6001", " - ", "ADMINISTRATIVE SALARIES")</f>
        <v xml:space="preserve">          6001 - ADMINISTRATIVE SALARIES</v>
      </c>
      <c r="C170" s="11"/>
      <c r="D170" s="7">
        <v>25672.959999999999</v>
      </c>
      <c r="E170" s="2"/>
      <c r="F170" s="6">
        <f t="shared" si="25"/>
        <v>3.1755253629975756E-2</v>
      </c>
      <c r="G170" s="2"/>
      <c r="H170" s="7">
        <v>27028.930769230799</v>
      </c>
      <c r="I170" s="2"/>
      <c r="J170" s="6">
        <f t="shared" si="26"/>
        <v>2.5252092530420305E-2</v>
      </c>
      <c r="K170" s="2"/>
      <c r="L170" s="7">
        <f t="shared" si="27"/>
        <v>-1355.9707692308002</v>
      </c>
      <c r="M170" s="2"/>
      <c r="N170" s="6">
        <f t="shared" si="28"/>
        <v>-5.0167384748138484E-2</v>
      </c>
      <c r="O170" s="11"/>
      <c r="P170" s="7">
        <v>314825.68</v>
      </c>
      <c r="Q170" s="2"/>
      <c r="R170" s="6">
        <f t="shared" si="29"/>
        <v>3.2084836181809732E-2</v>
      </c>
      <c r="S170" s="2"/>
      <c r="T170" s="7">
        <v>324347.16923076898</v>
      </c>
      <c r="U170" s="2"/>
      <c r="V170" s="6">
        <f t="shared" si="30"/>
        <v>1.9896701218427872E-2</v>
      </c>
      <c r="W170" s="2"/>
      <c r="X170" s="7">
        <f t="shared" si="31"/>
        <v>-9521.4892307689879</v>
      </c>
      <c r="Y170" s="2"/>
      <c r="Z170" s="6">
        <f t="shared" si="32"/>
        <v>-2.9355857346775753E-2</v>
      </c>
    </row>
    <row r="171" spans="1:26" s="24" customFormat="1" hidden="1" outlineLevel="2" x14ac:dyDescent="0.25">
      <c r="A171" s="25"/>
      <c r="B171" s="11" t="str">
        <f>CONCATENATE("          ", "6002", " - ", "STAFF SALARIES")</f>
        <v xml:space="preserve">          6002 - STAFF SALARIES</v>
      </c>
      <c r="C171" s="11"/>
      <c r="D171" s="7">
        <v>109247.95</v>
      </c>
      <c r="E171" s="2"/>
      <c r="F171" s="6">
        <f t="shared" si="25"/>
        <v>0.13513036131419634</v>
      </c>
      <c r="G171" s="2"/>
      <c r="H171" s="7">
        <v>102906.631594462</v>
      </c>
      <c r="I171" s="2"/>
      <c r="J171" s="6">
        <f t="shared" si="26"/>
        <v>9.6141715897079871E-2</v>
      </c>
      <c r="K171" s="2"/>
      <c r="L171" s="7">
        <f t="shared" si="27"/>
        <v>6341.318405537997</v>
      </c>
      <c r="M171" s="2"/>
      <c r="N171" s="6">
        <f t="shared" si="28"/>
        <v>6.1622057852676423E-2</v>
      </c>
      <c r="O171" s="11"/>
      <c r="P171" s="7">
        <v>1239251.1000000001</v>
      </c>
      <c r="Q171" s="2"/>
      <c r="R171" s="6">
        <f t="shared" si="29"/>
        <v>0.12629582355425237</v>
      </c>
      <c r="S171" s="2"/>
      <c r="T171" s="7">
        <v>1232444.7830835399</v>
      </c>
      <c r="U171" s="2"/>
      <c r="V171" s="6">
        <f t="shared" si="30"/>
        <v>7.5602896968021763E-2</v>
      </c>
      <c r="W171" s="2"/>
      <c r="X171" s="7">
        <f t="shared" si="31"/>
        <v>6806.3169164601713</v>
      </c>
      <c r="Y171" s="2"/>
      <c r="Z171" s="6">
        <f t="shared" si="32"/>
        <v>5.5226140837165705E-3</v>
      </c>
    </row>
    <row r="172" spans="1:26" s="24" customFormat="1" hidden="1" outlineLevel="2" x14ac:dyDescent="0.25">
      <c r="A172" s="25"/>
      <c r="B172" s="11" t="str">
        <f>CONCATENATE("          ", "6003", " - ", "STAFF HOURLY-9 MONTH")</f>
        <v xml:space="preserve">          6003 - STAFF HOURLY-9 MONTH</v>
      </c>
      <c r="C172" s="11"/>
      <c r="D172" s="7"/>
      <c r="E172" s="2"/>
      <c r="F172" s="6">
        <f t="shared" si="25"/>
        <v>0</v>
      </c>
      <c r="G172" s="2"/>
      <c r="H172" s="7">
        <v>0</v>
      </c>
      <c r="I172" s="2"/>
      <c r="J172" s="6">
        <f t="shared" si="26"/>
        <v>0</v>
      </c>
      <c r="K172" s="2"/>
      <c r="L172" s="7">
        <f t="shared" si="27"/>
        <v>0</v>
      </c>
      <c r="M172" s="2"/>
      <c r="N172" s="6">
        <f t="shared" si="28"/>
        <v>0</v>
      </c>
      <c r="O172" s="11"/>
      <c r="P172" s="7"/>
      <c r="Q172" s="2"/>
      <c r="R172" s="6">
        <f t="shared" si="29"/>
        <v>0</v>
      </c>
      <c r="S172" s="2"/>
      <c r="T172" s="7">
        <v>0</v>
      </c>
      <c r="U172" s="2"/>
      <c r="V172" s="6">
        <f t="shared" si="30"/>
        <v>0</v>
      </c>
      <c r="W172" s="2"/>
      <c r="X172" s="7">
        <f t="shared" si="31"/>
        <v>0</v>
      </c>
      <c r="Y172" s="2"/>
      <c r="Z172" s="6">
        <f t="shared" si="32"/>
        <v>0</v>
      </c>
    </row>
    <row r="173" spans="1:26" s="24" customFormat="1" hidden="1" outlineLevel="2" x14ac:dyDescent="0.25">
      <c r="A173" s="25"/>
      <c r="B173" s="11" t="str">
        <f>CONCATENATE("          ", "6004", " - ", "STAFF HOURLY")</f>
        <v xml:space="preserve">          6004 - STAFF HOURLY</v>
      </c>
      <c r="C173" s="11"/>
      <c r="D173" s="7">
        <v>61405.25</v>
      </c>
      <c r="E173" s="2"/>
      <c r="F173" s="6">
        <f t="shared" si="25"/>
        <v>7.5953037279770971E-2</v>
      </c>
      <c r="G173" s="2"/>
      <c r="H173" s="7">
        <v>109792.0488</v>
      </c>
      <c r="I173" s="2"/>
      <c r="J173" s="6">
        <f t="shared" si="26"/>
        <v>0.10257449690011997</v>
      </c>
      <c r="K173" s="2"/>
      <c r="L173" s="7">
        <f t="shared" si="27"/>
        <v>-48386.798800000004</v>
      </c>
      <c r="M173" s="2"/>
      <c r="N173" s="6">
        <f t="shared" si="28"/>
        <v>-0.44071314206134027</v>
      </c>
      <c r="O173" s="11"/>
      <c r="P173" s="7">
        <v>744235.4</v>
      </c>
      <c r="Q173" s="2"/>
      <c r="R173" s="6">
        <f t="shared" si="29"/>
        <v>7.5847278054648026E-2</v>
      </c>
      <c r="S173" s="2"/>
      <c r="T173" s="7">
        <v>1287715.1033999999</v>
      </c>
      <c r="U173" s="2"/>
      <c r="V173" s="6">
        <f t="shared" si="30"/>
        <v>7.8993390716407111E-2</v>
      </c>
      <c r="W173" s="2"/>
      <c r="X173" s="7">
        <f t="shared" si="31"/>
        <v>-543479.70339999988</v>
      </c>
      <c r="Y173" s="2"/>
      <c r="Z173" s="6">
        <f t="shared" si="32"/>
        <v>-0.42204964589219396</v>
      </c>
    </row>
    <row r="174" spans="1:26" s="24" customFormat="1" hidden="1" outlineLevel="2" x14ac:dyDescent="0.25">
      <c r="A174" s="25"/>
      <c r="B174" s="11" t="str">
        <f>CONCATENATE("          ", "6005", " - ", "TEMPORARY WAGES-HOURLY")</f>
        <v xml:space="preserve">          6005 - TEMPORARY WAGES-HOURLY</v>
      </c>
      <c r="C174" s="11"/>
      <c r="D174" s="7">
        <v>20087.03</v>
      </c>
      <c r="E174" s="2"/>
      <c r="F174" s="6">
        <f t="shared" si="25"/>
        <v>2.4845936437517601E-2</v>
      </c>
      <c r="G174" s="2"/>
      <c r="H174" s="7">
        <v>17925.394035000001</v>
      </c>
      <c r="I174" s="2"/>
      <c r="J174" s="6">
        <f t="shared" si="26"/>
        <v>1.674700759274415E-2</v>
      </c>
      <c r="K174" s="2"/>
      <c r="L174" s="7">
        <f t="shared" si="27"/>
        <v>2161.6359649999977</v>
      </c>
      <c r="M174" s="2"/>
      <c r="N174" s="6">
        <f t="shared" si="28"/>
        <v>0.12059070839833828</v>
      </c>
      <c r="O174" s="11"/>
      <c r="P174" s="7">
        <v>342613.79</v>
      </c>
      <c r="Q174" s="2"/>
      <c r="R174" s="6">
        <f t="shared" si="29"/>
        <v>3.4916806423729352E-2</v>
      </c>
      <c r="S174" s="2"/>
      <c r="T174" s="7">
        <v>222716.48344000001</v>
      </c>
      <c r="U174" s="2"/>
      <c r="V174" s="6">
        <f t="shared" si="30"/>
        <v>1.3662284575919292E-2</v>
      </c>
      <c r="W174" s="2"/>
      <c r="X174" s="7">
        <f t="shared" si="31"/>
        <v>119897.30655999997</v>
      </c>
      <c r="Y174" s="2"/>
      <c r="Z174" s="6">
        <f t="shared" si="32"/>
        <v>0.53834051574498931</v>
      </c>
    </row>
    <row r="175" spans="1:26" s="24" customFormat="1" hidden="1" outlineLevel="2" x14ac:dyDescent="0.25">
      <c r="A175" s="25"/>
      <c r="B175" s="11" t="str">
        <f>CONCATENATE("          ", "6006", " - ", "TEMPORARY PART TIME")</f>
        <v xml:space="preserve">          6006 - TEMPORARY PART TIME</v>
      </c>
      <c r="C175" s="11"/>
      <c r="D175" s="7">
        <v>3022.67</v>
      </c>
      <c r="E175" s="2"/>
      <c r="F175" s="6">
        <f t="shared" si="25"/>
        <v>3.738784015934229E-3</v>
      </c>
      <c r="G175" s="2"/>
      <c r="H175" s="7">
        <v>0</v>
      </c>
      <c r="I175" s="2"/>
      <c r="J175" s="6">
        <f t="shared" si="26"/>
        <v>0</v>
      </c>
      <c r="K175" s="2"/>
      <c r="L175" s="7">
        <f t="shared" si="27"/>
        <v>3022.67</v>
      </c>
      <c r="M175" s="2"/>
      <c r="N175" s="6">
        <f t="shared" si="28"/>
        <v>0</v>
      </c>
      <c r="O175" s="11"/>
      <c r="P175" s="7">
        <v>22143.95</v>
      </c>
      <c r="Q175" s="2"/>
      <c r="R175" s="6">
        <f t="shared" si="29"/>
        <v>2.2567568445121303E-3</v>
      </c>
      <c r="S175" s="2"/>
      <c r="T175" s="7">
        <v>0</v>
      </c>
      <c r="U175" s="2"/>
      <c r="V175" s="6">
        <f t="shared" si="30"/>
        <v>0</v>
      </c>
      <c r="W175" s="2"/>
      <c r="X175" s="7">
        <f t="shared" si="31"/>
        <v>22143.95</v>
      </c>
      <c r="Y175" s="2"/>
      <c r="Z175" s="6">
        <f t="shared" si="32"/>
        <v>0</v>
      </c>
    </row>
    <row r="176" spans="1:26" s="24" customFormat="1" hidden="1" outlineLevel="2" x14ac:dyDescent="0.25">
      <c r="A176" s="25"/>
      <c r="B176" s="11" t="str">
        <f>CONCATENATE("          ", "6007", " - ", "STUDENT HOURLY")</f>
        <v xml:space="preserve">          6007 - STUDENT HOURLY</v>
      </c>
      <c r="C176" s="11"/>
      <c r="D176" s="7">
        <v>36156.35</v>
      </c>
      <c r="E176" s="2"/>
      <c r="F176" s="6">
        <f t="shared" si="25"/>
        <v>4.4722309565557457E-2</v>
      </c>
      <c r="G176" s="2"/>
      <c r="H176" s="7">
        <v>1861.6661999999999</v>
      </c>
      <c r="I176" s="2"/>
      <c r="J176" s="6">
        <f t="shared" si="26"/>
        <v>1.7392832718589189E-3</v>
      </c>
      <c r="K176" s="2"/>
      <c r="L176" s="7">
        <f t="shared" si="27"/>
        <v>34294.683799999999</v>
      </c>
      <c r="M176" s="2"/>
      <c r="N176" s="6">
        <f t="shared" si="28"/>
        <v>18.421499944512071</v>
      </c>
      <c r="O176" s="11"/>
      <c r="P176" s="7">
        <v>442355.83</v>
      </c>
      <c r="Q176" s="2"/>
      <c r="R176" s="6">
        <f t="shared" si="29"/>
        <v>4.5081819054971869E-2</v>
      </c>
      <c r="S176" s="2"/>
      <c r="T176" s="7">
        <v>197191.7787</v>
      </c>
      <c r="U176" s="2"/>
      <c r="V176" s="6">
        <f t="shared" si="30"/>
        <v>1.2096501143602558E-2</v>
      </c>
      <c r="W176" s="2"/>
      <c r="X176" s="7">
        <f t="shared" si="31"/>
        <v>245164.05130000002</v>
      </c>
      <c r="Y176" s="2"/>
      <c r="Z176" s="6">
        <f t="shared" si="32"/>
        <v>1.2432772447018858</v>
      </c>
    </row>
    <row r="177" spans="1:26" s="24" customFormat="1" hidden="1" outlineLevel="2" x14ac:dyDescent="0.25">
      <c r="A177" s="25"/>
      <c r="B177" s="11" t="str">
        <f>CONCATENATE("          ", "6008", " - ", "STUDENT HOURLY-FICA EXEMPT")</f>
        <v xml:space="preserve">          6008 - STUDENT HOURLY-FICA EXEMPT</v>
      </c>
      <c r="C177" s="11"/>
      <c r="D177" s="7">
        <v>2539.46</v>
      </c>
      <c r="E177" s="2"/>
      <c r="F177" s="6">
        <f t="shared" si="25"/>
        <v>3.1410946140678067E-3</v>
      </c>
      <c r="G177" s="2"/>
      <c r="H177" s="7">
        <v>101942.51856</v>
      </c>
      <c r="I177" s="2"/>
      <c r="J177" s="6">
        <f t="shared" si="26"/>
        <v>9.5240982095810389E-2</v>
      </c>
      <c r="K177" s="2"/>
      <c r="L177" s="7">
        <f t="shared" si="27"/>
        <v>-99403.05855999999</v>
      </c>
      <c r="M177" s="2"/>
      <c r="N177" s="6">
        <f t="shared" si="28"/>
        <v>-0.97508929506675501</v>
      </c>
      <c r="O177" s="11"/>
      <c r="P177" s="7">
        <v>27084.17</v>
      </c>
      <c r="Q177" s="2"/>
      <c r="R177" s="6">
        <f t="shared" si="29"/>
        <v>2.7602295898170879E-3</v>
      </c>
      <c r="S177" s="2"/>
      <c r="T177" s="7">
        <v>1208464.78018</v>
      </c>
      <c r="U177" s="2"/>
      <c r="V177" s="6">
        <f t="shared" si="30"/>
        <v>7.4131871479745343E-2</v>
      </c>
      <c r="W177" s="2"/>
      <c r="X177" s="7">
        <f t="shared" si="31"/>
        <v>-1181380.6101800001</v>
      </c>
      <c r="Y177" s="2"/>
      <c r="Z177" s="6">
        <f t="shared" si="32"/>
        <v>-0.97758795254590225</v>
      </c>
    </row>
    <row r="178" spans="1:26" s="24" customFormat="1" hidden="1" outlineLevel="2" x14ac:dyDescent="0.25">
      <c r="A178" s="25"/>
      <c r="B178" s="11" t="str">
        <f>CONCATENATE("          ", "6009", " - ", "TEMPORARY-SEASONAL")</f>
        <v xml:space="preserve">          6009 - TEMPORARY-SEASONAL</v>
      </c>
      <c r="C178" s="11"/>
      <c r="D178" s="7"/>
      <c r="E178" s="2"/>
      <c r="F178" s="6">
        <f t="shared" si="25"/>
        <v>0</v>
      </c>
      <c r="G178" s="2"/>
      <c r="H178" s="7">
        <v>0</v>
      </c>
      <c r="I178" s="2"/>
      <c r="J178" s="6">
        <f t="shared" si="26"/>
        <v>0</v>
      </c>
      <c r="K178" s="2"/>
      <c r="L178" s="7">
        <f t="shared" si="27"/>
        <v>0</v>
      </c>
      <c r="M178" s="2"/>
      <c r="N178" s="6">
        <f t="shared" si="28"/>
        <v>0</v>
      </c>
      <c r="O178" s="11"/>
      <c r="P178" s="7"/>
      <c r="Q178" s="2"/>
      <c r="R178" s="6">
        <f t="shared" si="29"/>
        <v>0</v>
      </c>
      <c r="S178" s="2"/>
      <c r="T178" s="7">
        <v>0</v>
      </c>
      <c r="U178" s="2"/>
      <c r="V178" s="6">
        <f t="shared" si="30"/>
        <v>0</v>
      </c>
      <c r="W178" s="2"/>
      <c r="X178" s="7">
        <f t="shared" si="31"/>
        <v>0</v>
      </c>
      <c r="Y178" s="2"/>
      <c r="Z178" s="6">
        <f t="shared" si="32"/>
        <v>0</v>
      </c>
    </row>
    <row r="179" spans="1:26" s="24" customFormat="1" hidden="1" outlineLevel="2" x14ac:dyDescent="0.25">
      <c r="A179" s="25"/>
      <c r="B179" s="11" t="str">
        <f>CONCATENATE("          ", "6010", " - ", "GRATUITY")</f>
        <v xml:space="preserve">          6010 - GRATUITY</v>
      </c>
      <c r="C179" s="11"/>
      <c r="D179" s="7"/>
      <c r="E179" s="2"/>
      <c r="F179" s="6">
        <f t="shared" si="25"/>
        <v>0</v>
      </c>
      <c r="G179" s="2"/>
      <c r="H179" s="7">
        <v>0</v>
      </c>
      <c r="I179" s="2"/>
      <c r="J179" s="6">
        <f t="shared" si="26"/>
        <v>0</v>
      </c>
      <c r="K179" s="2"/>
      <c r="L179" s="7">
        <f t="shared" si="27"/>
        <v>0</v>
      </c>
      <c r="M179" s="2"/>
      <c r="N179" s="6">
        <f t="shared" si="28"/>
        <v>0</v>
      </c>
      <c r="O179" s="11"/>
      <c r="P179" s="7"/>
      <c r="Q179" s="2"/>
      <c r="R179" s="6">
        <f t="shared" si="29"/>
        <v>0</v>
      </c>
      <c r="S179" s="2"/>
      <c r="T179" s="7">
        <v>0</v>
      </c>
      <c r="U179" s="2"/>
      <c r="V179" s="6">
        <f t="shared" si="30"/>
        <v>0</v>
      </c>
      <c r="W179" s="2"/>
      <c r="X179" s="7">
        <f t="shared" si="31"/>
        <v>0</v>
      </c>
      <c r="Y179" s="2"/>
      <c r="Z179" s="6">
        <f t="shared" si="32"/>
        <v>0</v>
      </c>
    </row>
    <row r="180" spans="1:26" s="27" customFormat="1" outlineLevel="1" collapsed="1" x14ac:dyDescent="0.25">
      <c r="A180" s="26"/>
      <c r="B180" s="13" t="str">
        <f>CONCATENATE("     ","Advertising/Promo                                 ")</f>
        <v xml:space="preserve">     Advertising/Promo                                 </v>
      </c>
      <c r="C180" s="13"/>
      <c r="D180" s="1">
        <f>SUM(OSRRefD22_2x_0)</f>
        <v>81.010000000000005</v>
      </c>
      <c r="E180" s="1"/>
      <c r="F180" s="5">
        <f t="shared" ref="F180:F184" si="33">IF(D$12=0,0,D180/D$12)</f>
        <v>1.0020243464580385E-4</v>
      </c>
      <c r="G180" s="1"/>
      <c r="H180" s="1">
        <f>SUM(OSRRefH22_2x_0)</f>
        <v>3949</v>
      </c>
      <c r="I180" s="1"/>
      <c r="J180" s="5">
        <f t="shared" ref="J180:J184" si="34">IF(H$12=0,0,H180/H$12)</f>
        <v>3.6893991202992626E-3</v>
      </c>
      <c r="K180" s="1"/>
      <c r="L180" s="1">
        <f t="shared" ref="L180:L184" si="35">+D180-H180</f>
        <v>-3867.99</v>
      </c>
      <c r="M180" s="1"/>
      <c r="N180" s="5">
        <f t="shared" ref="N180:N184" si="36">IF(H180=0,0,L180/H180)</f>
        <v>-0.97948594580906556</v>
      </c>
      <c r="O180" s="13"/>
      <c r="P180" s="1">
        <f>SUM(OSRRefP22_2x_0)</f>
        <v>20251.53</v>
      </c>
      <c r="Q180" s="1"/>
      <c r="R180" s="5">
        <f t="shared" ref="R180:R184" si="37">IF(P$12=0,0,P180/P$12)</f>
        <v>2.0638946050430362E-3</v>
      </c>
      <c r="S180" s="1"/>
      <c r="T180" s="1">
        <f>SUM(OSRRefT22_2x_0)</f>
        <v>40367</v>
      </c>
      <c r="U180" s="1"/>
      <c r="V180" s="5">
        <f t="shared" ref="V180:V184" si="38">IF(T$12=0,0,T180/T$12)</f>
        <v>2.4762668346669995E-3</v>
      </c>
      <c r="W180" s="1"/>
      <c r="X180" s="1">
        <f t="shared" ref="X180:X184" si="39">+P180-T180</f>
        <v>-20115.47</v>
      </c>
      <c r="Y180" s="1"/>
      <c r="Z180" s="5">
        <f t="shared" ref="Z180:Z184" si="40">IF(T180=0,0,X180/T180)</f>
        <v>-0.49831471251269605</v>
      </c>
    </row>
    <row r="181" spans="1:26" s="24" customFormat="1" hidden="1" outlineLevel="2" x14ac:dyDescent="0.25">
      <c r="A181" s="25"/>
      <c r="B181" s="11" t="str">
        <f>CONCATENATE("          ", "6362", " - ", "ADVERTISING EXPENSE")</f>
        <v xml:space="preserve">          6362 - ADVERTISING EXPENSE</v>
      </c>
      <c r="C181" s="11"/>
      <c r="D181" s="7">
        <v>81.010000000000005</v>
      </c>
      <c r="E181" s="2"/>
      <c r="F181" s="6">
        <f t="shared" si="33"/>
        <v>1.0020243464580385E-4</v>
      </c>
      <c r="G181" s="2"/>
      <c r="H181" s="7">
        <v>3949</v>
      </c>
      <c r="I181" s="2"/>
      <c r="J181" s="6">
        <f t="shared" si="34"/>
        <v>3.6893991202992626E-3</v>
      </c>
      <c r="K181" s="2"/>
      <c r="L181" s="7">
        <f t="shared" si="35"/>
        <v>-3867.99</v>
      </c>
      <c r="M181" s="2"/>
      <c r="N181" s="6">
        <f t="shared" si="36"/>
        <v>-0.97948594580906556</v>
      </c>
      <c r="O181" s="11"/>
      <c r="P181" s="7">
        <v>20251.53</v>
      </c>
      <c r="Q181" s="2"/>
      <c r="R181" s="6">
        <f t="shared" si="37"/>
        <v>2.0638946050430362E-3</v>
      </c>
      <c r="S181" s="2"/>
      <c r="T181" s="7">
        <v>40367</v>
      </c>
      <c r="U181" s="2"/>
      <c r="V181" s="6">
        <f t="shared" si="38"/>
        <v>2.4762668346669995E-3</v>
      </c>
      <c r="W181" s="2"/>
      <c r="X181" s="7">
        <f t="shared" si="39"/>
        <v>-20115.47</v>
      </c>
      <c r="Y181" s="2"/>
      <c r="Z181" s="6">
        <f t="shared" si="40"/>
        <v>-0.49831471251269605</v>
      </c>
    </row>
    <row r="182" spans="1:26" s="27" customFormat="1" outlineLevel="1" collapsed="1" x14ac:dyDescent="0.25">
      <c r="A182" s="26"/>
      <c r="B182" s="13" t="str">
        <f>CONCATENATE("     ","Bad Debts/Over/Short                              ")</f>
        <v xml:space="preserve">     Bad Debts/Over/Short                              </v>
      </c>
      <c r="C182" s="13"/>
      <c r="D182" s="1">
        <f>SUM(OSRRefD22_3x_0)</f>
        <v>28.78</v>
      </c>
      <c r="E182" s="1"/>
      <c r="F182" s="5">
        <f t="shared" si="33"/>
        <v>3.5598396112902536E-5</v>
      </c>
      <c r="G182" s="1"/>
      <c r="H182" s="1">
        <f>SUM(OSRRefH22_3x_0)</f>
        <v>151</v>
      </c>
      <c r="I182" s="1"/>
      <c r="J182" s="5">
        <f t="shared" si="34"/>
        <v>1.4107350396687482E-4</v>
      </c>
      <c r="K182" s="1"/>
      <c r="L182" s="1">
        <f t="shared" si="35"/>
        <v>-122.22</v>
      </c>
      <c r="M182" s="1"/>
      <c r="N182" s="5">
        <f t="shared" si="36"/>
        <v>-0.80940397350993376</v>
      </c>
      <c r="O182" s="13"/>
      <c r="P182" s="1">
        <f>SUM(OSRRefP22_3x_0)</f>
        <v>5277.31</v>
      </c>
      <c r="Q182" s="1"/>
      <c r="R182" s="5">
        <f t="shared" si="37"/>
        <v>5.3782660560163442E-4</v>
      </c>
      <c r="S182" s="1"/>
      <c r="T182" s="1">
        <f>SUM(OSRRefT22_3x_0)</f>
        <v>1704</v>
      </c>
      <c r="U182" s="1"/>
      <c r="V182" s="5">
        <f t="shared" si="38"/>
        <v>1.0452990527590773E-4</v>
      </c>
      <c r="W182" s="1"/>
      <c r="X182" s="1">
        <f t="shared" si="39"/>
        <v>3573.3100000000004</v>
      </c>
      <c r="Y182" s="1"/>
      <c r="Z182" s="5">
        <f t="shared" si="40"/>
        <v>2.0970129107981221</v>
      </c>
    </row>
    <row r="183" spans="1:26" s="24" customFormat="1" hidden="1" outlineLevel="2" x14ac:dyDescent="0.25">
      <c r="A183" s="25"/>
      <c r="B183" s="11" t="str">
        <f>CONCATENATE("          ", "6272", " - ", "CASH (OVER/SHORT)")</f>
        <v xml:space="preserve">          6272 - CASH (OVER/SHORT)</v>
      </c>
      <c r="C183" s="11"/>
      <c r="D183" s="7">
        <v>28.78</v>
      </c>
      <c r="E183" s="2"/>
      <c r="F183" s="6">
        <f t="shared" si="33"/>
        <v>3.5598396112902536E-5</v>
      </c>
      <c r="G183" s="2"/>
      <c r="H183" s="7">
        <v>101</v>
      </c>
      <c r="I183" s="2"/>
      <c r="J183" s="6">
        <f t="shared" si="34"/>
        <v>9.436042318314144E-5</v>
      </c>
      <c r="K183" s="2"/>
      <c r="L183" s="7">
        <f t="shared" si="35"/>
        <v>-72.22</v>
      </c>
      <c r="M183" s="2"/>
      <c r="N183" s="6">
        <f t="shared" si="36"/>
        <v>-0.71504950495049502</v>
      </c>
      <c r="O183" s="11"/>
      <c r="P183" s="7">
        <v>-72.11</v>
      </c>
      <c r="Q183" s="2"/>
      <c r="R183" s="6">
        <f t="shared" si="37"/>
        <v>-7.3489479545324891E-6</v>
      </c>
      <c r="S183" s="2"/>
      <c r="T183" s="7">
        <v>1154</v>
      </c>
      <c r="U183" s="2"/>
      <c r="V183" s="6">
        <f t="shared" si="38"/>
        <v>7.0790792657510286E-5</v>
      </c>
      <c r="W183" s="2"/>
      <c r="X183" s="7">
        <f t="shared" si="39"/>
        <v>-1226.1099999999999</v>
      </c>
      <c r="Y183" s="2"/>
      <c r="Z183" s="6">
        <f t="shared" si="40"/>
        <v>-1.0624870017331021</v>
      </c>
    </row>
    <row r="184" spans="1:26" s="24" customFormat="1" hidden="1" outlineLevel="2" x14ac:dyDescent="0.25">
      <c r="A184" s="25"/>
      <c r="B184" s="11" t="str">
        <f>CONCATENATE("          ", "6342", " - ", "BAD DEBT")</f>
        <v xml:space="preserve">          6342 - BAD DEBT</v>
      </c>
      <c r="C184" s="11"/>
      <c r="D184" s="7"/>
      <c r="E184" s="2"/>
      <c r="F184" s="6">
        <f t="shared" si="33"/>
        <v>0</v>
      </c>
      <c r="G184" s="2"/>
      <c r="H184" s="7">
        <v>50</v>
      </c>
      <c r="I184" s="2"/>
      <c r="J184" s="6">
        <f t="shared" si="34"/>
        <v>4.6713080783733386E-5</v>
      </c>
      <c r="K184" s="2"/>
      <c r="L184" s="7">
        <f t="shared" si="35"/>
        <v>-50</v>
      </c>
      <c r="M184" s="2"/>
      <c r="N184" s="6">
        <f t="shared" si="36"/>
        <v>-1</v>
      </c>
      <c r="O184" s="11"/>
      <c r="P184" s="7">
        <v>5349.42</v>
      </c>
      <c r="Q184" s="2"/>
      <c r="R184" s="6">
        <f t="shared" si="37"/>
        <v>5.4517555355616679E-4</v>
      </c>
      <c r="S184" s="2"/>
      <c r="T184" s="7">
        <v>550</v>
      </c>
      <c r="U184" s="2"/>
      <c r="V184" s="6">
        <f t="shared" si="38"/>
        <v>3.3739112618397447E-5</v>
      </c>
      <c r="W184" s="2"/>
      <c r="X184" s="7">
        <f t="shared" si="39"/>
        <v>4799.42</v>
      </c>
      <c r="Y184" s="2"/>
      <c r="Z184" s="6">
        <f t="shared" si="40"/>
        <v>8.7262181818181812</v>
      </c>
    </row>
    <row r="185" spans="1:26" s="27" customFormat="1" outlineLevel="1" collapsed="1" x14ac:dyDescent="0.25">
      <c r="A185" s="26"/>
      <c r="B185" s="13" t="str">
        <f>CONCATENATE("     ","Bank/card Fees                                    ")</f>
        <v xml:space="preserve">     Bank/card Fees                                    </v>
      </c>
      <c r="C185" s="13"/>
      <c r="D185" s="1">
        <f>SUM(OSRRefD22_4x_0)</f>
        <v>10140.25</v>
      </c>
      <c r="E185" s="1"/>
      <c r="F185" s="5">
        <f t="shared" ref="F185:F190" si="41">IF(D$12=0,0,D185/D$12)</f>
        <v>1.2542621132170256E-2</v>
      </c>
      <c r="G185" s="1"/>
      <c r="H185" s="1">
        <f>SUM(OSRRefH22_4x_0)</f>
        <v>15832</v>
      </c>
      <c r="I185" s="1"/>
      <c r="J185" s="5">
        <f t="shared" ref="J185:J190" si="42">IF(H$12=0,0,H185/H$12)</f>
        <v>1.4791229899361338E-2</v>
      </c>
      <c r="K185" s="1"/>
      <c r="L185" s="1">
        <f t="shared" ref="L185:L190" si="43">+D185-H185</f>
        <v>-5691.75</v>
      </c>
      <c r="M185" s="1"/>
      <c r="N185" s="5">
        <f t="shared" ref="N185:N190" si="44">IF(H185=0,0,L185/H185)</f>
        <v>-0.35950922182920669</v>
      </c>
      <c r="O185" s="13"/>
      <c r="P185" s="1">
        <f>SUM(OSRRefP22_4x_0)</f>
        <v>94574.16</v>
      </c>
      <c r="Q185" s="1"/>
      <c r="R185" s="5">
        <f t="shared" ref="R185:R190" si="45">IF(P$12=0,0,P185/P$12)</f>
        <v>9.6383383675444235E-3</v>
      </c>
      <c r="S185" s="1"/>
      <c r="T185" s="1">
        <f>SUM(OSRRefT22_4x_0)</f>
        <v>295641</v>
      </c>
      <c r="U185" s="1"/>
      <c r="V185" s="5">
        <f t="shared" ref="V185:V190" si="46">IF(T$12=0,0,T185/T$12)</f>
        <v>1.8135754533846617E-2</v>
      </c>
      <c r="W185" s="1"/>
      <c r="X185" s="1">
        <f t="shared" ref="X185:X190" si="47">+P185-T185</f>
        <v>-201066.84</v>
      </c>
      <c r="Y185" s="1"/>
      <c r="Z185" s="5">
        <f t="shared" ref="Z185:Z190" si="48">IF(T185=0,0,X185/T185)</f>
        <v>-0.68010472160491942</v>
      </c>
    </row>
    <row r="186" spans="1:26" s="24" customFormat="1" hidden="1" outlineLevel="2" x14ac:dyDescent="0.25">
      <c r="A186" s="25"/>
      <c r="B186" s="11" t="str">
        <f>CONCATENATE("          ", "6381", " - ", "BANK/CREDIT CARD FEES")</f>
        <v xml:space="preserve">          6381 - BANK/CREDIT CARD FEES</v>
      </c>
      <c r="C186" s="11"/>
      <c r="D186" s="7">
        <v>10140.25</v>
      </c>
      <c r="E186" s="2"/>
      <c r="F186" s="6">
        <f t="shared" si="41"/>
        <v>1.2542621132170256E-2</v>
      </c>
      <c r="G186" s="2"/>
      <c r="H186" s="7">
        <v>15832</v>
      </c>
      <c r="I186" s="2"/>
      <c r="J186" s="6">
        <f t="shared" si="42"/>
        <v>1.4791229899361338E-2</v>
      </c>
      <c r="K186" s="2"/>
      <c r="L186" s="7">
        <f t="shared" si="43"/>
        <v>-5691.75</v>
      </c>
      <c r="M186" s="2"/>
      <c r="N186" s="6">
        <f t="shared" si="44"/>
        <v>-0.35950922182920669</v>
      </c>
      <c r="O186" s="11"/>
      <c r="P186" s="7">
        <v>94574.16</v>
      </c>
      <c r="Q186" s="2"/>
      <c r="R186" s="6">
        <f t="shared" si="45"/>
        <v>9.6383383675444235E-3</v>
      </c>
      <c r="S186" s="2"/>
      <c r="T186" s="7">
        <v>295641</v>
      </c>
      <c r="U186" s="2"/>
      <c r="V186" s="6">
        <f t="shared" si="46"/>
        <v>1.8135754533846617E-2</v>
      </c>
      <c r="W186" s="2"/>
      <c r="X186" s="7">
        <f t="shared" si="47"/>
        <v>-201066.84</v>
      </c>
      <c r="Y186" s="2"/>
      <c r="Z186" s="6">
        <f t="shared" si="48"/>
        <v>-0.68010472160491942</v>
      </c>
    </row>
    <row r="187" spans="1:26" s="27" customFormat="1" outlineLevel="1" collapsed="1" x14ac:dyDescent="0.25">
      <c r="A187" s="26"/>
      <c r="B187" s="13" t="str">
        <f>CONCATENATE("     ","Depreciation                                      ")</f>
        <v xml:space="preserve">     Depreciation                                      </v>
      </c>
      <c r="C187" s="13"/>
      <c r="D187" s="1">
        <f>SUM(OSRRefD22_5x_0)</f>
        <v>77647.61</v>
      </c>
      <c r="E187" s="1"/>
      <c r="F187" s="5">
        <f t="shared" si="41"/>
        <v>9.6043446073668243E-2</v>
      </c>
      <c r="G187" s="1"/>
      <c r="H187" s="1">
        <f>SUM(OSRRefH22_5x_0)</f>
        <v>77087</v>
      </c>
      <c r="I187" s="1"/>
      <c r="J187" s="5">
        <f t="shared" si="42"/>
        <v>7.2019425167513113E-2</v>
      </c>
      <c r="K187" s="1"/>
      <c r="L187" s="1">
        <f t="shared" si="43"/>
        <v>560.61000000000058</v>
      </c>
      <c r="M187" s="1"/>
      <c r="N187" s="5">
        <f t="shared" si="44"/>
        <v>7.2724324464566083E-3</v>
      </c>
      <c r="O187" s="13"/>
      <c r="P187" s="1">
        <f>SUM(OSRRefP22_5x_0)</f>
        <v>856895.86</v>
      </c>
      <c r="Q187" s="1"/>
      <c r="R187" s="5">
        <f t="shared" si="45"/>
        <v>8.7328845896468707E-2</v>
      </c>
      <c r="S187" s="1"/>
      <c r="T187" s="1">
        <f>SUM(OSRRefT22_5x_0)</f>
        <v>852017</v>
      </c>
      <c r="U187" s="1"/>
      <c r="V187" s="5">
        <f t="shared" si="46"/>
        <v>5.2265995483252975E-2</v>
      </c>
      <c r="W187" s="1"/>
      <c r="X187" s="1">
        <f t="shared" si="47"/>
        <v>4878.859999999986</v>
      </c>
      <c r="Y187" s="1"/>
      <c r="Z187" s="5">
        <f t="shared" si="48"/>
        <v>5.7262472462403756E-3</v>
      </c>
    </row>
    <row r="188" spans="1:26" s="24" customFormat="1" hidden="1" outlineLevel="2" x14ac:dyDescent="0.25">
      <c r="A188" s="25"/>
      <c r="B188" s="11" t="str">
        <f>CONCATENATE("          ", "6321", " - ", "BUILDING DEPRECIATION")</f>
        <v xml:space="preserve">          6321 - BUILDING DEPRECIATION</v>
      </c>
      <c r="C188" s="11"/>
      <c r="D188" s="7">
        <v>45060.52</v>
      </c>
      <c r="E188" s="2"/>
      <c r="F188" s="6">
        <f t="shared" si="41"/>
        <v>5.5736005559880709E-2</v>
      </c>
      <c r="G188" s="2"/>
      <c r="H188" s="7"/>
      <c r="I188" s="2"/>
      <c r="J188" s="6">
        <f t="shared" si="42"/>
        <v>0</v>
      </c>
      <c r="K188" s="2"/>
      <c r="L188" s="7">
        <f t="shared" si="43"/>
        <v>45060.52</v>
      </c>
      <c r="M188" s="2"/>
      <c r="N188" s="6">
        <f t="shared" si="44"/>
        <v>0</v>
      </c>
      <c r="O188" s="11"/>
      <c r="P188" s="7">
        <v>496449.91</v>
      </c>
      <c r="Q188" s="2"/>
      <c r="R188" s="6">
        <f t="shared" si="45"/>
        <v>5.0594710173656056E-2</v>
      </c>
      <c r="S188" s="2"/>
      <c r="T188" s="7"/>
      <c r="U188" s="2"/>
      <c r="V188" s="6">
        <f t="shared" si="46"/>
        <v>0</v>
      </c>
      <c r="W188" s="2"/>
      <c r="X188" s="7">
        <f t="shared" si="47"/>
        <v>496449.91</v>
      </c>
      <c r="Y188" s="2"/>
      <c r="Z188" s="6">
        <f t="shared" si="48"/>
        <v>0</v>
      </c>
    </row>
    <row r="189" spans="1:26" s="24" customFormat="1" hidden="1" outlineLevel="2" x14ac:dyDescent="0.25">
      <c r="A189" s="25"/>
      <c r="B189" s="11" t="str">
        <f>CONCATENATE("          ", "6322", " - ", "EQUIPMENT DEPRECIATION EXPENSE")</f>
        <v xml:space="preserve">          6322 - EQUIPMENT DEPRECIATION EXPENSE</v>
      </c>
      <c r="C189" s="11"/>
      <c r="D189" s="7">
        <v>32587.09</v>
      </c>
      <c r="E189" s="2"/>
      <c r="F189" s="6">
        <f t="shared" si="41"/>
        <v>4.0307440513787533E-2</v>
      </c>
      <c r="G189" s="2"/>
      <c r="H189" s="7">
        <v>76537</v>
      </c>
      <c r="I189" s="2"/>
      <c r="J189" s="6">
        <f t="shared" si="42"/>
        <v>7.1505581278892047E-2</v>
      </c>
      <c r="K189" s="2"/>
      <c r="L189" s="7">
        <f t="shared" si="43"/>
        <v>-43949.91</v>
      </c>
      <c r="M189" s="2"/>
      <c r="N189" s="6">
        <f t="shared" si="44"/>
        <v>-0.57423089486130896</v>
      </c>
      <c r="O189" s="11"/>
      <c r="P189" s="7">
        <v>360445.95</v>
      </c>
      <c r="Q189" s="2"/>
      <c r="R189" s="6">
        <f t="shared" si="45"/>
        <v>3.6734135722812651E-2</v>
      </c>
      <c r="S189" s="2"/>
      <c r="T189" s="7">
        <v>845967</v>
      </c>
      <c r="U189" s="2"/>
      <c r="V189" s="6">
        <f t="shared" si="46"/>
        <v>5.1894865244450604E-2</v>
      </c>
      <c r="W189" s="2"/>
      <c r="X189" s="7">
        <f t="shared" si="47"/>
        <v>-485521.05</v>
      </c>
      <c r="Y189" s="2"/>
      <c r="Z189" s="6">
        <f t="shared" si="48"/>
        <v>-0.57392433747415683</v>
      </c>
    </row>
    <row r="190" spans="1:26" s="24" customFormat="1" hidden="1" outlineLevel="2" x14ac:dyDescent="0.25">
      <c r="A190" s="25"/>
      <c r="B190" s="11" t="str">
        <f>CONCATENATE("          ", "6326", " - ", "VEHICLES DEPRECIATION EXPENSE")</f>
        <v xml:space="preserve">          6326 - VEHICLES DEPRECIATION EXPENSE</v>
      </c>
      <c r="C190" s="11"/>
      <c r="D190" s="7"/>
      <c r="E190" s="2"/>
      <c r="F190" s="6">
        <f t="shared" si="41"/>
        <v>0</v>
      </c>
      <c r="G190" s="2"/>
      <c r="H190" s="7">
        <v>550</v>
      </c>
      <c r="I190" s="2"/>
      <c r="J190" s="6">
        <f t="shared" si="42"/>
        <v>5.1384388862106719E-4</v>
      </c>
      <c r="K190" s="2"/>
      <c r="L190" s="7">
        <f t="shared" si="43"/>
        <v>-550</v>
      </c>
      <c r="M190" s="2"/>
      <c r="N190" s="6">
        <f t="shared" si="44"/>
        <v>-1</v>
      </c>
      <c r="O190" s="11"/>
      <c r="P190" s="7"/>
      <c r="Q190" s="2"/>
      <c r="R190" s="6">
        <f t="shared" si="45"/>
        <v>0</v>
      </c>
      <c r="S190" s="2"/>
      <c r="T190" s="7">
        <v>6050</v>
      </c>
      <c r="U190" s="2"/>
      <c r="V190" s="6">
        <f t="shared" si="46"/>
        <v>3.7113023880237193E-4</v>
      </c>
      <c r="W190" s="2"/>
      <c r="X190" s="7">
        <f t="shared" si="47"/>
        <v>-6050</v>
      </c>
      <c r="Y190" s="2"/>
      <c r="Z190" s="6">
        <f t="shared" si="48"/>
        <v>-1</v>
      </c>
    </row>
    <row r="191" spans="1:26" s="27" customFormat="1" outlineLevel="1" collapsed="1" x14ac:dyDescent="0.25">
      <c r="A191" s="26"/>
      <c r="B191" s="13" t="str">
        <f>CONCATENATE("     ","Discounts and Markdowns                           ")</f>
        <v xml:space="preserve">     Discounts and Markdowns                           </v>
      </c>
      <c r="C191" s="13"/>
      <c r="D191" s="1">
        <f>SUM(OSRRefD22_6x_0)</f>
        <v>0</v>
      </c>
      <c r="E191" s="1"/>
      <c r="F191" s="5">
        <f t="shared" ref="F191:F193" si="49">IF(D$12=0,0,D191/D$12)</f>
        <v>0</v>
      </c>
      <c r="G191" s="1"/>
      <c r="H191" s="1">
        <f>SUM(OSRRefH22_6x_0)</f>
        <v>39890</v>
      </c>
      <c r="I191" s="1"/>
      <c r="J191" s="5">
        <f t="shared" ref="J191:J193" si="50">IF(H$12=0,0,H191/H$12)</f>
        <v>3.7267695849262497E-2</v>
      </c>
      <c r="K191" s="1"/>
      <c r="L191" s="1">
        <f t="shared" ref="L191:L193" si="51">+D191-H191</f>
        <v>-39890</v>
      </c>
      <c r="M191" s="1"/>
      <c r="N191" s="5">
        <f t="shared" ref="N191:N193" si="52">IF(H191=0,0,L191/H191)</f>
        <v>-1</v>
      </c>
      <c r="O191" s="13"/>
      <c r="P191" s="1">
        <f>SUM(OSRRefP22_6x_0)</f>
        <v>-15.43</v>
      </c>
      <c r="Q191" s="1"/>
      <c r="R191" s="5">
        <f t="shared" ref="R191:R193" si="53">IF(P$12=0,0,P191/P$12)</f>
        <v>-1.5725179162173944E-6</v>
      </c>
      <c r="S191" s="1"/>
      <c r="T191" s="1">
        <f>SUM(OSRRefT22_6x_0)</f>
        <v>354184</v>
      </c>
      <c r="U191" s="1"/>
      <c r="V191" s="5">
        <f t="shared" ref="V191:V193" si="54">IF(T$12=0,0,T191/T$12)</f>
        <v>2.1727007024789965E-2</v>
      </c>
      <c r="W191" s="1"/>
      <c r="X191" s="1">
        <f t="shared" ref="X191:X193" si="55">+P191-T191</f>
        <v>-354199.43</v>
      </c>
      <c r="Y191" s="1"/>
      <c r="Z191" s="5">
        <f t="shared" ref="Z191:Z193" si="56">IF(T191=0,0,X191/T191)</f>
        <v>-1.0000435649267048</v>
      </c>
    </row>
    <row r="192" spans="1:26" s="24" customFormat="1" hidden="1" outlineLevel="2" x14ac:dyDescent="0.25">
      <c r="A192" s="25"/>
      <c r="B192" s="11" t="str">
        <f>CONCATENATE("          ", "6382", " - ", "DISCOUNTS/MARK DOWNS")</f>
        <v xml:space="preserve">          6382 - DISCOUNTS/MARK DOWNS</v>
      </c>
      <c r="C192" s="11"/>
      <c r="D192" s="7">
        <v>0</v>
      </c>
      <c r="E192" s="2"/>
      <c r="F192" s="6">
        <f t="shared" si="49"/>
        <v>0</v>
      </c>
      <c r="G192" s="2"/>
      <c r="H192" s="7">
        <v>39890</v>
      </c>
      <c r="I192" s="2"/>
      <c r="J192" s="6">
        <f t="shared" si="50"/>
        <v>3.7267695849262497E-2</v>
      </c>
      <c r="K192" s="2"/>
      <c r="L192" s="7">
        <f t="shared" si="51"/>
        <v>-39890</v>
      </c>
      <c r="M192" s="2"/>
      <c r="N192" s="6">
        <f t="shared" si="52"/>
        <v>-1</v>
      </c>
      <c r="O192" s="11"/>
      <c r="P192" s="7">
        <v>0</v>
      </c>
      <c r="Q192" s="2"/>
      <c r="R192" s="6">
        <f t="shared" si="53"/>
        <v>0</v>
      </c>
      <c r="S192" s="2"/>
      <c r="T192" s="7">
        <v>354184</v>
      </c>
      <c r="U192" s="2"/>
      <c r="V192" s="6">
        <f t="shared" si="54"/>
        <v>2.1727007024789965E-2</v>
      </c>
      <c r="W192" s="2"/>
      <c r="X192" s="7">
        <f t="shared" si="55"/>
        <v>-354184</v>
      </c>
      <c r="Y192" s="2"/>
      <c r="Z192" s="6">
        <f t="shared" si="56"/>
        <v>-1</v>
      </c>
    </row>
    <row r="193" spans="1:26" s="24" customFormat="1" hidden="1" outlineLevel="2" x14ac:dyDescent="0.25">
      <c r="A193" s="25"/>
      <c r="B193" s="11" t="str">
        <f>CONCATENATE("          ", "9175", " - ", "EARNED DISCOUNTS")</f>
        <v xml:space="preserve">          9175 - EARNED DISCOUNTS</v>
      </c>
      <c r="C193" s="11"/>
      <c r="D193" s="7">
        <v>0</v>
      </c>
      <c r="E193" s="2"/>
      <c r="F193" s="6">
        <f t="shared" si="49"/>
        <v>0</v>
      </c>
      <c r="G193" s="2"/>
      <c r="H193" s="7"/>
      <c r="I193" s="2"/>
      <c r="J193" s="6">
        <f t="shared" si="50"/>
        <v>0</v>
      </c>
      <c r="K193" s="2"/>
      <c r="L193" s="7">
        <f t="shared" si="51"/>
        <v>0</v>
      </c>
      <c r="M193" s="2"/>
      <c r="N193" s="6">
        <f t="shared" si="52"/>
        <v>0</v>
      </c>
      <c r="O193" s="11"/>
      <c r="P193" s="7">
        <v>-15.43</v>
      </c>
      <c r="Q193" s="2"/>
      <c r="R193" s="6">
        <f t="shared" si="53"/>
        <v>-1.5725179162173944E-6</v>
      </c>
      <c r="S193" s="2"/>
      <c r="T193" s="7"/>
      <c r="U193" s="2"/>
      <c r="V193" s="6">
        <f t="shared" si="54"/>
        <v>0</v>
      </c>
      <c r="W193" s="2"/>
      <c r="X193" s="7">
        <f t="shared" si="55"/>
        <v>-15.43</v>
      </c>
      <c r="Y193" s="2"/>
      <c r="Z193" s="6">
        <f t="shared" si="56"/>
        <v>0</v>
      </c>
    </row>
    <row r="194" spans="1:26" s="27" customFormat="1" outlineLevel="1" collapsed="1" x14ac:dyDescent="0.25">
      <c r="A194" s="26"/>
      <c r="B194" s="13" t="str">
        <f>CONCATENATE("     ","Donations                                         ")</f>
        <v xml:space="preserve">     Donations                                         </v>
      </c>
      <c r="C194" s="13"/>
      <c r="D194" s="1">
        <f>SUM(OSRRefD22_7x_0)</f>
        <v>3603.41</v>
      </c>
      <c r="E194" s="1"/>
      <c r="F194" s="5">
        <f t="shared" ref="F194:F196" si="57">IF(D$12=0,0,D194/D$12)</f>
        <v>4.4571096781512902E-3</v>
      </c>
      <c r="G194" s="1"/>
      <c r="H194" s="1">
        <f>SUM(OSRRefH22_7x_0)</f>
        <v>11773</v>
      </c>
      <c r="I194" s="1"/>
      <c r="J194" s="5">
        <f t="shared" ref="J194:J196" si="58">IF(H$12=0,0,H194/H$12)</f>
        <v>1.0999062001337863E-2</v>
      </c>
      <c r="K194" s="1"/>
      <c r="L194" s="1">
        <f t="shared" ref="L194:L196" si="59">+D194-H194</f>
        <v>-8169.59</v>
      </c>
      <c r="M194" s="1"/>
      <c r="N194" s="5">
        <f t="shared" ref="N194:N196" si="60">IF(H194=0,0,L194/H194)</f>
        <v>-0.69392593221778642</v>
      </c>
      <c r="O194" s="13"/>
      <c r="P194" s="1">
        <f>SUM(OSRRefP22_7x_0)</f>
        <v>62269.95</v>
      </c>
      <c r="Q194" s="1"/>
      <c r="R194" s="5">
        <f t="shared" ref="R194:R196" si="61">IF(P$12=0,0,P194/P$12)</f>
        <v>6.3461187308464896E-3</v>
      </c>
      <c r="S194" s="1"/>
      <c r="T194" s="1">
        <f>SUM(OSRRefT22_7x_0)</f>
        <v>141730</v>
      </c>
      <c r="U194" s="1"/>
      <c r="V194" s="5">
        <f t="shared" ref="V194:V196" si="62">IF(T$12=0,0,T194/T$12)</f>
        <v>8.6942626025554009E-3</v>
      </c>
      <c r="W194" s="1"/>
      <c r="X194" s="1">
        <f t="shared" ref="X194:X196" si="63">+P194-T194</f>
        <v>-79460.05</v>
      </c>
      <c r="Y194" s="1"/>
      <c r="Z194" s="5">
        <f t="shared" ref="Z194:Z196" si="64">IF(T194=0,0,X194/T194)</f>
        <v>-0.56064382981725813</v>
      </c>
    </row>
    <row r="195" spans="1:26" s="24" customFormat="1" hidden="1" outlineLevel="2" x14ac:dyDescent="0.25">
      <c r="A195" s="25"/>
      <c r="B195" s="11" t="str">
        <f>CONCATENATE("          ", "6395", " - ", "DONATION-OFF CAMPUS")</f>
        <v xml:space="preserve">          6395 - DONATION-OFF CAMPUS</v>
      </c>
      <c r="C195" s="11"/>
      <c r="D195" s="7"/>
      <c r="E195" s="2"/>
      <c r="F195" s="6">
        <f t="shared" si="57"/>
        <v>0</v>
      </c>
      <c r="G195" s="2"/>
      <c r="H195" s="7"/>
      <c r="I195" s="2"/>
      <c r="J195" s="6">
        <f t="shared" si="58"/>
        <v>0</v>
      </c>
      <c r="K195" s="2"/>
      <c r="L195" s="7">
        <f t="shared" si="59"/>
        <v>0</v>
      </c>
      <c r="M195" s="2"/>
      <c r="N195" s="6">
        <f t="shared" si="60"/>
        <v>0</v>
      </c>
      <c r="O195" s="11"/>
      <c r="P195" s="7"/>
      <c r="Q195" s="2"/>
      <c r="R195" s="6">
        <f t="shared" si="61"/>
        <v>0</v>
      </c>
      <c r="S195" s="2"/>
      <c r="T195" s="7">
        <v>0</v>
      </c>
      <c r="U195" s="2"/>
      <c r="V195" s="6">
        <f t="shared" si="62"/>
        <v>0</v>
      </c>
      <c r="W195" s="2"/>
      <c r="X195" s="7">
        <f t="shared" si="63"/>
        <v>0</v>
      </c>
      <c r="Y195" s="2"/>
      <c r="Z195" s="6">
        <f t="shared" si="64"/>
        <v>0</v>
      </c>
    </row>
    <row r="196" spans="1:26" s="24" customFormat="1" hidden="1" outlineLevel="2" x14ac:dyDescent="0.25">
      <c r="A196" s="25"/>
      <c r="B196" s="11" t="str">
        <f>CONCATENATE("          ", "6399", " - ", "DONATION-ON CAMPUS")</f>
        <v xml:space="preserve">          6399 - DONATION-ON CAMPUS</v>
      </c>
      <c r="C196" s="11"/>
      <c r="D196" s="7">
        <v>3603.41</v>
      </c>
      <c r="E196" s="2"/>
      <c r="F196" s="6">
        <f t="shared" si="57"/>
        <v>4.4571096781512902E-3</v>
      </c>
      <c r="G196" s="2"/>
      <c r="H196" s="7">
        <v>11773</v>
      </c>
      <c r="I196" s="2"/>
      <c r="J196" s="6">
        <f t="shared" si="58"/>
        <v>1.0999062001337863E-2</v>
      </c>
      <c r="K196" s="2"/>
      <c r="L196" s="7">
        <f t="shared" si="59"/>
        <v>-8169.59</v>
      </c>
      <c r="M196" s="2"/>
      <c r="N196" s="6">
        <f t="shared" si="60"/>
        <v>-0.69392593221778642</v>
      </c>
      <c r="O196" s="11"/>
      <c r="P196" s="7">
        <v>62269.95</v>
      </c>
      <c r="Q196" s="2"/>
      <c r="R196" s="6">
        <f t="shared" si="61"/>
        <v>6.3461187308464896E-3</v>
      </c>
      <c r="S196" s="2"/>
      <c r="T196" s="7">
        <v>141730</v>
      </c>
      <c r="U196" s="2"/>
      <c r="V196" s="6">
        <f t="shared" si="62"/>
        <v>8.6942626025554009E-3</v>
      </c>
      <c r="W196" s="2"/>
      <c r="X196" s="7">
        <f t="shared" si="63"/>
        <v>-79460.05</v>
      </c>
      <c r="Y196" s="2"/>
      <c r="Z196" s="6">
        <f t="shared" si="64"/>
        <v>-0.56064382981725813</v>
      </c>
    </row>
    <row r="197" spans="1:26" s="27" customFormat="1" outlineLevel="1" collapsed="1" x14ac:dyDescent="0.25">
      <c r="A197" s="26"/>
      <c r="B197" s="13" t="str">
        <f>CONCATENATE("     ","Employees' Appreciation                           ")</f>
        <v xml:space="preserve">     Employees' Appreciation                           </v>
      </c>
      <c r="C197" s="13"/>
      <c r="D197" s="1">
        <f>SUM(OSRRefD22_8x_0)</f>
        <v>0</v>
      </c>
      <c r="E197" s="1"/>
      <c r="F197" s="5">
        <f t="shared" ref="F197:F203" si="65">IF(D$12=0,0,D197/D$12)</f>
        <v>0</v>
      </c>
      <c r="G197" s="1"/>
      <c r="H197" s="1">
        <f>SUM(OSRRefH22_8x_0)</f>
        <v>840</v>
      </c>
      <c r="I197" s="1"/>
      <c r="J197" s="5">
        <f t="shared" ref="J197:J203" si="66">IF(H$12=0,0,H197/H$12)</f>
        <v>7.847797571667208E-4</v>
      </c>
      <c r="K197" s="1"/>
      <c r="L197" s="1">
        <f t="shared" ref="L197:L203" si="67">+D197-H197</f>
        <v>-840</v>
      </c>
      <c r="M197" s="1"/>
      <c r="N197" s="5">
        <f t="shared" ref="N197:N203" si="68">IF(H197=0,0,L197/H197)</f>
        <v>-1</v>
      </c>
      <c r="O197" s="13"/>
      <c r="P197" s="1">
        <f>SUM(OSRRefP22_8x_0)</f>
        <v>196.03</v>
      </c>
      <c r="Q197" s="1"/>
      <c r="R197" s="5">
        <f t="shared" ref="R197:R203" si="69">IF(P$12=0,0,P197/P$12)</f>
        <v>1.9978009534419692E-5</v>
      </c>
      <c r="S197" s="1"/>
      <c r="T197" s="1">
        <f>SUM(OSRRefT22_8x_0)</f>
        <v>8390</v>
      </c>
      <c r="U197" s="1"/>
      <c r="V197" s="5">
        <f t="shared" ref="V197:V203" si="70">IF(T$12=0,0,T197/T$12)</f>
        <v>5.1467482703337192E-4</v>
      </c>
      <c r="W197" s="1"/>
      <c r="X197" s="1">
        <f t="shared" ref="X197:X203" si="71">+P197-T197</f>
        <v>-8193.9699999999993</v>
      </c>
      <c r="Y197" s="1"/>
      <c r="Z197" s="5">
        <f t="shared" ref="Z197:Z203" si="72">IF(T197=0,0,X197/T197)</f>
        <v>-0.9766352800953515</v>
      </c>
    </row>
    <row r="198" spans="1:26" s="24" customFormat="1" hidden="1" outlineLevel="2" x14ac:dyDescent="0.25">
      <c r="A198" s="25"/>
      <c r="B198" s="11" t="str">
        <f>CONCATENATE("          ", "6277", " - ", "EMPLOYEE APPRECIATION")</f>
        <v xml:space="preserve">          6277 - EMPLOYEE APPRECIATION</v>
      </c>
      <c r="C198" s="11"/>
      <c r="D198" s="7"/>
      <c r="E198" s="2"/>
      <c r="F198" s="6">
        <f t="shared" si="65"/>
        <v>0</v>
      </c>
      <c r="G198" s="2"/>
      <c r="H198" s="7">
        <v>840</v>
      </c>
      <c r="I198" s="2"/>
      <c r="J198" s="6">
        <f t="shared" si="66"/>
        <v>7.847797571667208E-4</v>
      </c>
      <c r="K198" s="2"/>
      <c r="L198" s="7">
        <f t="shared" si="67"/>
        <v>-840</v>
      </c>
      <c r="M198" s="2"/>
      <c r="N198" s="6">
        <f t="shared" si="68"/>
        <v>-1</v>
      </c>
      <c r="O198" s="11"/>
      <c r="P198" s="7">
        <v>196.03</v>
      </c>
      <c r="Q198" s="2"/>
      <c r="R198" s="6">
        <f t="shared" si="69"/>
        <v>1.9978009534419692E-5</v>
      </c>
      <c r="S198" s="2"/>
      <c r="T198" s="7">
        <v>8390</v>
      </c>
      <c r="U198" s="2"/>
      <c r="V198" s="6">
        <f t="shared" si="70"/>
        <v>5.1467482703337192E-4</v>
      </c>
      <c r="W198" s="2"/>
      <c r="X198" s="7">
        <f t="shared" si="71"/>
        <v>-8193.9699999999993</v>
      </c>
      <c r="Y198" s="2"/>
      <c r="Z198" s="6">
        <f t="shared" si="72"/>
        <v>-0.9766352800953515</v>
      </c>
    </row>
    <row r="199" spans="1:26" s="27" customFormat="1" outlineLevel="1" collapsed="1" x14ac:dyDescent="0.25">
      <c r="A199" s="26"/>
      <c r="B199" s="13" t="str">
        <f>CONCATENATE("     ","Equipment Rental                                  ")</f>
        <v xml:space="preserve">     Equipment Rental                                  </v>
      </c>
      <c r="C199" s="13"/>
      <c r="D199" s="1">
        <f>SUM(OSRRefD22_9x_0)</f>
        <v>3584.98</v>
      </c>
      <c r="E199" s="1"/>
      <c r="F199" s="5">
        <f t="shared" si="65"/>
        <v>4.4343133459636324E-3</v>
      </c>
      <c r="G199" s="1"/>
      <c r="H199" s="1">
        <f>SUM(OSRRefH22_9x_0)</f>
        <v>4196.3333333333303</v>
      </c>
      <c r="I199" s="1"/>
      <c r="J199" s="5">
        <f t="shared" si="66"/>
        <v>3.9204731599094614E-3</v>
      </c>
      <c r="K199" s="1"/>
      <c r="L199" s="1">
        <f t="shared" si="67"/>
        <v>-611.35333333333028</v>
      </c>
      <c r="M199" s="1"/>
      <c r="N199" s="5">
        <f t="shared" si="68"/>
        <v>-0.14568750496465105</v>
      </c>
      <c r="O199" s="13"/>
      <c r="P199" s="1">
        <f>SUM(OSRRefP22_9x_0)</f>
        <v>29965.5</v>
      </c>
      <c r="Q199" s="1"/>
      <c r="R199" s="5">
        <f t="shared" si="69"/>
        <v>3.0538746350234824E-3</v>
      </c>
      <c r="S199" s="1"/>
      <c r="T199" s="1">
        <f>SUM(OSRRefT22_9x_0)</f>
        <v>45465.666666666701</v>
      </c>
      <c r="U199" s="1"/>
      <c r="V199" s="5">
        <f t="shared" si="70"/>
        <v>2.7890386326130667E-3</v>
      </c>
      <c r="W199" s="1"/>
      <c r="X199" s="1">
        <f t="shared" si="71"/>
        <v>-15500.166666666701</v>
      </c>
      <c r="Y199" s="1"/>
      <c r="Z199" s="5">
        <f t="shared" si="72"/>
        <v>-0.34092025484431526</v>
      </c>
    </row>
    <row r="200" spans="1:26" s="24" customFormat="1" hidden="1" outlineLevel="2" x14ac:dyDescent="0.25">
      <c r="A200" s="25"/>
      <c r="B200" s="11" t="str">
        <f>CONCATENATE("          ", "6351", " - ", "EQUIPMENT RENTAL")</f>
        <v xml:space="preserve">          6351 - EQUIPMENT RENTAL</v>
      </c>
      <c r="C200" s="11"/>
      <c r="D200" s="7">
        <v>3584.98</v>
      </c>
      <c r="E200" s="2"/>
      <c r="F200" s="6">
        <f t="shared" si="65"/>
        <v>4.4343133459636324E-3</v>
      </c>
      <c r="G200" s="2"/>
      <c r="H200" s="7">
        <v>4196.3333333333303</v>
      </c>
      <c r="I200" s="2"/>
      <c r="J200" s="6">
        <f t="shared" si="66"/>
        <v>3.9204731599094614E-3</v>
      </c>
      <c r="K200" s="2"/>
      <c r="L200" s="7">
        <f t="shared" si="67"/>
        <v>-611.35333333333028</v>
      </c>
      <c r="M200" s="2"/>
      <c r="N200" s="6">
        <f t="shared" si="68"/>
        <v>-0.14568750496465105</v>
      </c>
      <c r="O200" s="11"/>
      <c r="P200" s="7">
        <v>29965.5</v>
      </c>
      <c r="Q200" s="2"/>
      <c r="R200" s="6">
        <f t="shared" si="69"/>
        <v>3.0538746350234824E-3</v>
      </c>
      <c r="S200" s="2"/>
      <c r="T200" s="7">
        <v>45465.666666666701</v>
      </c>
      <c r="U200" s="2"/>
      <c r="V200" s="6">
        <f t="shared" si="70"/>
        <v>2.7890386326130667E-3</v>
      </c>
      <c r="W200" s="2"/>
      <c r="X200" s="7">
        <f t="shared" si="71"/>
        <v>-15500.166666666701</v>
      </c>
      <c r="Y200" s="2"/>
      <c r="Z200" s="6">
        <f t="shared" si="72"/>
        <v>-0.34092025484431526</v>
      </c>
    </row>
    <row r="201" spans="1:26" s="27" customFormat="1" outlineLevel="1" collapsed="1" x14ac:dyDescent="0.25">
      <c r="A201" s="26"/>
      <c r="B201" s="13" t="str">
        <f>CONCATENATE("     ","Freight out/Postage                               ")</f>
        <v xml:space="preserve">     Freight out/Postage                               </v>
      </c>
      <c r="C201" s="13"/>
      <c r="D201" s="1">
        <f>SUM(OSRRefD22_10x_0)</f>
        <v>-19807.939999999999</v>
      </c>
      <c r="E201" s="1"/>
      <c r="F201" s="5">
        <f t="shared" si="65"/>
        <v>-2.4500726000716004E-2</v>
      </c>
      <c r="G201" s="1"/>
      <c r="H201" s="1">
        <f>SUM(OSRRefH22_10x_0)</f>
        <v>-1457</v>
      </c>
      <c r="I201" s="1"/>
      <c r="J201" s="5">
        <f t="shared" si="66"/>
        <v>-1.3612191740379907E-3</v>
      </c>
      <c r="K201" s="1"/>
      <c r="L201" s="1">
        <f t="shared" si="67"/>
        <v>-18350.939999999999</v>
      </c>
      <c r="M201" s="1"/>
      <c r="N201" s="5">
        <f t="shared" si="68"/>
        <v>12.595017158544955</v>
      </c>
      <c r="O201" s="13"/>
      <c r="P201" s="1">
        <f>SUM(OSRRefP22_10x_0)</f>
        <v>-64908.44</v>
      </c>
      <c r="Q201" s="1"/>
      <c r="R201" s="5">
        <f t="shared" si="69"/>
        <v>-6.6150152179988188E-3</v>
      </c>
      <c r="S201" s="1"/>
      <c r="T201" s="1">
        <f>SUM(OSRRefT22_10x_0)</f>
        <v>35390</v>
      </c>
      <c r="U201" s="1"/>
      <c r="V201" s="5">
        <f t="shared" si="70"/>
        <v>2.170958537391065E-3</v>
      </c>
      <c r="W201" s="1"/>
      <c r="X201" s="1">
        <f t="shared" si="71"/>
        <v>-100298.44</v>
      </c>
      <c r="Y201" s="1"/>
      <c r="Z201" s="5">
        <f t="shared" si="72"/>
        <v>-2.8340898558914946</v>
      </c>
    </row>
    <row r="202" spans="1:26" s="24" customFormat="1" hidden="1" outlineLevel="2" x14ac:dyDescent="0.25">
      <c r="A202" s="25"/>
      <c r="B202" s="11" t="str">
        <f>CONCATENATE("          ", "6305", " - ", "FREIGHT OUT")</f>
        <v xml:space="preserve">          6305 - FREIGHT OUT</v>
      </c>
      <c r="C202" s="11"/>
      <c r="D202" s="7">
        <v>23540.09</v>
      </c>
      <c r="E202" s="2"/>
      <c r="F202" s="6">
        <f t="shared" si="65"/>
        <v>2.9117076037295898E-2</v>
      </c>
      <c r="G202" s="2"/>
      <c r="H202" s="7">
        <v>3513</v>
      </c>
      <c r="I202" s="2"/>
      <c r="J202" s="6">
        <f t="shared" si="66"/>
        <v>3.2820610558651074E-3</v>
      </c>
      <c r="K202" s="2"/>
      <c r="L202" s="7">
        <f t="shared" si="67"/>
        <v>20027.09</v>
      </c>
      <c r="M202" s="2"/>
      <c r="N202" s="6">
        <f t="shared" si="68"/>
        <v>5.7008511243951041</v>
      </c>
      <c r="O202" s="11"/>
      <c r="P202" s="7">
        <v>227351.32</v>
      </c>
      <c r="Q202" s="2"/>
      <c r="R202" s="6">
        <f t="shared" si="69"/>
        <v>2.31700598817676E-2</v>
      </c>
      <c r="S202" s="2"/>
      <c r="T202" s="7">
        <v>64602</v>
      </c>
      <c r="U202" s="2"/>
      <c r="V202" s="6">
        <f t="shared" si="70"/>
        <v>3.96293482431584E-3</v>
      </c>
      <c r="W202" s="2"/>
      <c r="X202" s="7">
        <f t="shared" si="71"/>
        <v>162749.32</v>
      </c>
      <c r="Y202" s="2"/>
      <c r="Z202" s="6">
        <f t="shared" si="72"/>
        <v>2.5192613231788492</v>
      </c>
    </row>
    <row r="203" spans="1:26" s="24" customFormat="1" hidden="1" outlineLevel="2" x14ac:dyDescent="0.25">
      <c r="A203" s="25"/>
      <c r="B203" s="11" t="str">
        <f>CONCATENATE("          ", "6307", " - ", "POSTAGE")</f>
        <v xml:space="preserve">          6307 - POSTAGE</v>
      </c>
      <c r="C203" s="11"/>
      <c r="D203" s="7">
        <v>-43348.03</v>
      </c>
      <c r="E203" s="2"/>
      <c r="F203" s="6">
        <f t="shared" si="65"/>
        <v>-5.3617802038011898E-2</v>
      </c>
      <c r="G203" s="2"/>
      <c r="H203" s="7">
        <v>-4970</v>
      </c>
      <c r="I203" s="2"/>
      <c r="J203" s="6">
        <f t="shared" si="66"/>
        <v>-4.6432802299030988E-3</v>
      </c>
      <c r="K203" s="2"/>
      <c r="L203" s="7">
        <f t="shared" si="67"/>
        <v>-38378.03</v>
      </c>
      <c r="M203" s="2"/>
      <c r="N203" s="6">
        <f t="shared" si="68"/>
        <v>7.7219376257545269</v>
      </c>
      <c r="O203" s="11"/>
      <c r="P203" s="7">
        <v>-292259.76</v>
      </c>
      <c r="Q203" s="2"/>
      <c r="R203" s="6">
        <f t="shared" si="69"/>
        <v>-2.9785075099766418E-2</v>
      </c>
      <c r="S203" s="2"/>
      <c r="T203" s="7">
        <v>-29212</v>
      </c>
      <c r="U203" s="2"/>
      <c r="V203" s="6">
        <f t="shared" si="70"/>
        <v>-1.791976286924775E-3</v>
      </c>
      <c r="W203" s="2"/>
      <c r="X203" s="7">
        <f t="shared" si="71"/>
        <v>-263047.76</v>
      </c>
      <c r="Y203" s="2"/>
      <c r="Z203" s="6">
        <f t="shared" si="72"/>
        <v>9.004784335204711</v>
      </c>
    </row>
    <row r="204" spans="1:26" s="27" customFormat="1" outlineLevel="1" collapsed="1" x14ac:dyDescent="0.25">
      <c r="A204" s="26"/>
      <c r="B204" s="13" t="str">
        <f>CONCATENATE("     ","General                                           ")</f>
        <v xml:space="preserve">     General                                           </v>
      </c>
      <c r="C204" s="13"/>
      <c r="D204" s="1">
        <f>SUM(OSRRefD22_11x_0)</f>
        <v>-58.19</v>
      </c>
      <c r="E204" s="1"/>
      <c r="F204" s="5">
        <f t="shared" ref="F204:F207" si="73">IF(D$12=0,0,D204/D$12)</f>
        <v>-7.1976048290819968E-5</v>
      </c>
      <c r="G204" s="1"/>
      <c r="H204" s="1">
        <f>SUM(OSRRefH22_11x_0)</f>
        <v>2260</v>
      </c>
      <c r="I204" s="1"/>
      <c r="J204" s="5">
        <f t="shared" ref="J204:J207" si="74">IF(H$12=0,0,H204/H$12)</f>
        <v>2.1114312514247491E-3</v>
      </c>
      <c r="K204" s="1"/>
      <c r="L204" s="1">
        <f t="shared" ref="L204:L207" si="75">+D204-H204</f>
        <v>-2318.19</v>
      </c>
      <c r="M204" s="1"/>
      <c r="N204" s="5">
        <f t="shared" ref="N204:N207" si="76">IF(H204=0,0,L204/H204)</f>
        <v>-1.0257477876106196</v>
      </c>
      <c r="O204" s="13"/>
      <c r="P204" s="1">
        <f>SUM(OSRRefP22_11x_0)</f>
        <v>21314.38</v>
      </c>
      <c r="Q204" s="1"/>
      <c r="R204" s="5">
        <f t="shared" ref="R204:R207" si="77">IF(P$12=0,0,P204/P$12)</f>
        <v>2.1722128595635585E-3</v>
      </c>
      <c r="S204" s="1"/>
      <c r="T204" s="1">
        <f>SUM(OSRRefT22_11x_0)</f>
        <v>31540</v>
      </c>
      <c r="U204" s="1"/>
      <c r="V204" s="5">
        <f t="shared" ref="V204:V207" si="78">IF(T$12=0,0,T204/T$12)</f>
        <v>1.9347847490622826E-3</v>
      </c>
      <c r="W204" s="1"/>
      <c r="X204" s="1">
        <f t="shared" ref="X204:X207" si="79">+P204-T204</f>
        <v>-10225.619999999999</v>
      </c>
      <c r="Y204" s="1"/>
      <c r="Z204" s="5">
        <f t="shared" ref="Z204:Z207" si="80">IF(T204=0,0,X204/T204)</f>
        <v>-0.32421116043119846</v>
      </c>
    </row>
    <row r="205" spans="1:26" s="24" customFormat="1" hidden="1" outlineLevel="2" x14ac:dyDescent="0.25">
      <c r="A205" s="25"/>
      <c r="B205" s="11" t="str">
        <f>CONCATENATE("          ", "6269", " - ", "ENTERTAINMENT")</f>
        <v xml:space="preserve">          6269 - ENTERTAINMENT</v>
      </c>
      <c r="C205" s="11"/>
      <c r="D205" s="7"/>
      <c r="E205" s="2"/>
      <c r="F205" s="6">
        <f t="shared" si="73"/>
        <v>0</v>
      </c>
      <c r="G205" s="2"/>
      <c r="H205" s="7">
        <v>1250</v>
      </c>
      <c r="I205" s="2"/>
      <c r="J205" s="6">
        <f t="shared" si="74"/>
        <v>1.1678270195933345E-3</v>
      </c>
      <c r="K205" s="2"/>
      <c r="L205" s="7">
        <f t="shared" si="75"/>
        <v>-1250</v>
      </c>
      <c r="M205" s="2"/>
      <c r="N205" s="6">
        <f t="shared" si="76"/>
        <v>-1</v>
      </c>
      <c r="O205" s="11"/>
      <c r="P205" s="7"/>
      <c r="Q205" s="2"/>
      <c r="R205" s="6">
        <f t="shared" si="77"/>
        <v>0</v>
      </c>
      <c r="S205" s="2"/>
      <c r="T205" s="7">
        <v>2750</v>
      </c>
      <c r="U205" s="2"/>
      <c r="V205" s="6">
        <f t="shared" si="78"/>
        <v>1.6869556309198725E-4</v>
      </c>
      <c r="W205" s="2"/>
      <c r="X205" s="7">
        <f t="shared" si="79"/>
        <v>-2750</v>
      </c>
      <c r="Y205" s="2"/>
      <c r="Z205" s="6">
        <f t="shared" si="80"/>
        <v>-1</v>
      </c>
    </row>
    <row r="206" spans="1:26" s="24" customFormat="1" hidden="1" outlineLevel="2" x14ac:dyDescent="0.25">
      <c r="A206" s="25"/>
      <c r="B206" s="11" t="str">
        <f>CONCATENATE("          ", "6276", " - ", "PROPERTY TAX")</f>
        <v xml:space="preserve">          6276 - PROPERTY TAX</v>
      </c>
      <c r="C206" s="11"/>
      <c r="D206" s="7"/>
      <c r="E206" s="2"/>
      <c r="F206" s="6">
        <f t="shared" si="73"/>
        <v>0</v>
      </c>
      <c r="G206" s="2"/>
      <c r="H206" s="7"/>
      <c r="I206" s="2"/>
      <c r="J206" s="6">
        <f t="shared" si="74"/>
        <v>0</v>
      </c>
      <c r="K206" s="2"/>
      <c r="L206" s="7">
        <f t="shared" si="75"/>
        <v>0</v>
      </c>
      <c r="M206" s="2"/>
      <c r="N206" s="6">
        <f t="shared" si="76"/>
        <v>0</v>
      </c>
      <c r="O206" s="11"/>
      <c r="P206" s="7"/>
      <c r="Q206" s="2"/>
      <c r="R206" s="6">
        <f t="shared" si="77"/>
        <v>0</v>
      </c>
      <c r="S206" s="2"/>
      <c r="T206" s="7">
        <v>150</v>
      </c>
      <c r="U206" s="2"/>
      <c r="V206" s="6">
        <f t="shared" si="78"/>
        <v>9.2015761686538494E-6</v>
      </c>
      <c r="W206" s="2"/>
      <c r="X206" s="7">
        <f t="shared" si="79"/>
        <v>-150</v>
      </c>
      <c r="Y206" s="2"/>
      <c r="Z206" s="6">
        <f t="shared" si="80"/>
        <v>-1</v>
      </c>
    </row>
    <row r="207" spans="1:26" s="24" customFormat="1" hidden="1" outlineLevel="2" x14ac:dyDescent="0.25">
      <c r="A207" s="25"/>
      <c r="B207" s="11" t="str">
        <f>CONCATENATE("          ", "6279", " - ", "GENERAL EXPENSE")</f>
        <v xml:space="preserve">          6279 - GENERAL EXPENSE</v>
      </c>
      <c r="C207" s="11"/>
      <c r="D207" s="7">
        <v>-58.19</v>
      </c>
      <c r="E207" s="2"/>
      <c r="F207" s="6">
        <f t="shared" si="73"/>
        <v>-7.1976048290819968E-5</v>
      </c>
      <c r="G207" s="2"/>
      <c r="H207" s="7">
        <v>1010</v>
      </c>
      <c r="I207" s="2"/>
      <c r="J207" s="6">
        <f t="shared" si="74"/>
        <v>9.4360423183141432E-4</v>
      </c>
      <c r="K207" s="2"/>
      <c r="L207" s="7">
        <f t="shared" si="75"/>
        <v>-1068.19</v>
      </c>
      <c r="M207" s="2"/>
      <c r="N207" s="6">
        <f t="shared" si="76"/>
        <v>-1.0576138613861388</v>
      </c>
      <c r="O207" s="11"/>
      <c r="P207" s="7">
        <v>21314.38</v>
      </c>
      <c r="Q207" s="2"/>
      <c r="R207" s="6">
        <f t="shared" si="77"/>
        <v>2.1722128595635585E-3</v>
      </c>
      <c r="S207" s="2"/>
      <c r="T207" s="7">
        <v>28640</v>
      </c>
      <c r="U207" s="2"/>
      <c r="V207" s="6">
        <f t="shared" si="78"/>
        <v>1.7568876098016416E-3</v>
      </c>
      <c r="W207" s="2"/>
      <c r="X207" s="7">
        <f t="shared" si="79"/>
        <v>-7325.619999999999</v>
      </c>
      <c r="Y207" s="2"/>
      <c r="Z207" s="6">
        <f t="shared" si="80"/>
        <v>-0.25578282122905022</v>
      </c>
    </row>
    <row r="208" spans="1:26" s="27" customFormat="1" outlineLevel="1" collapsed="1" x14ac:dyDescent="0.25">
      <c r="A208" s="26"/>
      <c r="B208" s="13" t="str">
        <f>CONCATENATE("     ","Insurance                                         ")</f>
        <v xml:space="preserve">     Insurance                                         </v>
      </c>
      <c r="C208" s="13"/>
      <c r="D208" s="1">
        <f>SUM(OSRRefD22_12x_0)</f>
        <v>8563.32</v>
      </c>
      <c r="E208" s="1"/>
      <c r="F208" s="5">
        <f t="shared" ref="F208:F214" si="81">IF(D$12=0,0,D208/D$12)</f>
        <v>1.0592093724862424E-2</v>
      </c>
      <c r="G208" s="1"/>
      <c r="H208" s="1">
        <f>SUM(OSRRefH22_12x_0)</f>
        <v>9321</v>
      </c>
      <c r="I208" s="1"/>
      <c r="J208" s="5">
        <f t="shared" ref="J208:J214" si="82">IF(H$12=0,0,H208/H$12)</f>
        <v>8.7082525197035767E-3</v>
      </c>
      <c r="K208" s="1"/>
      <c r="L208" s="1">
        <f t="shared" ref="L208:L214" si="83">+D208-H208</f>
        <v>-757.68000000000029</v>
      </c>
      <c r="M208" s="1"/>
      <c r="N208" s="5">
        <f t="shared" ref="N208:N214" si="84">IF(H208=0,0,L208/H208)</f>
        <v>-8.128741551335697E-2</v>
      </c>
      <c r="O208" s="13"/>
      <c r="P208" s="1">
        <f>SUM(OSRRefP22_12x_0)</f>
        <v>100308.52</v>
      </c>
      <c r="Q208" s="1"/>
      <c r="R208" s="5">
        <f t="shared" ref="R208:R214" si="85">IF(P$12=0,0,P208/P$12)</f>
        <v>1.0222744319458901E-2</v>
      </c>
      <c r="S208" s="1"/>
      <c r="T208" s="1">
        <f>SUM(OSRRefT22_12x_0)</f>
        <v>102531</v>
      </c>
      <c r="U208" s="1"/>
      <c r="V208" s="5">
        <f t="shared" ref="V208:V214" si="86">IF(T$12=0,0,T208/T$12)</f>
        <v>6.2896453743216518E-3</v>
      </c>
      <c r="W208" s="1"/>
      <c r="X208" s="1">
        <f t="shared" ref="X208:X214" si="87">+P208-T208</f>
        <v>-2222.4799999999959</v>
      </c>
      <c r="Y208" s="1"/>
      <c r="Z208" s="5">
        <f t="shared" ref="Z208:Z214" si="88">IF(T208=0,0,X208/T208)</f>
        <v>-2.1676175985799379E-2</v>
      </c>
    </row>
    <row r="209" spans="1:26" s="24" customFormat="1" hidden="1" outlineLevel="2" x14ac:dyDescent="0.25">
      <c r="A209" s="25"/>
      <c r="B209" s="11" t="str">
        <f>CONCATENATE("          ", "6314", " - ", "LIABILITY INSURANCE")</f>
        <v xml:space="preserve">          6314 - LIABILITY INSURANCE</v>
      </c>
      <c r="C209" s="11"/>
      <c r="D209" s="7">
        <v>8563.32</v>
      </c>
      <c r="E209" s="2"/>
      <c r="F209" s="6">
        <f t="shared" si="81"/>
        <v>1.0592093724862424E-2</v>
      </c>
      <c r="G209" s="2"/>
      <c r="H209" s="7">
        <v>9321</v>
      </c>
      <c r="I209" s="2"/>
      <c r="J209" s="6">
        <f t="shared" si="82"/>
        <v>8.7082525197035767E-3</v>
      </c>
      <c r="K209" s="2"/>
      <c r="L209" s="7">
        <f t="shared" si="83"/>
        <v>-757.68000000000029</v>
      </c>
      <c r="M209" s="2"/>
      <c r="N209" s="6">
        <f t="shared" si="84"/>
        <v>-8.128741551335697E-2</v>
      </c>
      <c r="O209" s="11"/>
      <c r="P209" s="7">
        <v>100308.52</v>
      </c>
      <c r="Q209" s="2"/>
      <c r="R209" s="6">
        <f t="shared" si="85"/>
        <v>1.0222744319458901E-2</v>
      </c>
      <c r="S209" s="2"/>
      <c r="T209" s="7">
        <v>102531</v>
      </c>
      <c r="U209" s="2"/>
      <c r="V209" s="6">
        <f t="shared" si="86"/>
        <v>6.2896453743216518E-3</v>
      </c>
      <c r="W209" s="2"/>
      <c r="X209" s="7">
        <f t="shared" si="87"/>
        <v>-2222.4799999999959</v>
      </c>
      <c r="Y209" s="2"/>
      <c r="Z209" s="6">
        <f t="shared" si="88"/>
        <v>-2.1676175985799379E-2</v>
      </c>
    </row>
    <row r="210" spans="1:26" s="27" customFormat="1" outlineLevel="1" collapsed="1" x14ac:dyDescent="0.25">
      <c r="A210" s="26"/>
      <c r="B210" s="13" t="str">
        <f>CONCATENATE("     ","Interest                                          ")</f>
        <v xml:space="preserve">     Interest                                          </v>
      </c>
      <c r="C210" s="13"/>
      <c r="D210" s="1">
        <f>SUM(OSRRefD22_13x_0)</f>
        <v>11554</v>
      </c>
      <c r="E210" s="1"/>
      <c r="F210" s="5">
        <f t="shared" si="81"/>
        <v>1.4291308849495341E-2</v>
      </c>
      <c r="G210" s="1"/>
      <c r="H210" s="1">
        <f>SUM(OSRRefH22_13x_0)</f>
        <v>11158</v>
      </c>
      <c r="I210" s="1"/>
      <c r="J210" s="5">
        <f t="shared" si="82"/>
        <v>1.0424491107697942E-2</v>
      </c>
      <c r="K210" s="1"/>
      <c r="L210" s="1">
        <f t="shared" si="83"/>
        <v>396</v>
      </c>
      <c r="M210" s="1"/>
      <c r="N210" s="5">
        <f t="shared" si="84"/>
        <v>3.5490231224233733E-2</v>
      </c>
      <c r="O210" s="13"/>
      <c r="P210" s="1">
        <f>SUM(OSRRefP22_13x_0)</f>
        <v>123971</v>
      </c>
      <c r="Q210" s="1"/>
      <c r="R210" s="5">
        <f t="shared" si="85"/>
        <v>1.2634259143965432E-2</v>
      </c>
      <c r="S210" s="1"/>
      <c r="T210" s="1">
        <f>SUM(OSRRefT22_13x_0)</f>
        <v>126698</v>
      </c>
      <c r="U210" s="1"/>
      <c r="V210" s="5">
        <f t="shared" si="86"/>
        <v>7.7721419827740364E-3</v>
      </c>
      <c r="W210" s="1"/>
      <c r="X210" s="1">
        <f t="shared" si="87"/>
        <v>-2727</v>
      </c>
      <c r="Y210" s="1"/>
      <c r="Z210" s="5">
        <f t="shared" si="88"/>
        <v>-2.1523623103758546E-2</v>
      </c>
    </row>
    <row r="211" spans="1:26" s="24" customFormat="1" hidden="1" outlineLevel="2" x14ac:dyDescent="0.25">
      <c r="A211" s="25"/>
      <c r="B211" s="11" t="str">
        <f>CONCATENATE("          ", "6401", " - ", "INTEREST EXPENSE")</f>
        <v xml:space="preserve">          6401 - INTEREST EXPENSE</v>
      </c>
      <c r="C211" s="11"/>
      <c r="D211" s="7">
        <v>11554</v>
      </c>
      <c r="E211" s="2"/>
      <c r="F211" s="6">
        <f t="shared" si="81"/>
        <v>1.4291308849495341E-2</v>
      </c>
      <c r="G211" s="2"/>
      <c r="H211" s="7">
        <v>11158</v>
      </c>
      <c r="I211" s="2"/>
      <c r="J211" s="6">
        <f t="shared" si="82"/>
        <v>1.0424491107697942E-2</v>
      </c>
      <c r="K211" s="2"/>
      <c r="L211" s="7">
        <f t="shared" si="83"/>
        <v>396</v>
      </c>
      <c r="M211" s="2"/>
      <c r="N211" s="6">
        <f t="shared" si="84"/>
        <v>3.5490231224233733E-2</v>
      </c>
      <c r="O211" s="11"/>
      <c r="P211" s="7">
        <v>123971</v>
      </c>
      <c r="Q211" s="2"/>
      <c r="R211" s="6">
        <f t="shared" si="85"/>
        <v>1.2634259143965432E-2</v>
      </c>
      <c r="S211" s="2"/>
      <c r="T211" s="7">
        <v>126698</v>
      </c>
      <c r="U211" s="2"/>
      <c r="V211" s="6">
        <f t="shared" si="86"/>
        <v>7.7721419827740364E-3</v>
      </c>
      <c r="W211" s="2"/>
      <c r="X211" s="7">
        <f t="shared" si="87"/>
        <v>-2727</v>
      </c>
      <c r="Y211" s="2"/>
      <c r="Z211" s="6">
        <f t="shared" si="88"/>
        <v>-2.1523623103758546E-2</v>
      </c>
    </row>
    <row r="212" spans="1:26" s="27" customFormat="1" outlineLevel="1" collapsed="1" x14ac:dyDescent="0.25">
      <c r="A212" s="26"/>
      <c r="B212" s="13" t="str">
        <f>CONCATENATE("     ","Inventory Adjustment                              ")</f>
        <v xml:space="preserve">     Inventory Adjustment                              </v>
      </c>
      <c r="C212" s="13"/>
      <c r="D212" s="1">
        <f>SUM(OSRRefD22_14x_0)</f>
        <v>3350</v>
      </c>
      <c r="E212" s="1"/>
      <c r="F212" s="5">
        <f t="shared" si="81"/>
        <v>4.143663202856967E-3</v>
      </c>
      <c r="G212" s="1"/>
      <c r="H212" s="1">
        <f>SUM(OSRRefH22_14x_0)</f>
        <v>4350</v>
      </c>
      <c r="I212" s="1"/>
      <c r="J212" s="5">
        <f t="shared" si="82"/>
        <v>4.0640380281848042E-3</v>
      </c>
      <c r="K212" s="1"/>
      <c r="L212" s="1">
        <f t="shared" si="83"/>
        <v>-1000</v>
      </c>
      <c r="M212" s="1"/>
      <c r="N212" s="5">
        <f t="shared" si="84"/>
        <v>-0.22988505747126436</v>
      </c>
      <c r="O212" s="13"/>
      <c r="P212" s="1">
        <f>SUM(OSRRefP22_14x_0)</f>
        <v>41850</v>
      </c>
      <c r="Q212" s="1"/>
      <c r="R212" s="5">
        <f t="shared" si="85"/>
        <v>4.265059934782758E-3</v>
      </c>
      <c r="S212" s="1"/>
      <c r="T212" s="1">
        <f>SUM(OSRRefT22_14x_0)</f>
        <v>52850</v>
      </c>
      <c r="U212" s="1"/>
      <c r="V212" s="5">
        <f t="shared" si="86"/>
        <v>3.2420220034223728E-3</v>
      </c>
      <c r="W212" s="1"/>
      <c r="X212" s="1">
        <f t="shared" si="87"/>
        <v>-11000</v>
      </c>
      <c r="Y212" s="1"/>
      <c r="Z212" s="5">
        <f t="shared" si="88"/>
        <v>-0.20813623462630085</v>
      </c>
    </row>
    <row r="213" spans="1:26" s="24" customFormat="1" hidden="1" outlineLevel="2" x14ac:dyDescent="0.25">
      <c r="A213" s="25"/>
      <c r="B213" s="11" t="str">
        <f>CONCATENATE("          ", "6408", " - ", "INVENTORY ADJUSTMENT")</f>
        <v xml:space="preserve">          6408 - INVENTORY ADJUSTMENT</v>
      </c>
      <c r="C213" s="11"/>
      <c r="D213" s="7">
        <v>3350</v>
      </c>
      <c r="E213" s="2"/>
      <c r="F213" s="6">
        <f t="shared" si="81"/>
        <v>4.143663202856967E-3</v>
      </c>
      <c r="G213" s="2"/>
      <c r="H213" s="7">
        <v>4350</v>
      </c>
      <c r="I213" s="2"/>
      <c r="J213" s="6">
        <f t="shared" si="82"/>
        <v>4.0640380281848042E-3</v>
      </c>
      <c r="K213" s="2"/>
      <c r="L213" s="7">
        <f t="shared" si="83"/>
        <v>-1000</v>
      </c>
      <c r="M213" s="2"/>
      <c r="N213" s="6">
        <f t="shared" si="84"/>
        <v>-0.22988505747126436</v>
      </c>
      <c r="O213" s="11"/>
      <c r="P213" s="7">
        <v>41850</v>
      </c>
      <c r="Q213" s="2"/>
      <c r="R213" s="6">
        <f t="shared" si="85"/>
        <v>4.265059934782758E-3</v>
      </c>
      <c r="S213" s="2"/>
      <c r="T213" s="7">
        <v>52850</v>
      </c>
      <c r="U213" s="2"/>
      <c r="V213" s="6">
        <f t="shared" si="86"/>
        <v>3.2420220034223728E-3</v>
      </c>
      <c r="W213" s="2"/>
      <c r="X213" s="7">
        <f t="shared" si="87"/>
        <v>-11000</v>
      </c>
      <c r="Y213" s="2"/>
      <c r="Z213" s="6">
        <f t="shared" si="88"/>
        <v>-0.20813623462630085</v>
      </c>
    </row>
    <row r="214" spans="1:26" s="24" customFormat="1" hidden="1" outlineLevel="2" x14ac:dyDescent="0.25">
      <c r="A214" s="25"/>
      <c r="B214" s="11" t="str">
        <f>CONCATENATE("          ", "7741", " - ", "INV. SHRINKAGE-LOGO GIFTS")</f>
        <v xml:space="preserve">          7741 - INV. SHRINKAGE-LOGO GIFTS</v>
      </c>
      <c r="C214" s="11"/>
      <c r="D214" s="7"/>
      <c r="E214" s="2"/>
      <c r="F214" s="6">
        <f t="shared" si="81"/>
        <v>0</v>
      </c>
      <c r="G214" s="2"/>
      <c r="H214" s="7"/>
      <c r="I214" s="2"/>
      <c r="J214" s="6">
        <f t="shared" si="82"/>
        <v>0</v>
      </c>
      <c r="K214" s="2"/>
      <c r="L214" s="7">
        <f t="shared" si="83"/>
        <v>0</v>
      </c>
      <c r="M214" s="2"/>
      <c r="N214" s="6">
        <f t="shared" si="84"/>
        <v>0</v>
      </c>
      <c r="O214" s="11"/>
      <c r="P214" s="7">
        <v>0</v>
      </c>
      <c r="Q214" s="2"/>
      <c r="R214" s="6">
        <f t="shared" si="85"/>
        <v>0</v>
      </c>
      <c r="S214" s="2"/>
      <c r="T214" s="7"/>
      <c r="U214" s="2"/>
      <c r="V214" s="6">
        <f t="shared" si="86"/>
        <v>0</v>
      </c>
      <c r="W214" s="2"/>
      <c r="X214" s="7">
        <f t="shared" si="87"/>
        <v>0</v>
      </c>
      <c r="Y214" s="2"/>
      <c r="Z214" s="6">
        <f t="shared" si="88"/>
        <v>0</v>
      </c>
    </row>
    <row r="215" spans="1:26" s="27" customFormat="1" outlineLevel="1" collapsed="1" x14ac:dyDescent="0.25">
      <c r="A215" s="26"/>
      <c r="B215" s="13" t="str">
        <f>CONCATENATE("     ","Professional Services                             ")</f>
        <v xml:space="preserve">     Professional Services                             </v>
      </c>
      <c r="C215" s="13"/>
      <c r="D215" s="1">
        <f>SUM(OSRRefD22_15x_0)</f>
        <v>0</v>
      </c>
      <c r="E215" s="1"/>
      <c r="F215" s="5">
        <f t="shared" ref="F215:F225" si="89">IF(D$12=0,0,D215/D$12)</f>
        <v>0</v>
      </c>
      <c r="G215" s="1"/>
      <c r="H215" s="1">
        <f>SUM(OSRRefH22_15x_0)</f>
        <v>0</v>
      </c>
      <c r="I215" s="1"/>
      <c r="J215" s="5">
        <f t="shared" ref="J215:J225" si="90">IF(H$12=0,0,H215/H$12)</f>
        <v>0</v>
      </c>
      <c r="K215" s="1"/>
      <c r="L215" s="1">
        <f t="shared" ref="L215:L225" si="91">+D215-H215</f>
        <v>0</v>
      </c>
      <c r="M215" s="1"/>
      <c r="N215" s="5">
        <f t="shared" ref="N215:N225" si="92">IF(H215=0,0,L215/H215)</f>
        <v>0</v>
      </c>
      <c r="O215" s="13"/>
      <c r="P215" s="1">
        <f>SUM(OSRRefP22_15x_0)</f>
        <v>0</v>
      </c>
      <c r="Q215" s="1"/>
      <c r="R215" s="5">
        <f t="shared" ref="R215:R225" si="93">IF(P$12=0,0,P215/P$12)</f>
        <v>0</v>
      </c>
      <c r="S215" s="1"/>
      <c r="T215" s="1">
        <f>SUM(OSRRefT22_15x_0)</f>
        <v>7300</v>
      </c>
      <c r="U215" s="1"/>
      <c r="V215" s="5">
        <f t="shared" ref="V215:V225" si="94">IF(T$12=0,0,T215/T$12)</f>
        <v>4.4781004020782067E-4</v>
      </c>
      <c r="W215" s="1"/>
      <c r="X215" s="1">
        <f t="shared" ref="X215:X225" si="95">+P215-T215</f>
        <v>-7300</v>
      </c>
      <c r="Y215" s="1"/>
      <c r="Z215" s="5">
        <f t="shared" ref="Z215:Z225" si="96">IF(T215=0,0,X215/T215)</f>
        <v>-1</v>
      </c>
    </row>
    <row r="216" spans="1:26" s="24" customFormat="1" hidden="1" outlineLevel="2" x14ac:dyDescent="0.25">
      <c r="A216" s="25"/>
      <c r="B216" s="11" t="str">
        <f>CONCATENATE("          ", "6336", " - ", "PROFESSIONAL SERVICES")</f>
        <v xml:space="preserve">          6336 - PROFESSIONAL SERVICES</v>
      </c>
      <c r="C216" s="11"/>
      <c r="D216" s="7"/>
      <c r="E216" s="2"/>
      <c r="F216" s="6">
        <f t="shared" si="89"/>
        <v>0</v>
      </c>
      <c r="G216" s="2"/>
      <c r="H216" s="7">
        <v>0</v>
      </c>
      <c r="I216" s="2"/>
      <c r="J216" s="6">
        <f t="shared" si="90"/>
        <v>0</v>
      </c>
      <c r="K216" s="2"/>
      <c r="L216" s="7">
        <f t="shared" si="91"/>
        <v>0</v>
      </c>
      <c r="M216" s="2"/>
      <c r="N216" s="6">
        <f t="shared" si="92"/>
        <v>0</v>
      </c>
      <c r="O216" s="11"/>
      <c r="P216" s="7"/>
      <c r="Q216" s="2"/>
      <c r="R216" s="6">
        <f t="shared" si="93"/>
        <v>0</v>
      </c>
      <c r="S216" s="2"/>
      <c r="T216" s="7">
        <v>7300</v>
      </c>
      <c r="U216" s="2"/>
      <c r="V216" s="6">
        <f t="shared" si="94"/>
        <v>4.4781004020782067E-4</v>
      </c>
      <c r="W216" s="2"/>
      <c r="X216" s="7">
        <f t="shared" si="95"/>
        <v>-7300</v>
      </c>
      <c r="Y216" s="2"/>
      <c r="Z216" s="6">
        <f t="shared" si="96"/>
        <v>-1</v>
      </c>
    </row>
    <row r="217" spans="1:26" s="27" customFormat="1" outlineLevel="1" collapsed="1" x14ac:dyDescent="0.25">
      <c r="A217" s="26"/>
      <c r="B217" s="13" t="str">
        <f>CONCATENATE("     ","R/H Commissions                                   ")</f>
        <v xml:space="preserve">     R/H Commissions                                   </v>
      </c>
      <c r="C217" s="13"/>
      <c r="D217" s="1">
        <f>SUM(OSRRefD22_16x_0)</f>
        <v>3760.68</v>
      </c>
      <c r="E217" s="1"/>
      <c r="F217" s="5">
        <f t="shared" si="89"/>
        <v>4.6516392040955633E-3</v>
      </c>
      <c r="G217" s="1"/>
      <c r="H217" s="1">
        <f>SUM(OSRRefH22_16x_0)</f>
        <v>23083</v>
      </c>
      <c r="I217" s="1"/>
      <c r="J217" s="5">
        <f t="shared" si="90"/>
        <v>2.1565560874618354E-2</v>
      </c>
      <c r="K217" s="1"/>
      <c r="L217" s="1">
        <f t="shared" si="91"/>
        <v>-19322.32</v>
      </c>
      <c r="M217" s="1"/>
      <c r="N217" s="5">
        <f t="shared" si="92"/>
        <v>-0.8370801022397435</v>
      </c>
      <c r="O217" s="13"/>
      <c r="P217" s="1">
        <f>SUM(OSRRefP22_16x_0)</f>
        <v>69400.47</v>
      </c>
      <c r="Q217" s="1"/>
      <c r="R217" s="5">
        <f t="shared" si="93"/>
        <v>7.0728115663582503E-3</v>
      </c>
      <c r="S217" s="1"/>
      <c r="T217" s="1">
        <f>SUM(OSRRefT22_16x_0)</f>
        <v>317179</v>
      </c>
      <c r="U217" s="1"/>
      <c r="V217" s="5">
        <f t="shared" si="94"/>
        <v>1.9456978183983061E-2</v>
      </c>
      <c r="W217" s="1"/>
      <c r="X217" s="1">
        <f t="shared" si="95"/>
        <v>-247778.53</v>
      </c>
      <c r="Y217" s="1"/>
      <c r="Z217" s="5">
        <f t="shared" si="96"/>
        <v>-0.78119462511704751</v>
      </c>
    </row>
    <row r="218" spans="1:26" s="24" customFormat="1" hidden="1" outlineLevel="2" x14ac:dyDescent="0.25">
      <c r="A218" s="25"/>
      <c r="B218" s="11" t="str">
        <f>CONCATENATE("          ", "6387", " - ", "COMMISSION DUE HOUSING")</f>
        <v xml:space="preserve">          6387 - COMMISSION DUE HOUSING</v>
      </c>
      <c r="C218" s="11"/>
      <c r="D218" s="7">
        <v>3760.68</v>
      </c>
      <c r="E218" s="2"/>
      <c r="F218" s="6">
        <f t="shared" si="89"/>
        <v>4.6516392040955633E-3</v>
      </c>
      <c r="G218" s="2"/>
      <c r="H218" s="7">
        <v>23083</v>
      </c>
      <c r="I218" s="2"/>
      <c r="J218" s="6">
        <f t="shared" si="90"/>
        <v>2.1565560874618354E-2</v>
      </c>
      <c r="K218" s="2"/>
      <c r="L218" s="7">
        <f t="shared" si="91"/>
        <v>-19322.32</v>
      </c>
      <c r="M218" s="2"/>
      <c r="N218" s="6">
        <f t="shared" si="92"/>
        <v>-0.8370801022397435</v>
      </c>
      <c r="O218" s="11"/>
      <c r="P218" s="7">
        <v>69400.47</v>
      </c>
      <c r="Q218" s="2"/>
      <c r="R218" s="6">
        <f t="shared" si="93"/>
        <v>7.0728115663582503E-3</v>
      </c>
      <c r="S218" s="2"/>
      <c r="T218" s="7">
        <v>317179</v>
      </c>
      <c r="U218" s="2"/>
      <c r="V218" s="6">
        <f t="shared" si="94"/>
        <v>1.9456978183983061E-2</v>
      </c>
      <c r="W218" s="2"/>
      <c r="X218" s="7">
        <f t="shared" si="95"/>
        <v>-247778.53</v>
      </c>
      <c r="Y218" s="2"/>
      <c r="Z218" s="6">
        <f t="shared" si="96"/>
        <v>-0.78119462511704751</v>
      </c>
    </row>
    <row r="219" spans="1:26" s="27" customFormat="1" outlineLevel="1" collapsed="1" x14ac:dyDescent="0.25">
      <c r="A219" s="26"/>
      <c r="B219" s="13" t="str">
        <f>CONCATENATE("     ","Rent                                              ")</f>
        <v xml:space="preserve">     Rent                                              </v>
      </c>
      <c r="C219" s="13"/>
      <c r="D219" s="1">
        <f>SUM(OSRRefD22_17x_0)</f>
        <v>8750</v>
      </c>
      <c r="E219" s="1"/>
      <c r="F219" s="5">
        <f t="shared" si="89"/>
        <v>1.0823000902984613E-2</v>
      </c>
      <c r="G219" s="1"/>
      <c r="H219" s="1">
        <f>SUM(OSRRefH22_17x_0)</f>
        <v>8843</v>
      </c>
      <c r="I219" s="1"/>
      <c r="J219" s="5">
        <f t="shared" si="90"/>
        <v>8.2616754674110868E-3</v>
      </c>
      <c r="K219" s="1"/>
      <c r="L219" s="1">
        <f t="shared" si="91"/>
        <v>-93</v>
      </c>
      <c r="M219" s="1"/>
      <c r="N219" s="5">
        <f t="shared" si="92"/>
        <v>-1.0516792943571187E-2</v>
      </c>
      <c r="O219" s="13"/>
      <c r="P219" s="1">
        <f>SUM(OSRRefP22_17x_0)</f>
        <v>90700</v>
      </c>
      <c r="Q219" s="1"/>
      <c r="R219" s="5">
        <f t="shared" si="93"/>
        <v>9.2435110175578539E-3</v>
      </c>
      <c r="S219" s="1"/>
      <c r="T219" s="1">
        <f>SUM(OSRRefT22_17x_0)</f>
        <v>97274</v>
      </c>
      <c r="U219" s="1"/>
      <c r="V219" s="5">
        <f t="shared" si="94"/>
        <v>5.9671608015308972E-3</v>
      </c>
      <c r="W219" s="1"/>
      <c r="X219" s="1">
        <f t="shared" si="95"/>
        <v>-6574</v>
      </c>
      <c r="Y219" s="1"/>
      <c r="Z219" s="5">
        <f t="shared" si="96"/>
        <v>-6.7582293315788397E-2</v>
      </c>
    </row>
    <row r="220" spans="1:26" s="24" customFormat="1" hidden="1" outlineLevel="2" x14ac:dyDescent="0.25">
      <c r="A220" s="25"/>
      <c r="B220" s="11" t="str">
        <f>CONCATENATE("          ", "6273", " - ", "RENT")</f>
        <v xml:space="preserve">          6273 - RENT</v>
      </c>
      <c r="C220" s="11"/>
      <c r="D220" s="7">
        <v>8750</v>
      </c>
      <c r="E220" s="2"/>
      <c r="F220" s="6">
        <f t="shared" si="89"/>
        <v>1.0823000902984613E-2</v>
      </c>
      <c r="G220" s="2"/>
      <c r="H220" s="7">
        <v>8843</v>
      </c>
      <c r="I220" s="2"/>
      <c r="J220" s="6">
        <f t="shared" si="90"/>
        <v>8.2616754674110868E-3</v>
      </c>
      <c r="K220" s="2"/>
      <c r="L220" s="7">
        <f t="shared" si="91"/>
        <v>-93</v>
      </c>
      <c r="M220" s="2"/>
      <c r="N220" s="6">
        <f t="shared" si="92"/>
        <v>-1.0516792943571187E-2</v>
      </c>
      <c r="O220" s="11"/>
      <c r="P220" s="7">
        <v>90700</v>
      </c>
      <c r="Q220" s="2"/>
      <c r="R220" s="6">
        <f t="shared" si="93"/>
        <v>9.2435110175578539E-3</v>
      </c>
      <c r="S220" s="2"/>
      <c r="T220" s="7">
        <v>97274</v>
      </c>
      <c r="U220" s="2"/>
      <c r="V220" s="6">
        <f t="shared" si="94"/>
        <v>5.9671608015308972E-3</v>
      </c>
      <c r="W220" s="2"/>
      <c r="X220" s="7">
        <f t="shared" si="95"/>
        <v>-6574</v>
      </c>
      <c r="Y220" s="2"/>
      <c r="Z220" s="6">
        <f t="shared" si="96"/>
        <v>-6.7582293315788397E-2</v>
      </c>
    </row>
    <row r="221" spans="1:26" s="27" customFormat="1" outlineLevel="1" collapsed="1" x14ac:dyDescent="0.25">
      <c r="A221" s="26"/>
      <c r="B221" s="13" t="str">
        <f>CONCATENATE("     ","Repair and Maintenance                            ")</f>
        <v xml:space="preserve">     Repair and Maintenance                            </v>
      </c>
      <c r="C221" s="13"/>
      <c r="D221" s="1">
        <f>SUM(OSRRefD22_18x_0)</f>
        <v>26806.69</v>
      </c>
      <c r="E221" s="1"/>
      <c r="F221" s="5">
        <f t="shared" si="89"/>
        <v>3.3157580580117557E-2</v>
      </c>
      <c r="G221" s="1"/>
      <c r="H221" s="1">
        <f>SUM(OSRRefH22_18x_0)</f>
        <v>33923</v>
      </c>
      <c r="I221" s="1"/>
      <c r="J221" s="5">
        <f t="shared" si="90"/>
        <v>3.1692956788531755E-2</v>
      </c>
      <c r="K221" s="1"/>
      <c r="L221" s="1">
        <f t="shared" si="91"/>
        <v>-7116.3100000000013</v>
      </c>
      <c r="M221" s="1"/>
      <c r="N221" s="5">
        <f t="shared" si="92"/>
        <v>-0.20977832149279255</v>
      </c>
      <c r="O221" s="13"/>
      <c r="P221" s="1">
        <f>SUM(OSRRefP22_18x_0)</f>
        <v>380063.44999999995</v>
      </c>
      <c r="Q221" s="1"/>
      <c r="R221" s="5">
        <f t="shared" si="93"/>
        <v>3.8733414415061167E-2</v>
      </c>
      <c r="S221" s="1"/>
      <c r="T221" s="1">
        <f>SUM(OSRRefT22_18x_0)</f>
        <v>466141</v>
      </c>
      <c r="U221" s="1"/>
      <c r="V221" s="5">
        <f t="shared" si="94"/>
        <v>2.8594879445549826E-2</v>
      </c>
      <c r="W221" s="1"/>
      <c r="X221" s="1">
        <f t="shared" si="95"/>
        <v>-86077.550000000047</v>
      </c>
      <c r="Y221" s="1"/>
      <c r="Z221" s="5">
        <f t="shared" si="96"/>
        <v>-0.18465989904342259</v>
      </c>
    </row>
    <row r="222" spans="1:26" s="24" customFormat="1" hidden="1" outlineLevel="2" x14ac:dyDescent="0.25">
      <c r="A222" s="25"/>
      <c r="B222" s="11" t="str">
        <f>CONCATENATE("          ", "6371", " - ", "COMPUTER SOFTWARE MAINTENANCE")</f>
        <v xml:space="preserve">          6371 - COMPUTER SOFTWARE MAINTENANCE</v>
      </c>
      <c r="C222" s="11"/>
      <c r="D222" s="7">
        <v>17193.2</v>
      </c>
      <c r="E222" s="2"/>
      <c r="F222" s="6">
        <f t="shared" si="89"/>
        <v>2.1266516471450867E-2</v>
      </c>
      <c r="G222" s="2"/>
      <c r="H222" s="7">
        <v>12000</v>
      </c>
      <c r="I222" s="2"/>
      <c r="J222" s="6">
        <f t="shared" si="90"/>
        <v>1.1211139388096012E-2</v>
      </c>
      <c r="K222" s="2"/>
      <c r="L222" s="7">
        <f t="shared" si="91"/>
        <v>5193.2000000000007</v>
      </c>
      <c r="M222" s="2"/>
      <c r="N222" s="6">
        <f t="shared" si="92"/>
        <v>0.43276666666666674</v>
      </c>
      <c r="O222" s="11"/>
      <c r="P222" s="7">
        <v>96713.19</v>
      </c>
      <c r="Q222" s="2"/>
      <c r="R222" s="6">
        <f t="shared" si="93"/>
        <v>9.8563333771572881E-3</v>
      </c>
      <c r="S222" s="2"/>
      <c r="T222" s="7">
        <v>238788</v>
      </c>
      <c r="U222" s="2"/>
      <c r="V222" s="6">
        <f t="shared" si="94"/>
        <v>1.4648173134403435E-2</v>
      </c>
      <c r="W222" s="2"/>
      <c r="X222" s="7">
        <f t="shared" si="95"/>
        <v>-142074.81</v>
      </c>
      <c r="Y222" s="2"/>
      <c r="Z222" s="6">
        <f t="shared" si="96"/>
        <v>-0.594983039348711</v>
      </c>
    </row>
    <row r="223" spans="1:26" s="24" customFormat="1" hidden="1" outlineLevel="2" x14ac:dyDescent="0.25">
      <c r="A223" s="25"/>
      <c r="B223" s="11" t="str">
        <f>CONCATENATE("          ", "6372", " - ", "COMPUTER HARDWARE MAINTENANCE")</f>
        <v xml:space="preserve">          6372 - COMPUTER HARDWARE MAINTENANCE</v>
      </c>
      <c r="C223" s="11"/>
      <c r="D223" s="7"/>
      <c r="E223" s="2"/>
      <c r="F223" s="6">
        <f t="shared" si="89"/>
        <v>0</v>
      </c>
      <c r="G223" s="2"/>
      <c r="H223" s="7">
        <v>1500</v>
      </c>
      <c r="I223" s="2"/>
      <c r="J223" s="6">
        <f t="shared" si="90"/>
        <v>1.4013924235120015E-3</v>
      </c>
      <c r="K223" s="2"/>
      <c r="L223" s="7">
        <f t="shared" si="91"/>
        <v>-1500</v>
      </c>
      <c r="M223" s="2"/>
      <c r="N223" s="6">
        <f t="shared" si="92"/>
        <v>-1</v>
      </c>
      <c r="O223" s="11"/>
      <c r="P223" s="7">
        <v>98.85</v>
      </c>
      <c r="Q223" s="2"/>
      <c r="R223" s="6">
        <f t="shared" si="93"/>
        <v>1.0074102139863216E-5</v>
      </c>
      <c r="S223" s="2"/>
      <c r="T223" s="7">
        <v>20020</v>
      </c>
      <c r="U223" s="2"/>
      <c r="V223" s="6">
        <f t="shared" si="94"/>
        <v>1.2281036993096672E-3</v>
      </c>
      <c r="W223" s="2"/>
      <c r="X223" s="7">
        <f t="shared" si="95"/>
        <v>-19921.150000000001</v>
      </c>
      <c r="Y223" s="2"/>
      <c r="Z223" s="6">
        <f t="shared" si="96"/>
        <v>-0.99506243756243762</v>
      </c>
    </row>
    <row r="224" spans="1:26" s="24" customFormat="1" hidden="1" outlineLevel="2" x14ac:dyDescent="0.25">
      <c r="A224" s="25"/>
      <c r="B224" s="11" t="str">
        <f>CONCATENATE("          ", "6373", " - ", "MAINTENANCE CONTRACTS")</f>
        <v xml:space="preserve">          6373 - MAINTENANCE CONTRACTS</v>
      </c>
      <c r="C224" s="11"/>
      <c r="D224" s="7">
        <v>3198.33</v>
      </c>
      <c r="E224" s="2"/>
      <c r="F224" s="6">
        <f t="shared" si="89"/>
        <v>3.9560603974906038E-3</v>
      </c>
      <c r="G224" s="2"/>
      <c r="H224" s="7">
        <v>10298</v>
      </c>
      <c r="I224" s="2"/>
      <c r="J224" s="6">
        <f t="shared" si="90"/>
        <v>9.6210261182177285E-3</v>
      </c>
      <c r="K224" s="2"/>
      <c r="L224" s="7">
        <f t="shared" si="91"/>
        <v>-7099.67</v>
      </c>
      <c r="M224" s="2"/>
      <c r="N224" s="6">
        <f t="shared" si="92"/>
        <v>-0.68942221790638958</v>
      </c>
      <c r="O224" s="11"/>
      <c r="P224" s="7">
        <v>214972.3</v>
      </c>
      <c r="Q224" s="2"/>
      <c r="R224" s="6">
        <f t="shared" si="93"/>
        <v>2.1908476554793298E-2</v>
      </c>
      <c r="S224" s="2"/>
      <c r="T224" s="7">
        <v>85778</v>
      </c>
      <c r="U224" s="2"/>
      <c r="V224" s="6">
        <f t="shared" si="94"/>
        <v>5.2619520039652659E-3</v>
      </c>
      <c r="W224" s="2"/>
      <c r="X224" s="7">
        <f t="shared" si="95"/>
        <v>129194.29999999999</v>
      </c>
      <c r="Y224" s="2"/>
      <c r="Z224" s="6">
        <f t="shared" si="96"/>
        <v>1.506147263867192</v>
      </c>
    </row>
    <row r="225" spans="1:26" s="24" customFormat="1" hidden="1" outlineLevel="2" x14ac:dyDescent="0.25">
      <c r="A225" s="25"/>
      <c r="B225" s="11" t="str">
        <f>CONCATENATE("          ", "6375", " - ", "OUTSIDE REPAIRS &amp; MAINTENANCE")</f>
        <v xml:space="preserve">          6375 - OUTSIDE REPAIRS &amp; MAINTENANCE</v>
      </c>
      <c r="C225" s="11"/>
      <c r="D225" s="7">
        <v>6415.16</v>
      </c>
      <c r="E225" s="2"/>
      <c r="F225" s="6">
        <f t="shared" si="89"/>
        <v>7.935003711176088E-3</v>
      </c>
      <c r="G225" s="2"/>
      <c r="H225" s="7">
        <v>10125</v>
      </c>
      <c r="I225" s="2"/>
      <c r="J225" s="6">
        <f t="shared" si="90"/>
        <v>9.4593988587060099E-3</v>
      </c>
      <c r="K225" s="2"/>
      <c r="L225" s="7">
        <f t="shared" si="91"/>
        <v>-3709.84</v>
      </c>
      <c r="M225" s="2"/>
      <c r="N225" s="6">
        <f t="shared" si="92"/>
        <v>-0.36640395061728398</v>
      </c>
      <c r="O225" s="11"/>
      <c r="P225" s="7">
        <v>68279.11</v>
      </c>
      <c r="Q225" s="2"/>
      <c r="R225" s="6">
        <f t="shared" si="93"/>
        <v>6.9585303809707229E-3</v>
      </c>
      <c r="S225" s="2"/>
      <c r="T225" s="7">
        <v>121555</v>
      </c>
      <c r="U225" s="2"/>
      <c r="V225" s="6">
        <f t="shared" si="94"/>
        <v>7.4566506078714576E-3</v>
      </c>
      <c r="W225" s="2"/>
      <c r="X225" s="7">
        <f t="shared" si="95"/>
        <v>-53275.89</v>
      </c>
      <c r="Y225" s="2"/>
      <c r="Z225" s="6">
        <f t="shared" si="96"/>
        <v>-0.43828629015671916</v>
      </c>
    </row>
    <row r="226" spans="1:26" s="27" customFormat="1" outlineLevel="1" collapsed="1" x14ac:dyDescent="0.25">
      <c r="A226" s="26"/>
      <c r="B226" s="13" t="str">
        <f>CONCATENATE("     ","Royalty &amp; Commissions                             ")</f>
        <v xml:space="preserve">     Royalty &amp; Commissions                             </v>
      </c>
      <c r="C226" s="13"/>
      <c r="D226" s="1">
        <f>SUM(OSRRefD22_19x_0)</f>
        <v>393.98</v>
      </c>
      <c r="E226" s="1"/>
      <c r="F226" s="5">
        <f t="shared" ref="F226:F230" si="97">IF(D$12=0,0,D226/D$12)</f>
        <v>4.8731953094375755E-4</v>
      </c>
      <c r="G226" s="1"/>
      <c r="H226" s="1">
        <f>SUM(OSRRefH22_19x_0)</f>
        <v>10038</v>
      </c>
      <c r="I226" s="1"/>
      <c r="J226" s="5">
        <f t="shared" ref="J226:J230" si="98">IF(H$12=0,0,H226/H$12)</f>
        <v>9.378118098142315E-3</v>
      </c>
      <c r="K226" s="1"/>
      <c r="L226" s="1">
        <f t="shared" ref="L226:L230" si="99">+D226-H226</f>
        <v>-9644.02</v>
      </c>
      <c r="M226" s="1"/>
      <c r="N226" s="5">
        <f t="shared" ref="N226:N230" si="100">IF(H226=0,0,L226/H226)</f>
        <v>-0.96075114564654318</v>
      </c>
      <c r="O226" s="13"/>
      <c r="P226" s="1">
        <f>SUM(OSRRefP22_19x_0)</f>
        <v>48972.63</v>
      </c>
      <c r="Q226" s="1"/>
      <c r="R226" s="5">
        <f t="shared" ref="R226:R230" si="101">IF(P$12=0,0,P226/P$12)</f>
        <v>4.9909486765577094E-3</v>
      </c>
      <c r="S226" s="1"/>
      <c r="T226" s="1">
        <f>SUM(OSRRefT22_19x_0)</f>
        <v>114551</v>
      </c>
      <c r="U226" s="1"/>
      <c r="V226" s="5">
        <f t="shared" ref="V226:V230" si="102">IF(T$12=0,0,T226/T$12)</f>
        <v>7.0269983446364474E-3</v>
      </c>
      <c r="W226" s="1"/>
      <c r="X226" s="1">
        <f t="shared" ref="X226:X230" si="103">+P226-T226</f>
        <v>-65578.37</v>
      </c>
      <c r="Y226" s="1"/>
      <c r="Z226" s="5">
        <f t="shared" ref="Z226:Z230" si="104">IF(T226=0,0,X226/T226)</f>
        <v>-0.57248186397325207</v>
      </c>
    </row>
    <row r="227" spans="1:26" s="24" customFormat="1" hidden="1" outlineLevel="2" x14ac:dyDescent="0.25">
      <c r="A227" s="25"/>
      <c r="B227" s="11" t="str">
        <f>CONCATENATE("          ", "6252", " - ", "ROYALTY DUE CSTV")</f>
        <v xml:space="preserve">          6252 - ROYALTY DUE CSTV</v>
      </c>
      <c r="C227" s="11"/>
      <c r="D227" s="7"/>
      <c r="E227" s="2"/>
      <c r="F227" s="6">
        <f t="shared" si="97"/>
        <v>0</v>
      </c>
      <c r="G227" s="2"/>
      <c r="H227" s="7">
        <v>1085</v>
      </c>
      <c r="I227" s="2"/>
      <c r="J227" s="6">
        <f t="shared" si="98"/>
        <v>1.0136738530070145E-3</v>
      </c>
      <c r="K227" s="2"/>
      <c r="L227" s="7">
        <f t="shared" si="99"/>
        <v>-1085</v>
      </c>
      <c r="M227" s="2"/>
      <c r="N227" s="6">
        <f t="shared" si="100"/>
        <v>-1</v>
      </c>
      <c r="O227" s="11"/>
      <c r="P227" s="7"/>
      <c r="Q227" s="2"/>
      <c r="R227" s="6">
        <f t="shared" si="101"/>
        <v>0</v>
      </c>
      <c r="S227" s="2"/>
      <c r="T227" s="7">
        <v>11935</v>
      </c>
      <c r="U227" s="2"/>
      <c r="V227" s="6">
        <f t="shared" si="102"/>
        <v>7.3213874381922465E-4</v>
      </c>
      <c r="W227" s="2"/>
      <c r="X227" s="7">
        <f t="shared" si="103"/>
        <v>-11935</v>
      </c>
      <c r="Y227" s="2"/>
      <c r="Z227" s="6">
        <f t="shared" si="104"/>
        <v>-1</v>
      </c>
    </row>
    <row r="228" spans="1:26" s="24" customFormat="1" hidden="1" outlineLevel="2" x14ac:dyDescent="0.25">
      <c r="A228" s="25"/>
      <c r="B228" s="11" t="str">
        <f>CONCATENATE("          ", "6253", " - ", "ROYALTY DUE ATHLETICS-LRG")</f>
        <v xml:space="preserve">          6253 - ROYALTY DUE ATHLETICS-LRG</v>
      </c>
      <c r="C228" s="11"/>
      <c r="D228" s="7"/>
      <c r="E228" s="2"/>
      <c r="F228" s="6">
        <f t="shared" si="97"/>
        <v>0</v>
      </c>
      <c r="G228" s="2"/>
      <c r="H228" s="7">
        <v>4037</v>
      </c>
      <c r="I228" s="2"/>
      <c r="J228" s="6">
        <f t="shared" si="98"/>
        <v>3.7716141424786334E-3</v>
      </c>
      <c r="K228" s="2"/>
      <c r="L228" s="7">
        <f t="shared" si="99"/>
        <v>-4037</v>
      </c>
      <c r="M228" s="2"/>
      <c r="N228" s="6">
        <f t="shared" si="100"/>
        <v>-1</v>
      </c>
      <c r="O228" s="11"/>
      <c r="P228" s="7">
        <v>35159.06</v>
      </c>
      <c r="Q228" s="2"/>
      <c r="R228" s="6">
        <f t="shared" si="101"/>
        <v>3.583166025104494E-3</v>
      </c>
      <c r="S228" s="2"/>
      <c r="T228" s="7">
        <v>44407</v>
      </c>
      <c r="U228" s="2"/>
      <c r="V228" s="6">
        <f t="shared" si="102"/>
        <v>2.7240959528094101E-3</v>
      </c>
      <c r="W228" s="2"/>
      <c r="X228" s="7">
        <f t="shared" si="103"/>
        <v>-9247.9400000000023</v>
      </c>
      <c r="Y228" s="2"/>
      <c r="Z228" s="6">
        <f t="shared" si="104"/>
        <v>-0.20825410408268971</v>
      </c>
    </row>
    <row r="229" spans="1:26" s="24" customFormat="1" hidden="1" outlineLevel="2" x14ac:dyDescent="0.25">
      <c r="A229" s="25"/>
      <c r="B229" s="11" t="str">
        <f>CONCATENATE("          ", "6254", " - ", "ROYALTY &amp; COMMISSIONS")</f>
        <v xml:space="preserve">          6254 - ROYALTY &amp; COMMISSIONS</v>
      </c>
      <c r="C229" s="11"/>
      <c r="D229" s="7"/>
      <c r="E229" s="2"/>
      <c r="F229" s="6">
        <f t="shared" si="97"/>
        <v>0</v>
      </c>
      <c r="G229" s="2"/>
      <c r="H229" s="7">
        <v>1149</v>
      </c>
      <c r="I229" s="2"/>
      <c r="J229" s="6">
        <f t="shared" si="98"/>
        <v>1.0734665964101931E-3</v>
      </c>
      <c r="K229" s="2"/>
      <c r="L229" s="7">
        <f t="shared" si="99"/>
        <v>-1149</v>
      </c>
      <c r="M229" s="2"/>
      <c r="N229" s="6">
        <f t="shared" si="100"/>
        <v>-1</v>
      </c>
      <c r="O229" s="11"/>
      <c r="P229" s="7">
        <v>185.7</v>
      </c>
      <c r="Q229" s="2"/>
      <c r="R229" s="6">
        <f t="shared" si="101"/>
        <v>1.8925248026025285E-5</v>
      </c>
      <c r="S229" s="2"/>
      <c r="T229" s="7">
        <v>12639</v>
      </c>
      <c r="U229" s="2"/>
      <c r="V229" s="6">
        <f t="shared" si="102"/>
        <v>7.7532480797077338E-4</v>
      </c>
      <c r="W229" s="2"/>
      <c r="X229" s="7">
        <f t="shared" si="103"/>
        <v>-12453.3</v>
      </c>
      <c r="Y229" s="2"/>
      <c r="Z229" s="6">
        <f t="shared" si="104"/>
        <v>-0.98530738191312595</v>
      </c>
    </row>
    <row r="230" spans="1:26" s="24" customFormat="1" hidden="1" outlineLevel="2" x14ac:dyDescent="0.25">
      <c r="A230" s="25"/>
      <c r="B230" s="11" t="str">
        <f>CONCATENATE("          ", "6259", " - ", "ROYALTY &amp; COMMISSIONS")</f>
        <v xml:space="preserve">          6259 - ROYALTY &amp; COMMISSIONS</v>
      </c>
      <c r="C230" s="11"/>
      <c r="D230" s="7">
        <v>393.98</v>
      </c>
      <c r="E230" s="2"/>
      <c r="F230" s="6">
        <f t="shared" si="97"/>
        <v>4.8731953094375755E-4</v>
      </c>
      <c r="G230" s="2"/>
      <c r="H230" s="7">
        <v>3767</v>
      </c>
      <c r="I230" s="2"/>
      <c r="J230" s="6">
        <f t="shared" si="98"/>
        <v>3.5193635062464733E-3</v>
      </c>
      <c r="K230" s="2"/>
      <c r="L230" s="7">
        <f t="shared" si="99"/>
        <v>-3373.02</v>
      </c>
      <c r="M230" s="2"/>
      <c r="N230" s="6">
        <f t="shared" si="100"/>
        <v>-0.89541279532784712</v>
      </c>
      <c r="O230" s="11"/>
      <c r="P230" s="7">
        <v>13627.87</v>
      </c>
      <c r="Q230" s="2"/>
      <c r="R230" s="6">
        <f t="shared" si="101"/>
        <v>1.3888574034271902E-3</v>
      </c>
      <c r="S230" s="2"/>
      <c r="T230" s="7">
        <v>45570</v>
      </c>
      <c r="U230" s="2"/>
      <c r="V230" s="6">
        <f t="shared" si="102"/>
        <v>2.7954388400370394E-3</v>
      </c>
      <c r="W230" s="2"/>
      <c r="X230" s="7">
        <f t="shared" si="103"/>
        <v>-31942.129999999997</v>
      </c>
      <c r="Y230" s="2"/>
      <c r="Z230" s="6">
        <f t="shared" si="104"/>
        <v>-0.70094645600175554</v>
      </c>
    </row>
    <row r="231" spans="1:26" s="27" customFormat="1" outlineLevel="1" collapsed="1" x14ac:dyDescent="0.25">
      <c r="A231" s="26"/>
      <c r="B231" s="13" t="str">
        <f>CONCATENATE("     ","Services                                          ")</f>
        <v xml:space="preserve">     Services                                          </v>
      </c>
      <c r="C231" s="13"/>
      <c r="D231" s="1">
        <f>SUM(OSRRefD22_20x_0)</f>
        <v>25692.670000000002</v>
      </c>
      <c r="E231" s="1"/>
      <c r="F231" s="5">
        <f t="shared" ref="F231:F236" si="105">IF(D$12=0,0,D231/D$12)</f>
        <v>3.1779633212581225E-2</v>
      </c>
      <c r="G231" s="1"/>
      <c r="H231" s="1">
        <f>SUM(OSRRefH22_20x_0)</f>
        <v>32339</v>
      </c>
      <c r="I231" s="1"/>
      <c r="J231" s="5">
        <f t="shared" ref="J231:J236" si="106">IF(H$12=0,0,H231/H$12)</f>
        <v>3.0213086389303079E-2</v>
      </c>
      <c r="K231" s="1"/>
      <c r="L231" s="1">
        <f t="shared" ref="L231:L236" si="107">+D231-H231</f>
        <v>-6646.3299999999981</v>
      </c>
      <c r="M231" s="1"/>
      <c r="N231" s="5">
        <f t="shared" ref="N231:N236" si="108">IF(H231=0,0,L231/H231)</f>
        <v>-0.20552057886762107</v>
      </c>
      <c r="O231" s="13"/>
      <c r="P231" s="1">
        <f>SUM(OSRRefP22_20x_0)</f>
        <v>240549.41</v>
      </c>
      <c r="Q231" s="1"/>
      <c r="R231" s="5">
        <f t="shared" ref="R231:R236" si="109">IF(P$12=0,0,P231/P$12)</f>
        <v>2.4515117106968482E-2</v>
      </c>
      <c r="S231" s="1"/>
      <c r="T231" s="1">
        <f>SUM(OSRRefT22_20x_0)</f>
        <v>356374</v>
      </c>
      <c r="U231" s="1"/>
      <c r="V231" s="5">
        <f t="shared" ref="V231:V236" si="110">IF(T$12=0,0,T231/T$12)</f>
        <v>2.1861350036852311E-2</v>
      </c>
      <c r="W231" s="1"/>
      <c r="X231" s="1">
        <f t="shared" ref="X231:X236" si="111">+P231-T231</f>
        <v>-115824.59</v>
      </c>
      <c r="Y231" s="1"/>
      <c r="Z231" s="5">
        <f t="shared" ref="Z231:Z236" si="112">IF(T231=0,0,X231/T231)</f>
        <v>-0.32500853036416799</v>
      </c>
    </row>
    <row r="232" spans="1:26" s="24" customFormat="1" hidden="1" outlineLevel="2" x14ac:dyDescent="0.25">
      <c r="A232" s="25"/>
      <c r="B232" s="11" t="str">
        <f>CONCATENATE("          ", "6282", " - ", "JANITORIAL/EXTERMINATOR EXPENS")</f>
        <v xml:space="preserve">          6282 - JANITORIAL/EXTERMINATOR EXPENS</v>
      </c>
      <c r="C232" s="11"/>
      <c r="D232" s="7">
        <v>2769.65</v>
      </c>
      <c r="E232" s="2"/>
      <c r="F232" s="6">
        <f t="shared" si="105"/>
        <v>3.4258199372515816E-3</v>
      </c>
      <c r="G232" s="2"/>
      <c r="H232" s="7">
        <v>7126</v>
      </c>
      <c r="I232" s="2"/>
      <c r="J232" s="6">
        <f t="shared" si="106"/>
        <v>6.6575482732976823E-3</v>
      </c>
      <c r="K232" s="2"/>
      <c r="L232" s="7">
        <f t="shared" si="107"/>
        <v>-4356.3500000000004</v>
      </c>
      <c r="M232" s="2"/>
      <c r="N232" s="6">
        <f t="shared" si="108"/>
        <v>-0.61133174291327541</v>
      </c>
      <c r="O232" s="11"/>
      <c r="P232" s="7">
        <v>36819.56</v>
      </c>
      <c r="Q232" s="2"/>
      <c r="R232" s="6">
        <f t="shared" si="109"/>
        <v>3.7523925967103905E-3</v>
      </c>
      <c r="S232" s="2"/>
      <c r="T232" s="7">
        <v>76217</v>
      </c>
      <c r="U232" s="2"/>
      <c r="V232" s="6">
        <f t="shared" si="110"/>
        <v>4.6754435389752694E-3</v>
      </c>
      <c r="W232" s="2"/>
      <c r="X232" s="7">
        <f t="shared" si="111"/>
        <v>-39397.440000000002</v>
      </c>
      <c r="Y232" s="2"/>
      <c r="Z232" s="6">
        <f t="shared" si="112"/>
        <v>-0.51691145020139861</v>
      </c>
    </row>
    <row r="233" spans="1:26" s="24" customFormat="1" hidden="1" outlineLevel="2" x14ac:dyDescent="0.25">
      <c r="A233" s="25"/>
      <c r="B233" s="11" t="str">
        <f>CONCATENATE("          ", "6283", " - ", "PLANT SERVICE")</f>
        <v xml:space="preserve">          6283 - PLANT SERVICE</v>
      </c>
      <c r="C233" s="11"/>
      <c r="D233" s="7"/>
      <c r="E233" s="2"/>
      <c r="F233" s="6">
        <f t="shared" si="105"/>
        <v>0</v>
      </c>
      <c r="G233" s="2"/>
      <c r="H233" s="7">
        <v>0</v>
      </c>
      <c r="I233" s="2"/>
      <c r="J233" s="6">
        <f t="shared" si="106"/>
        <v>0</v>
      </c>
      <c r="K233" s="2"/>
      <c r="L233" s="7">
        <f t="shared" si="107"/>
        <v>0</v>
      </c>
      <c r="M233" s="2"/>
      <c r="N233" s="6">
        <f t="shared" si="108"/>
        <v>0</v>
      </c>
      <c r="O233" s="11"/>
      <c r="P233" s="7">
        <v>171.31</v>
      </c>
      <c r="Q233" s="2"/>
      <c r="R233" s="6">
        <f t="shared" si="109"/>
        <v>1.7458719651795324E-5</v>
      </c>
      <c r="S233" s="2"/>
      <c r="T233" s="7">
        <v>310</v>
      </c>
      <c r="U233" s="2"/>
      <c r="V233" s="6">
        <f t="shared" si="110"/>
        <v>1.9016590748551289E-5</v>
      </c>
      <c r="W233" s="2"/>
      <c r="X233" s="7">
        <f t="shared" si="111"/>
        <v>-138.69</v>
      </c>
      <c r="Y233" s="2"/>
      <c r="Z233" s="6">
        <f t="shared" si="112"/>
        <v>-0.44738709677419353</v>
      </c>
    </row>
    <row r="234" spans="1:26" s="24" customFormat="1" hidden="1" outlineLevel="2" x14ac:dyDescent="0.25">
      <c r="A234" s="25"/>
      <c r="B234" s="11" t="str">
        <f>CONCATENATE("          ", "6284", " - ", "TRASH REMOVAL EXPENSE")</f>
        <v xml:space="preserve">          6284 - TRASH REMOVAL EXPENSE</v>
      </c>
      <c r="C234" s="11"/>
      <c r="D234" s="7">
        <v>5561.57</v>
      </c>
      <c r="E234" s="2"/>
      <c r="F234" s="6">
        <f t="shared" si="105"/>
        <v>6.8791859579442442E-3</v>
      </c>
      <c r="G234" s="2"/>
      <c r="H234" s="7">
        <v>3292</v>
      </c>
      <c r="I234" s="2"/>
      <c r="J234" s="6">
        <f t="shared" si="106"/>
        <v>3.075589238801006E-3</v>
      </c>
      <c r="K234" s="2"/>
      <c r="L234" s="7">
        <f t="shared" si="107"/>
        <v>2269.5699999999997</v>
      </c>
      <c r="M234" s="2"/>
      <c r="N234" s="6">
        <f t="shared" si="108"/>
        <v>0.68941980558930738</v>
      </c>
      <c r="O234" s="11"/>
      <c r="P234" s="7">
        <v>34461.040000000001</v>
      </c>
      <c r="Q234" s="2"/>
      <c r="R234" s="6">
        <f t="shared" si="109"/>
        <v>3.512028698087121E-3</v>
      </c>
      <c r="S234" s="2"/>
      <c r="T234" s="7">
        <v>42298</v>
      </c>
      <c r="U234" s="2"/>
      <c r="V234" s="6">
        <f t="shared" si="110"/>
        <v>2.5947217918781368E-3</v>
      </c>
      <c r="W234" s="2"/>
      <c r="X234" s="7">
        <f t="shared" si="111"/>
        <v>-7836.9599999999991</v>
      </c>
      <c r="Y234" s="2"/>
      <c r="Z234" s="6">
        <f t="shared" si="112"/>
        <v>-0.1852796822544801</v>
      </c>
    </row>
    <row r="235" spans="1:26" s="24" customFormat="1" hidden="1" outlineLevel="2" x14ac:dyDescent="0.25">
      <c r="A235" s="25"/>
      <c r="B235" s="11" t="str">
        <f>CONCATENATE("          ", "6285", " - ", "JANITORIAL SERVICES")</f>
        <v xml:space="preserve">          6285 - JANITORIAL SERVICES</v>
      </c>
      <c r="C235" s="11"/>
      <c r="D235" s="7">
        <v>16146.46</v>
      </c>
      <c r="E235" s="2"/>
      <c r="F235" s="6">
        <f t="shared" si="105"/>
        <v>1.9971788704000567E-2</v>
      </c>
      <c r="G235" s="2"/>
      <c r="H235" s="7">
        <v>17317</v>
      </c>
      <c r="I235" s="2"/>
      <c r="J235" s="6">
        <f t="shared" si="106"/>
        <v>1.617860839863822E-2</v>
      </c>
      <c r="K235" s="2"/>
      <c r="L235" s="7">
        <f t="shared" si="107"/>
        <v>-1170.5400000000009</v>
      </c>
      <c r="M235" s="2"/>
      <c r="N235" s="6">
        <f t="shared" si="108"/>
        <v>-6.7594848992319739E-2</v>
      </c>
      <c r="O235" s="11"/>
      <c r="P235" s="7">
        <v>152390.13</v>
      </c>
      <c r="Q235" s="2"/>
      <c r="R235" s="6">
        <f t="shared" si="109"/>
        <v>1.5530538540485927E-2</v>
      </c>
      <c r="S235" s="2"/>
      <c r="T235" s="7">
        <v>186912</v>
      </c>
      <c r="U235" s="2"/>
      <c r="V235" s="6">
        <f t="shared" si="110"/>
        <v>1.1465900032236189E-2</v>
      </c>
      <c r="W235" s="2"/>
      <c r="X235" s="7">
        <f t="shared" si="111"/>
        <v>-34521.869999999995</v>
      </c>
      <c r="Y235" s="2"/>
      <c r="Z235" s="6">
        <f t="shared" si="112"/>
        <v>-0.18469584617360038</v>
      </c>
    </row>
    <row r="236" spans="1:26" s="24" customFormat="1" hidden="1" outlineLevel="2" x14ac:dyDescent="0.25">
      <c r="A236" s="25"/>
      <c r="B236" s="11" t="str">
        <f>CONCATENATE("          ", "6286", " - ", "LAUNDRY EXPENSE")</f>
        <v xml:space="preserve">          6286 - LAUNDRY EXPENSE</v>
      </c>
      <c r="C236" s="11"/>
      <c r="D236" s="7">
        <v>1214.99</v>
      </c>
      <c r="E236" s="2"/>
      <c r="F236" s="6">
        <f t="shared" si="105"/>
        <v>1.5028386133848317E-3</v>
      </c>
      <c r="G236" s="2"/>
      <c r="H236" s="7">
        <v>4604</v>
      </c>
      <c r="I236" s="2"/>
      <c r="J236" s="6">
        <f t="shared" si="106"/>
        <v>4.3013404785661701E-3</v>
      </c>
      <c r="K236" s="2"/>
      <c r="L236" s="7">
        <f t="shared" si="107"/>
        <v>-3389.01</v>
      </c>
      <c r="M236" s="2"/>
      <c r="N236" s="6">
        <f t="shared" si="108"/>
        <v>-0.73610121633362302</v>
      </c>
      <c r="O236" s="11"/>
      <c r="P236" s="7">
        <v>16707.37</v>
      </c>
      <c r="Q236" s="2"/>
      <c r="R236" s="6">
        <f t="shared" si="109"/>
        <v>1.7026985520332473E-3</v>
      </c>
      <c r="S236" s="2"/>
      <c r="T236" s="7">
        <v>50637</v>
      </c>
      <c r="U236" s="2"/>
      <c r="V236" s="6">
        <f t="shared" si="110"/>
        <v>3.1062680830141664E-3</v>
      </c>
      <c r="W236" s="2"/>
      <c r="X236" s="7">
        <f t="shared" si="111"/>
        <v>-33929.630000000005</v>
      </c>
      <c r="Y236" s="2"/>
      <c r="Z236" s="6">
        <f t="shared" si="112"/>
        <v>-0.67005608547109829</v>
      </c>
    </row>
    <row r="237" spans="1:26" s="27" customFormat="1" outlineLevel="1" collapsed="1" x14ac:dyDescent="0.25">
      <c r="A237" s="26"/>
      <c r="B237" s="13" t="str">
        <f>CONCATENATE("     ","Subscriptions &amp; Dues                              ")</f>
        <v xml:space="preserve">     Subscriptions &amp; Dues                              </v>
      </c>
      <c r="C237" s="13"/>
      <c r="D237" s="1">
        <f>SUM(OSRRefD22_21x_0)</f>
        <v>743.39</v>
      </c>
      <c r="E237" s="1"/>
      <c r="F237" s="5">
        <f t="shared" ref="F237:F239" si="113">IF(D$12=0,0,D237/D$12)</f>
        <v>9.1950978757368367E-4</v>
      </c>
      <c r="G237" s="1"/>
      <c r="H237" s="1">
        <f>SUM(OSRRefH22_21x_0)</f>
        <v>1476</v>
      </c>
      <c r="I237" s="1"/>
      <c r="J237" s="5">
        <f t="shared" ref="J237:J239" si="114">IF(H$12=0,0,H237/H$12)</f>
        <v>1.3789701447358095E-3</v>
      </c>
      <c r="K237" s="1"/>
      <c r="L237" s="1">
        <f t="shared" ref="L237:L239" si="115">+D237-H237</f>
        <v>-732.61</v>
      </c>
      <c r="M237" s="1"/>
      <c r="N237" s="5">
        <f t="shared" ref="N237:N239" si="116">IF(H237=0,0,L237/H237)</f>
        <v>-0.49634823848238485</v>
      </c>
      <c r="O237" s="13"/>
      <c r="P237" s="1">
        <f>SUM(OSRRefP22_21x_0)</f>
        <v>9274.5999999999985</v>
      </c>
      <c r="Q237" s="1"/>
      <c r="R237" s="5">
        <f t="shared" ref="R237:R239" si="117">IF(P$12=0,0,P237/P$12)</f>
        <v>9.4520250588138975E-4</v>
      </c>
      <c r="S237" s="1"/>
      <c r="T237" s="1">
        <f>SUM(OSRRefT22_21x_0)</f>
        <v>21162</v>
      </c>
      <c r="U237" s="1"/>
      <c r="V237" s="5">
        <f t="shared" ref="V237:V239" si="118">IF(T$12=0,0,T237/T$12)</f>
        <v>1.2981583658736851E-3</v>
      </c>
      <c r="W237" s="1"/>
      <c r="X237" s="1">
        <f t="shared" ref="X237:X239" si="119">+P237-T237</f>
        <v>-11887.400000000001</v>
      </c>
      <c r="Y237" s="1"/>
      <c r="Z237" s="5">
        <f t="shared" ref="Z237:Z239" si="120">IF(T237=0,0,X237/T237)</f>
        <v>-0.56173329552972318</v>
      </c>
    </row>
    <row r="238" spans="1:26" s="24" customFormat="1" hidden="1" outlineLevel="2" x14ac:dyDescent="0.25">
      <c r="A238" s="25"/>
      <c r="B238" s="11" t="str">
        <f>CONCATENATE("          ", "6258", " - ", "MEMBERSHIP DUES")</f>
        <v xml:space="preserve">          6258 - MEMBERSHIP DUES</v>
      </c>
      <c r="C238" s="11"/>
      <c r="D238" s="7">
        <v>611.22</v>
      </c>
      <c r="E238" s="2"/>
      <c r="F238" s="6">
        <f t="shared" si="113"/>
        <v>7.5602681279111504E-4</v>
      </c>
      <c r="G238" s="2"/>
      <c r="H238" s="7">
        <v>1100</v>
      </c>
      <c r="I238" s="2"/>
      <c r="J238" s="6">
        <f t="shared" si="114"/>
        <v>1.0276877772421344E-3</v>
      </c>
      <c r="K238" s="2"/>
      <c r="L238" s="7">
        <f t="shared" si="115"/>
        <v>-488.78</v>
      </c>
      <c r="M238" s="2"/>
      <c r="N238" s="6">
        <f t="shared" si="116"/>
        <v>-0.44434545454545454</v>
      </c>
      <c r="O238" s="11"/>
      <c r="P238" s="7">
        <v>3841.45</v>
      </c>
      <c r="Q238" s="2"/>
      <c r="R238" s="6">
        <f t="shared" si="117"/>
        <v>3.9149377506502331E-4</v>
      </c>
      <c r="S238" s="2"/>
      <c r="T238" s="7">
        <v>15245</v>
      </c>
      <c r="U238" s="2"/>
      <c r="V238" s="6">
        <f t="shared" si="118"/>
        <v>9.3518685794085287E-4</v>
      </c>
      <c r="W238" s="2"/>
      <c r="X238" s="7">
        <f t="shared" si="119"/>
        <v>-11403.55</v>
      </c>
      <c r="Y238" s="2"/>
      <c r="Z238" s="6">
        <f t="shared" si="120"/>
        <v>-0.74801902263037057</v>
      </c>
    </row>
    <row r="239" spans="1:26" s="24" customFormat="1" hidden="1" outlineLevel="2" x14ac:dyDescent="0.25">
      <c r="A239" s="25"/>
      <c r="B239" s="11" t="str">
        <f>CONCATENATE("          ", "6275", " - ", "SUBSCRIPTIONS")</f>
        <v xml:space="preserve">          6275 - SUBSCRIPTIONS</v>
      </c>
      <c r="C239" s="11"/>
      <c r="D239" s="7">
        <v>132.16999999999999</v>
      </c>
      <c r="E239" s="2"/>
      <c r="F239" s="6">
        <f t="shared" si="113"/>
        <v>1.6348297478256871E-4</v>
      </c>
      <c r="G239" s="2"/>
      <c r="H239" s="7">
        <v>376</v>
      </c>
      <c r="I239" s="2"/>
      <c r="J239" s="6">
        <f t="shared" si="114"/>
        <v>3.5128236749367505E-4</v>
      </c>
      <c r="K239" s="2"/>
      <c r="L239" s="7">
        <f t="shared" si="115"/>
        <v>-243.83</v>
      </c>
      <c r="M239" s="2"/>
      <c r="N239" s="6">
        <f t="shared" si="116"/>
        <v>-0.64848404255319148</v>
      </c>
      <c r="O239" s="11"/>
      <c r="P239" s="7">
        <v>5433.15</v>
      </c>
      <c r="Q239" s="2"/>
      <c r="R239" s="6">
        <f t="shared" si="117"/>
        <v>5.537087308163666E-4</v>
      </c>
      <c r="S239" s="2"/>
      <c r="T239" s="7">
        <v>5917</v>
      </c>
      <c r="U239" s="2"/>
      <c r="V239" s="6">
        <f t="shared" si="118"/>
        <v>3.6297150793283215E-4</v>
      </c>
      <c r="W239" s="2"/>
      <c r="X239" s="7">
        <f t="shared" si="119"/>
        <v>-483.85000000000036</v>
      </c>
      <c r="Y239" s="2"/>
      <c r="Z239" s="6">
        <f t="shared" si="120"/>
        <v>-8.1772857867162471E-2</v>
      </c>
    </row>
    <row r="240" spans="1:26" s="27" customFormat="1" outlineLevel="1" collapsed="1" x14ac:dyDescent="0.25">
      <c r="A240" s="26"/>
      <c r="B240" s="13" t="str">
        <f>CONCATENATE("     ","Supplies                                          ")</f>
        <v xml:space="preserve">     Supplies                                          </v>
      </c>
      <c r="C240" s="13"/>
      <c r="D240" s="1">
        <f>SUM(OSRRefD22_22x_0)</f>
        <v>24464.99</v>
      </c>
      <c r="E240" s="1"/>
      <c r="F240" s="5">
        <f t="shared" ref="F240:F251" si="121">IF(D$12=0,0,D240/D$12)</f>
        <v>3.0261098155601095E-2</v>
      </c>
      <c r="G240" s="1"/>
      <c r="H240" s="1">
        <f>SUM(OSRRefH22_22x_0)</f>
        <v>46935</v>
      </c>
      <c r="I240" s="1"/>
      <c r="J240" s="5">
        <f t="shared" ref="J240:J251" si="122">IF(H$12=0,0,H240/H$12)</f>
        <v>4.3849568931690529E-2</v>
      </c>
      <c r="K240" s="1"/>
      <c r="L240" s="1">
        <f t="shared" ref="L240:L251" si="123">+D240-H240</f>
        <v>-22470.01</v>
      </c>
      <c r="M240" s="1"/>
      <c r="N240" s="5">
        <f t="shared" ref="N240:N251" si="124">IF(H240=0,0,L240/H240)</f>
        <v>-0.47874741664003406</v>
      </c>
      <c r="O240" s="13"/>
      <c r="P240" s="1">
        <f>SUM(OSRRefP22_22x_0)</f>
        <v>298361.87000000005</v>
      </c>
      <c r="Q240" s="1"/>
      <c r="R240" s="5">
        <f t="shared" ref="R240:R251" si="125">IF(P$12=0,0,P240/P$12)</f>
        <v>3.0406959565205782E-2</v>
      </c>
      <c r="S240" s="1"/>
      <c r="T240" s="1">
        <f>SUM(OSRRefT22_22x_0)</f>
        <v>563003</v>
      </c>
      <c r="U240" s="1"/>
      <c r="V240" s="5">
        <f t="shared" ref="V240:V251" si="126">IF(T$12=0,0,T240/T$12)</f>
        <v>3.4536766584537484E-2</v>
      </c>
      <c r="W240" s="1"/>
      <c r="X240" s="1">
        <f t="shared" ref="X240:X251" si="127">+P240-T240</f>
        <v>-264641.12999999995</v>
      </c>
      <c r="Y240" s="1"/>
      <c r="Z240" s="5">
        <f t="shared" ref="Z240:Z251" si="128">IF(T240=0,0,X240/T240)</f>
        <v>-0.47005278835103886</v>
      </c>
    </row>
    <row r="241" spans="1:26" s="24" customFormat="1" hidden="1" outlineLevel="2" x14ac:dyDescent="0.25">
      <c r="A241" s="25"/>
      <c r="B241" s="11" t="str">
        <f>CONCATENATE("          ", "6234", " - ", "EXPENDABLE SUPPLIES &amp; EQUIPMEN")</f>
        <v xml:space="preserve">          6234 - EXPENDABLE SUPPLIES &amp; EQUIPMEN</v>
      </c>
      <c r="C241" s="11"/>
      <c r="D241" s="7"/>
      <c r="E241" s="2"/>
      <c r="F241" s="6">
        <f t="shared" si="121"/>
        <v>0</v>
      </c>
      <c r="G241" s="2"/>
      <c r="H241" s="7">
        <v>7250</v>
      </c>
      <c r="I241" s="2"/>
      <c r="J241" s="6">
        <f t="shared" si="122"/>
        <v>6.7733967136413406E-3</v>
      </c>
      <c r="K241" s="2"/>
      <c r="L241" s="7">
        <f t="shared" si="123"/>
        <v>-7250</v>
      </c>
      <c r="M241" s="2"/>
      <c r="N241" s="6">
        <f t="shared" si="124"/>
        <v>-1</v>
      </c>
      <c r="O241" s="11"/>
      <c r="P241" s="7">
        <v>2387.48</v>
      </c>
      <c r="Q241" s="2"/>
      <c r="R241" s="6">
        <f t="shared" si="125"/>
        <v>2.4331529971553499E-4</v>
      </c>
      <c r="S241" s="2"/>
      <c r="T241" s="7">
        <v>80854</v>
      </c>
      <c r="U241" s="2"/>
      <c r="V241" s="6">
        <f t="shared" si="126"/>
        <v>4.9598949302689221E-3</v>
      </c>
      <c r="W241" s="2"/>
      <c r="X241" s="7">
        <f t="shared" si="127"/>
        <v>-78466.52</v>
      </c>
      <c r="Y241" s="2"/>
      <c r="Z241" s="6">
        <f t="shared" si="128"/>
        <v>-0.97047171444826485</v>
      </c>
    </row>
    <row r="242" spans="1:26" s="24" customFormat="1" hidden="1" outlineLevel="2" x14ac:dyDescent="0.25">
      <c r="A242" s="25"/>
      <c r="B242" s="11" t="str">
        <f>CONCATENATE("          ", "6235", " - ", "COVID-19 EXPENSES")</f>
        <v xml:space="preserve">          6235 - COVID-19 EXPENSES</v>
      </c>
      <c r="C242" s="11"/>
      <c r="D242" s="7">
        <v>5849.47</v>
      </c>
      <c r="E242" s="2"/>
      <c r="F242" s="6">
        <f t="shared" si="121"/>
        <v>7.2352936105121619E-3</v>
      </c>
      <c r="G242" s="2"/>
      <c r="H242" s="7">
        <v>13000</v>
      </c>
      <c r="I242" s="2"/>
      <c r="J242" s="6">
        <f t="shared" si="122"/>
        <v>1.214540100377068E-2</v>
      </c>
      <c r="K242" s="2"/>
      <c r="L242" s="7">
        <f t="shared" si="123"/>
        <v>-7150.53</v>
      </c>
      <c r="M242" s="2"/>
      <c r="N242" s="6">
        <f t="shared" si="124"/>
        <v>-0.55004076923076917</v>
      </c>
      <c r="O242" s="11"/>
      <c r="P242" s="7">
        <v>111232.71</v>
      </c>
      <c r="Q242" s="2"/>
      <c r="R242" s="6">
        <f t="shared" si="125"/>
        <v>1.1336061525885531E-2</v>
      </c>
      <c r="S242" s="2"/>
      <c r="T242" s="7">
        <v>197100</v>
      </c>
      <c r="U242" s="2"/>
      <c r="V242" s="6">
        <f t="shared" si="126"/>
        <v>1.2090871085611158E-2</v>
      </c>
      <c r="W242" s="2"/>
      <c r="X242" s="7">
        <f t="shared" si="127"/>
        <v>-85867.29</v>
      </c>
      <c r="Y242" s="2"/>
      <c r="Z242" s="6">
        <f t="shared" si="128"/>
        <v>-0.43565342465753421</v>
      </c>
    </row>
    <row r="243" spans="1:26" s="24" customFormat="1" hidden="1" outlineLevel="2" x14ac:dyDescent="0.25">
      <c r="A243" s="25"/>
      <c r="B243" s="11" t="str">
        <f>CONCATENATE("          ", "6237", " - ", "JANITORIAL SUPPLIES")</f>
        <v xml:space="preserve">          6237 - JANITORIAL SUPPLIES</v>
      </c>
      <c r="C243" s="11"/>
      <c r="D243" s="7">
        <v>1785.74</v>
      </c>
      <c r="E243" s="2"/>
      <c r="F243" s="6">
        <f t="shared" si="121"/>
        <v>2.2088075008566566E-3</v>
      </c>
      <c r="G243" s="2"/>
      <c r="H243" s="7">
        <v>9870</v>
      </c>
      <c r="I243" s="2"/>
      <c r="J243" s="6">
        <f t="shared" si="122"/>
        <v>9.2211621467089694E-3</v>
      </c>
      <c r="K243" s="2"/>
      <c r="L243" s="7">
        <f t="shared" si="123"/>
        <v>-8084.26</v>
      </c>
      <c r="M243" s="2"/>
      <c r="N243" s="6">
        <f t="shared" si="124"/>
        <v>-0.81907396149949341</v>
      </c>
      <c r="O243" s="11"/>
      <c r="P243" s="7">
        <v>27693.49</v>
      </c>
      <c r="Q243" s="2"/>
      <c r="R243" s="6">
        <f t="shared" si="125"/>
        <v>2.8223272318591867E-3</v>
      </c>
      <c r="S243" s="2"/>
      <c r="T243" s="7">
        <v>109123</v>
      </c>
      <c r="U243" s="2"/>
      <c r="V243" s="6">
        <f t="shared" si="126"/>
        <v>6.6940239750134262E-3</v>
      </c>
      <c r="W243" s="2"/>
      <c r="X243" s="7">
        <f t="shared" si="127"/>
        <v>-81429.509999999995</v>
      </c>
      <c r="Y243" s="2"/>
      <c r="Z243" s="6">
        <f t="shared" si="128"/>
        <v>-0.74621766263757405</v>
      </c>
    </row>
    <row r="244" spans="1:26" s="24" customFormat="1" hidden="1" outlineLevel="2" x14ac:dyDescent="0.25">
      <c r="A244" s="25"/>
      <c r="B244" s="11" t="str">
        <f>CONCATENATE("          ", "6239", " - ", "KITCHEN SUPPLIES")</f>
        <v xml:space="preserve">          6239 - KITCHEN SUPPLIES</v>
      </c>
      <c r="C244" s="11"/>
      <c r="D244" s="7">
        <v>618.89</v>
      </c>
      <c r="E244" s="2"/>
      <c r="F244" s="6">
        <f t="shared" si="121"/>
        <v>7.6551394615407403E-4</v>
      </c>
      <c r="G244" s="2"/>
      <c r="H244" s="7">
        <v>2350</v>
      </c>
      <c r="I244" s="2"/>
      <c r="J244" s="6">
        <f t="shared" si="122"/>
        <v>2.1955147968354691E-3</v>
      </c>
      <c r="K244" s="2"/>
      <c r="L244" s="7">
        <f t="shared" si="123"/>
        <v>-1731.1100000000001</v>
      </c>
      <c r="M244" s="2"/>
      <c r="N244" s="6">
        <f t="shared" si="124"/>
        <v>-0.73664255319148941</v>
      </c>
      <c r="O244" s="11"/>
      <c r="P244" s="7">
        <v>7886.1</v>
      </c>
      <c r="Q244" s="2"/>
      <c r="R244" s="6">
        <f t="shared" si="125"/>
        <v>8.0369627602605283E-4</v>
      </c>
      <c r="S244" s="2"/>
      <c r="T244" s="7">
        <v>24993</v>
      </c>
      <c r="U244" s="2"/>
      <c r="V244" s="6">
        <f t="shared" si="126"/>
        <v>1.5331666212211044E-3</v>
      </c>
      <c r="W244" s="2"/>
      <c r="X244" s="7">
        <f t="shared" si="127"/>
        <v>-17106.900000000001</v>
      </c>
      <c r="Y244" s="2"/>
      <c r="Z244" s="6">
        <f t="shared" si="128"/>
        <v>-0.68446765094226392</v>
      </c>
    </row>
    <row r="245" spans="1:26" s="24" customFormat="1" hidden="1" outlineLevel="2" x14ac:dyDescent="0.25">
      <c r="A245" s="25"/>
      <c r="B245" s="11" t="str">
        <f>CONCATENATE("          ", "6241", " - ", "OFFICE EXPENSE")</f>
        <v xml:space="preserve">          6241 - OFFICE EXPENSE</v>
      </c>
      <c r="C245" s="11"/>
      <c r="D245" s="7">
        <v>6122.59</v>
      </c>
      <c r="E245" s="2"/>
      <c r="F245" s="6">
        <f t="shared" si="121"/>
        <v>7.5731196684119513E-3</v>
      </c>
      <c r="G245" s="2"/>
      <c r="H245" s="7">
        <v>1560</v>
      </c>
      <c r="I245" s="2"/>
      <c r="J245" s="6">
        <f t="shared" si="122"/>
        <v>1.4574481204524816E-3</v>
      </c>
      <c r="K245" s="2"/>
      <c r="L245" s="7">
        <f t="shared" si="123"/>
        <v>4562.59</v>
      </c>
      <c r="M245" s="2"/>
      <c r="N245" s="6">
        <f t="shared" si="124"/>
        <v>2.9247371794871797</v>
      </c>
      <c r="O245" s="11"/>
      <c r="P245" s="7">
        <v>42551.19</v>
      </c>
      <c r="Q245" s="2"/>
      <c r="R245" s="6">
        <f t="shared" si="125"/>
        <v>4.3365203260771505E-3</v>
      </c>
      <c r="S245" s="2"/>
      <c r="T245" s="7">
        <v>23572</v>
      </c>
      <c r="U245" s="2"/>
      <c r="V245" s="6">
        <f t="shared" si="126"/>
        <v>1.4459970229833902E-3</v>
      </c>
      <c r="W245" s="2"/>
      <c r="X245" s="7">
        <f t="shared" si="127"/>
        <v>18979.190000000002</v>
      </c>
      <c r="Y245" s="2"/>
      <c r="Z245" s="6">
        <f t="shared" si="128"/>
        <v>0.80515823858815549</v>
      </c>
    </row>
    <row r="246" spans="1:26" s="24" customFormat="1" hidden="1" outlineLevel="2" x14ac:dyDescent="0.25">
      <c r="A246" s="25"/>
      <c r="B246" s="11" t="str">
        <f>CONCATENATE("          ", "6243", " - ", "PAPER SUPPLIES")</f>
        <v xml:space="preserve">          6243 - PAPER SUPPLIES</v>
      </c>
      <c r="C246" s="11"/>
      <c r="D246" s="7">
        <v>3342.95</v>
      </c>
      <c r="E246" s="2"/>
      <c r="F246" s="6">
        <f t="shared" si="121"/>
        <v>4.1349429564151328E-3</v>
      </c>
      <c r="G246" s="2"/>
      <c r="H246" s="7">
        <v>6235</v>
      </c>
      <c r="I246" s="2"/>
      <c r="J246" s="6">
        <f t="shared" si="122"/>
        <v>5.8251211737315534E-3</v>
      </c>
      <c r="K246" s="2"/>
      <c r="L246" s="7">
        <f t="shared" si="123"/>
        <v>-2892.05</v>
      </c>
      <c r="M246" s="2"/>
      <c r="N246" s="6">
        <f t="shared" si="124"/>
        <v>-0.46384121892542102</v>
      </c>
      <c r="O246" s="11"/>
      <c r="P246" s="7">
        <v>45656.78</v>
      </c>
      <c r="Q246" s="2"/>
      <c r="R246" s="6">
        <f t="shared" si="125"/>
        <v>4.6530203854047965E-3</v>
      </c>
      <c r="S246" s="2"/>
      <c r="T246" s="7">
        <v>40276</v>
      </c>
      <c r="U246" s="2"/>
      <c r="V246" s="6">
        <f t="shared" si="126"/>
        <v>2.4706845451246827E-3</v>
      </c>
      <c r="W246" s="2"/>
      <c r="X246" s="7">
        <f t="shared" si="127"/>
        <v>5380.7799999999988</v>
      </c>
      <c r="Y246" s="2"/>
      <c r="Z246" s="6">
        <f t="shared" si="128"/>
        <v>0.13359767603535602</v>
      </c>
    </row>
    <row r="247" spans="1:26" s="24" customFormat="1" hidden="1" outlineLevel="2" x14ac:dyDescent="0.25">
      <c r="A247" s="25"/>
      <c r="B247" s="11" t="str">
        <f>CONCATENATE("          ", "6244", " - ", "SAFETY SUPPLY EXPENSE")</f>
        <v xml:space="preserve">          6244 - SAFETY SUPPLY EXPENSE</v>
      </c>
      <c r="C247" s="11"/>
      <c r="D247" s="7"/>
      <c r="E247" s="2"/>
      <c r="F247" s="6">
        <f t="shared" si="121"/>
        <v>0</v>
      </c>
      <c r="G247" s="2"/>
      <c r="H247" s="7">
        <v>100</v>
      </c>
      <c r="I247" s="2"/>
      <c r="J247" s="6">
        <f t="shared" si="122"/>
        <v>9.3426161567466772E-5</v>
      </c>
      <c r="K247" s="2"/>
      <c r="L247" s="7">
        <f t="shared" si="123"/>
        <v>-100</v>
      </c>
      <c r="M247" s="2"/>
      <c r="N247" s="6">
        <f t="shared" si="124"/>
        <v>-1</v>
      </c>
      <c r="O247" s="11"/>
      <c r="P247" s="7"/>
      <c r="Q247" s="2"/>
      <c r="R247" s="6">
        <f t="shared" si="125"/>
        <v>0</v>
      </c>
      <c r="S247" s="2"/>
      <c r="T247" s="7">
        <v>1580</v>
      </c>
      <c r="U247" s="2"/>
      <c r="V247" s="6">
        <f t="shared" si="126"/>
        <v>9.6923268976487208E-5</v>
      </c>
      <c r="W247" s="2"/>
      <c r="X247" s="7">
        <f t="shared" si="127"/>
        <v>-1580</v>
      </c>
      <c r="Y247" s="2"/>
      <c r="Z247" s="6">
        <f t="shared" si="128"/>
        <v>-1</v>
      </c>
    </row>
    <row r="248" spans="1:26" s="24" customFormat="1" hidden="1" outlineLevel="2" x14ac:dyDescent="0.25">
      <c r="A248" s="25"/>
      <c r="B248" s="11" t="str">
        <f>CONCATENATE("          ", "6245", " - ", "PRINTING")</f>
        <v xml:space="preserve">          6245 - PRINTING</v>
      </c>
      <c r="C248" s="11"/>
      <c r="D248" s="7">
        <v>5963.79</v>
      </c>
      <c r="E248" s="2"/>
      <c r="F248" s="6">
        <f t="shared" si="121"/>
        <v>7.3766976634526416E-3</v>
      </c>
      <c r="G248" s="2"/>
      <c r="H248" s="7">
        <v>900</v>
      </c>
      <c r="I248" s="2"/>
      <c r="J248" s="6">
        <f t="shared" si="122"/>
        <v>8.4083545410720091E-4</v>
      </c>
      <c r="K248" s="2"/>
      <c r="L248" s="7">
        <f t="shared" si="123"/>
        <v>5063.79</v>
      </c>
      <c r="M248" s="2"/>
      <c r="N248" s="6">
        <f t="shared" si="124"/>
        <v>5.626433333333333</v>
      </c>
      <c r="O248" s="11"/>
      <c r="P248" s="7">
        <v>9084.3799999999992</v>
      </c>
      <c r="Q248" s="2"/>
      <c r="R248" s="6">
        <f t="shared" si="125"/>
        <v>9.258166109998038E-4</v>
      </c>
      <c r="S248" s="2"/>
      <c r="T248" s="7">
        <v>8000</v>
      </c>
      <c r="U248" s="2"/>
      <c r="V248" s="6">
        <f t="shared" si="126"/>
        <v>4.9075072899487193E-4</v>
      </c>
      <c r="W248" s="2"/>
      <c r="X248" s="7">
        <f t="shared" si="127"/>
        <v>1084.3799999999992</v>
      </c>
      <c r="Y248" s="2"/>
      <c r="Z248" s="6">
        <f t="shared" si="128"/>
        <v>0.1355474999999999</v>
      </c>
    </row>
    <row r="249" spans="1:26" s="24" customFormat="1" hidden="1" outlineLevel="2" x14ac:dyDescent="0.25">
      <c r="A249" s="25"/>
      <c r="B249" s="11" t="str">
        <f>CONCATENATE("          ", "6246", " - ", "REPLACEMENTS")</f>
        <v xml:space="preserve">          6246 - REPLACEMENTS</v>
      </c>
      <c r="C249" s="11"/>
      <c r="D249" s="7"/>
      <c r="E249" s="2"/>
      <c r="F249" s="6">
        <f t="shared" si="121"/>
        <v>0</v>
      </c>
      <c r="G249" s="2"/>
      <c r="H249" s="7">
        <v>0</v>
      </c>
      <c r="I249" s="2"/>
      <c r="J249" s="6">
        <f t="shared" si="122"/>
        <v>0</v>
      </c>
      <c r="K249" s="2"/>
      <c r="L249" s="7">
        <f t="shared" si="123"/>
        <v>0</v>
      </c>
      <c r="M249" s="2"/>
      <c r="N249" s="6">
        <f t="shared" si="124"/>
        <v>0</v>
      </c>
      <c r="O249" s="11"/>
      <c r="P249" s="7"/>
      <c r="Q249" s="2"/>
      <c r="R249" s="6">
        <f t="shared" si="125"/>
        <v>0</v>
      </c>
      <c r="S249" s="2"/>
      <c r="T249" s="7">
        <v>0</v>
      </c>
      <c r="U249" s="2"/>
      <c r="V249" s="6">
        <f t="shared" si="126"/>
        <v>0</v>
      </c>
      <c r="W249" s="2"/>
      <c r="X249" s="7">
        <f t="shared" si="127"/>
        <v>0</v>
      </c>
      <c r="Y249" s="2"/>
      <c r="Z249" s="6">
        <f t="shared" si="128"/>
        <v>0</v>
      </c>
    </row>
    <row r="250" spans="1:26" s="24" customFormat="1" hidden="1" outlineLevel="2" x14ac:dyDescent="0.25">
      <c r="A250" s="25"/>
      <c r="B250" s="11" t="str">
        <f>CONCATENATE("          ", "6247", " - ", "STORE SUPPLIES")</f>
        <v xml:space="preserve">          6247 - STORE SUPPLIES</v>
      </c>
      <c r="C250" s="11"/>
      <c r="D250" s="7">
        <v>781.56</v>
      </c>
      <c r="E250" s="2"/>
      <c r="F250" s="6">
        <f t="shared" si="121"/>
        <v>9.6672280979847485E-4</v>
      </c>
      <c r="G250" s="2"/>
      <c r="H250" s="7">
        <v>3670</v>
      </c>
      <c r="I250" s="2"/>
      <c r="J250" s="6">
        <f t="shared" si="122"/>
        <v>3.4287401295260305E-3</v>
      </c>
      <c r="K250" s="2"/>
      <c r="L250" s="7">
        <f t="shared" si="123"/>
        <v>-2888.44</v>
      </c>
      <c r="M250" s="2"/>
      <c r="N250" s="6">
        <f t="shared" si="124"/>
        <v>-0.78704087193460492</v>
      </c>
      <c r="O250" s="11"/>
      <c r="P250" s="7">
        <v>47369.15</v>
      </c>
      <c r="Q250" s="2"/>
      <c r="R250" s="6">
        <f t="shared" si="125"/>
        <v>4.8275331854173162E-3</v>
      </c>
      <c r="S250" s="2"/>
      <c r="T250" s="7">
        <v>49240</v>
      </c>
      <c r="U250" s="2"/>
      <c r="V250" s="6">
        <f t="shared" si="126"/>
        <v>3.0205707369634371E-3</v>
      </c>
      <c r="W250" s="2"/>
      <c r="X250" s="7">
        <f t="shared" si="127"/>
        <v>-1870.8499999999985</v>
      </c>
      <c r="Y250" s="2"/>
      <c r="Z250" s="6">
        <f t="shared" si="128"/>
        <v>-3.7994516653127509E-2</v>
      </c>
    </row>
    <row r="251" spans="1:26" s="24" customFormat="1" hidden="1" outlineLevel="2" x14ac:dyDescent="0.25">
      <c r="A251" s="25"/>
      <c r="B251" s="11" t="str">
        <f>CONCATENATE("          ", "6248", " - ", "UNIFORMS")</f>
        <v xml:space="preserve">          6248 - UNIFORMS</v>
      </c>
      <c r="C251" s="11"/>
      <c r="D251" s="7"/>
      <c r="E251" s="2"/>
      <c r="F251" s="6">
        <f t="shared" si="121"/>
        <v>0</v>
      </c>
      <c r="G251" s="2"/>
      <c r="H251" s="7">
        <v>2000</v>
      </c>
      <c r="I251" s="2"/>
      <c r="J251" s="6">
        <f t="shared" si="122"/>
        <v>1.8685232313493353E-3</v>
      </c>
      <c r="K251" s="2"/>
      <c r="L251" s="7">
        <f t="shared" si="123"/>
        <v>-2000</v>
      </c>
      <c r="M251" s="2"/>
      <c r="N251" s="6">
        <f t="shared" si="124"/>
        <v>-1</v>
      </c>
      <c r="O251" s="11"/>
      <c r="P251" s="7">
        <v>4500.59</v>
      </c>
      <c r="Q251" s="2"/>
      <c r="R251" s="6">
        <f t="shared" si="125"/>
        <v>4.5866872382040462E-4</v>
      </c>
      <c r="S251" s="2"/>
      <c r="T251" s="7">
        <v>28265</v>
      </c>
      <c r="U251" s="2"/>
      <c r="V251" s="6">
        <f t="shared" si="126"/>
        <v>1.733883669380007E-3</v>
      </c>
      <c r="W251" s="2"/>
      <c r="X251" s="7">
        <f t="shared" si="127"/>
        <v>-23764.41</v>
      </c>
      <c r="Y251" s="2"/>
      <c r="Z251" s="6">
        <f t="shared" si="128"/>
        <v>-0.8407716256854767</v>
      </c>
    </row>
    <row r="252" spans="1:26" s="27" customFormat="1" outlineLevel="1" collapsed="1" x14ac:dyDescent="0.25">
      <c r="A252" s="26"/>
      <c r="B252" s="13" t="str">
        <f>CONCATENATE("     ","Telephone/Data Lines                              ")</f>
        <v xml:space="preserve">     Telephone/Data Lines                              </v>
      </c>
      <c r="C252" s="13"/>
      <c r="D252" s="1">
        <f>SUM(OSRRefD22_23x_0)</f>
        <v>3381.15</v>
      </c>
      <c r="E252" s="1"/>
      <c r="F252" s="5">
        <f t="shared" ref="F252:F254" si="129">IF(D$12=0,0,D252/D$12)</f>
        <v>4.1821930860715915E-3</v>
      </c>
      <c r="G252" s="1"/>
      <c r="H252" s="1">
        <f>SUM(OSRRefH22_23x_0)</f>
        <v>4440</v>
      </c>
      <c r="I252" s="1"/>
      <c r="J252" s="5">
        <f t="shared" ref="J252:J254" si="130">IF(H$12=0,0,H252/H$12)</f>
        <v>4.1481215735955246E-3</v>
      </c>
      <c r="K252" s="1"/>
      <c r="L252" s="1">
        <f t="shared" ref="L252:L254" si="131">+D252-H252</f>
        <v>-1058.8499999999999</v>
      </c>
      <c r="M252" s="1"/>
      <c r="N252" s="5">
        <f t="shared" ref="N252:N254" si="132">IF(H252=0,0,L252/H252)</f>
        <v>-0.23847972972972972</v>
      </c>
      <c r="O252" s="13"/>
      <c r="P252" s="1">
        <f>SUM(OSRRefP22_23x_0)</f>
        <v>44028.78</v>
      </c>
      <c r="Q252" s="1"/>
      <c r="R252" s="5">
        <f t="shared" ref="R252:R254" si="133">IF(P$12=0,0,P252/P$12)</f>
        <v>4.4871059869860067E-3</v>
      </c>
      <c r="S252" s="1"/>
      <c r="T252" s="1">
        <f>SUM(OSRRefT22_23x_0)</f>
        <v>52837</v>
      </c>
      <c r="U252" s="1"/>
      <c r="V252" s="5">
        <f t="shared" ref="V252:V254" si="134">IF(T$12=0,0,T252/T$12)</f>
        <v>3.2412245334877562E-3</v>
      </c>
      <c r="W252" s="1"/>
      <c r="X252" s="1">
        <f t="shared" ref="X252:X254" si="135">+P252-T252</f>
        <v>-8808.2200000000012</v>
      </c>
      <c r="Y252" s="1"/>
      <c r="Z252" s="5">
        <f t="shared" ref="Z252:Z254" si="136">IF(T252=0,0,X252/T252)</f>
        <v>-0.16670552832295552</v>
      </c>
    </row>
    <row r="253" spans="1:26" s="24" customFormat="1" hidden="1" outlineLevel="2" x14ac:dyDescent="0.25">
      <c r="A253" s="25"/>
      <c r="B253" s="11" t="str">
        <f>CONCATENATE("          ", "6303", " - ", "DATA PHONE LINES")</f>
        <v xml:space="preserve">          6303 - DATA PHONE LINES</v>
      </c>
      <c r="C253" s="11"/>
      <c r="D253" s="7"/>
      <c r="E253" s="2"/>
      <c r="F253" s="6">
        <f t="shared" si="129"/>
        <v>0</v>
      </c>
      <c r="G253" s="2"/>
      <c r="H253" s="7">
        <v>1500</v>
      </c>
      <c r="I253" s="2"/>
      <c r="J253" s="6">
        <f t="shared" si="130"/>
        <v>1.4013924235120015E-3</v>
      </c>
      <c r="K253" s="2"/>
      <c r="L253" s="7">
        <f t="shared" si="131"/>
        <v>-1500</v>
      </c>
      <c r="M253" s="2"/>
      <c r="N253" s="6">
        <f t="shared" si="132"/>
        <v>-1</v>
      </c>
      <c r="O253" s="11"/>
      <c r="P253" s="7">
        <v>3540</v>
      </c>
      <c r="Q253" s="2"/>
      <c r="R253" s="6">
        <f t="shared" si="133"/>
        <v>3.6077209484183901E-4</v>
      </c>
      <c r="S253" s="2"/>
      <c r="T253" s="7">
        <v>16537</v>
      </c>
      <c r="U253" s="2"/>
      <c r="V253" s="6">
        <f t="shared" si="134"/>
        <v>1.0144431006735247E-3</v>
      </c>
      <c r="W253" s="2"/>
      <c r="X253" s="7">
        <f t="shared" si="135"/>
        <v>-12997</v>
      </c>
      <c r="Y253" s="2"/>
      <c r="Z253" s="6">
        <f t="shared" si="136"/>
        <v>-0.78593457096208497</v>
      </c>
    </row>
    <row r="254" spans="1:26" s="24" customFormat="1" hidden="1" outlineLevel="2" x14ac:dyDescent="0.25">
      <c r="A254" s="25"/>
      <c r="B254" s="11" t="str">
        <f>CONCATENATE("          ", "6309", " - ", "TELEPHONE")</f>
        <v xml:space="preserve">          6309 - TELEPHONE</v>
      </c>
      <c r="C254" s="11"/>
      <c r="D254" s="7">
        <v>3381.15</v>
      </c>
      <c r="E254" s="2"/>
      <c r="F254" s="6">
        <f t="shared" si="129"/>
        <v>4.1821930860715915E-3</v>
      </c>
      <c r="G254" s="2"/>
      <c r="H254" s="7">
        <v>2940</v>
      </c>
      <c r="I254" s="2"/>
      <c r="J254" s="6">
        <f t="shared" si="130"/>
        <v>2.7467291500835231E-3</v>
      </c>
      <c r="K254" s="2"/>
      <c r="L254" s="7">
        <f t="shared" si="131"/>
        <v>441.15000000000009</v>
      </c>
      <c r="M254" s="2"/>
      <c r="N254" s="6">
        <f t="shared" si="132"/>
        <v>0.15005102040816329</v>
      </c>
      <c r="O254" s="11"/>
      <c r="P254" s="7">
        <v>40488.78</v>
      </c>
      <c r="Q254" s="2"/>
      <c r="R254" s="6">
        <f t="shared" si="133"/>
        <v>4.1263338921441678E-3</v>
      </c>
      <c r="S254" s="2"/>
      <c r="T254" s="7">
        <v>36300</v>
      </c>
      <c r="U254" s="2"/>
      <c r="V254" s="6">
        <f t="shared" si="134"/>
        <v>2.2267814328142317E-3</v>
      </c>
      <c r="W254" s="2"/>
      <c r="X254" s="7">
        <f t="shared" si="135"/>
        <v>4188.7799999999988</v>
      </c>
      <c r="Y254" s="2"/>
      <c r="Z254" s="6">
        <f t="shared" si="136"/>
        <v>0.11539338842975204</v>
      </c>
    </row>
    <row r="255" spans="1:26" s="27" customFormat="1" outlineLevel="1" collapsed="1" x14ac:dyDescent="0.25">
      <c r="A255" s="26"/>
      <c r="B255" s="13" t="str">
        <f>CONCATENATE("     ","Training                                          ")</f>
        <v xml:space="preserve">     Training                                          </v>
      </c>
      <c r="C255" s="13"/>
      <c r="D255" s="1">
        <f>SUM(OSRRefD22_24x_0)</f>
        <v>0</v>
      </c>
      <c r="E255" s="1"/>
      <c r="F255" s="5">
        <f t="shared" ref="F255:F260" si="137">IF(D$12=0,0,D255/D$12)</f>
        <v>0</v>
      </c>
      <c r="G255" s="1"/>
      <c r="H255" s="1">
        <f>SUM(OSRRefH22_24x_0)</f>
        <v>750</v>
      </c>
      <c r="I255" s="1"/>
      <c r="J255" s="5">
        <f t="shared" ref="J255:J260" si="138">IF(H$12=0,0,H255/H$12)</f>
        <v>7.0069621175600076E-4</v>
      </c>
      <c r="K255" s="1"/>
      <c r="L255" s="1">
        <f t="shared" ref="L255:L260" si="139">+D255-H255</f>
        <v>-750</v>
      </c>
      <c r="M255" s="1"/>
      <c r="N255" s="5">
        <f t="shared" ref="N255:N260" si="140">IF(H255=0,0,L255/H255)</f>
        <v>-1</v>
      </c>
      <c r="O255" s="13"/>
      <c r="P255" s="1">
        <f>SUM(OSRRefP22_24x_0)</f>
        <v>2181.86</v>
      </c>
      <c r="Q255" s="1"/>
      <c r="R255" s="5">
        <f t="shared" ref="R255:R260" si="141">IF(P$12=0,0,P255/P$12)</f>
        <v>2.2235994430836581E-4</v>
      </c>
      <c r="S255" s="1"/>
      <c r="T255" s="1">
        <f>SUM(OSRRefT22_24x_0)</f>
        <v>28610</v>
      </c>
      <c r="U255" s="1"/>
      <c r="V255" s="5">
        <f t="shared" ref="V255:V260" si="142">IF(T$12=0,0,T255/T$12)</f>
        <v>1.7550472945679109E-3</v>
      </c>
      <c r="W255" s="1"/>
      <c r="X255" s="1">
        <f t="shared" ref="X255:X260" si="143">+P255-T255</f>
        <v>-26428.14</v>
      </c>
      <c r="Y255" s="1"/>
      <c r="Z255" s="5">
        <f t="shared" ref="Z255:Z260" si="144">IF(T255=0,0,X255/T255)</f>
        <v>-0.92373785389723873</v>
      </c>
    </row>
    <row r="256" spans="1:26" s="24" customFormat="1" hidden="1" outlineLevel="2" x14ac:dyDescent="0.25">
      <c r="A256" s="25"/>
      <c r="B256" s="11" t="str">
        <f>CONCATENATE("          ", "6376", " - ", "TRAINING")</f>
        <v xml:space="preserve">          6376 - TRAINING</v>
      </c>
      <c r="C256" s="11"/>
      <c r="D256" s="7"/>
      <c r="E256" s="2"/>
      <c r="F256" s="6">
        <f t="shared" si="137"/>
        <v>0</v>
      </c>
      <c r="G256" s="2"/>
      <c r="H256" s="7">
        <v>750</v>
      </c>
      <c r="I256" s="2"/>
      <c r="J256" s="6">
        <f t="shared" si="138"/>
        <v>7.0069621175600076E-4</v>
      </c>
      <c r="K256" s="2"/>
      <c r="L256" s="7">
        <f t="shared" si="139"/>
        <v>-750</v>
      </c>
      <c r="M256" s="2"/>
      <c r="N256" s="6">
        <f t="shared" si="140"/>
        <v>-1</v>
      </c>
      <c r="O256" s="11"/>
      <c r="P256" s="7">
        <v>2181.86</v>
      </c>
      <c r="Q256" s="2"/>
      <c r="R256" s="6">
        <f t="shared" si="141"/>
        <v>2.2235994430836581E-4</v>
      </c>
      <c r="S256" s="2"/>
      <c r="T256" s="7">
        <v>28610</v>
      </c>
      <c r="U256" s="2"/>
      <c r="V256" s="6">
        <f t="shared" si="142"/>
        <v>1.7550472945679109E-3</v>
      </c>
      <c r="W256" s="2"/>
      <c r="X256" s="7">
        <f t="shared" si="143"/>
        <v>-26428.14</v>
      </c>
      <c r="Y256" s="2"/>
      <c r="Z256" s="6">
        <f t="shared" si="144"/>
        <v>-0.92373785389723873</v>
      </c>
    </row>
    <row r="257" spans="1:26" s="27" customFormat="1" outlineLevel="1" collapsed="1" x14ac:dyDescent="0.25">
      <c r="A257" s="26"/>
      <c r="B257" s="13" t="str">
        <f>CONCATENATE("     ","Travel                                            ")</f>
        <v xml:space="preserve">     Travel                                            </v>
      </c>
      <c r="C257" s="13"/>
      <c r="D257" s="1">
        <f>SUM(OSRRefD22_25x_0)</f>
        <v>0</v>
      </c>
      <c r="E257" s="1"/>
      <c r="F257" s="5">
        <f t="shared" si="137"/>
        <v>0</v>
      </c>
      <c r="G257" s="1"/>
      <c r="H257" s="1">
        <f>SUM(OSRRefH22_25x_0)</f>
        <v>350</v>
      </c>
      <c r="I257" s="1"/>
      <c r="J257" s="5">
        <f t="shared" si="138"/>
        <v>3.2699156548613367E-4</v>
      </c>
      <c r="K257" s="1"/>
      <c r="L257" s="1">
        <f t="shared" si="139"/>
        <v>-350</v>
      </c>
      <c r="M257" s="1"/>
      <c r="N257" s="5">
        <f t="shared" si="140"/>
        <v>-1</v>
      </c>
      <c r="O257" s="13"/>
      <c r="P257" s="1">
        <f>SUM(OSRRefP22_25x_0)</f>
        <v>1464.9099999999999</v>
      </c>
      <c r="Q257" s="1"/>
      <c r="R257" s="5">
        <f t="shared" si="141"/>
        <v>1.4929340380077919E-4</v>
      </c>
      <c r="S257" s="1"/>
      <c r="T257" s="1">
        <f>SUM(OSRRefT22_25x_0)</f>
        <v>5550</v>
      </c>
      <c r="U257" s="1"/>
      <c r="V257" s="5">
        <f t="shared" si="142"/>
        <v>3.4045831824019242E-4</v>
      </c>
      <c r="W257" s="1"/>
      <c r="X257" s="1">
        <f t="shared" si="143"/>
        <v>-4085.09</v>
      </c>
      <c r="Y257" s="1"/>
      <c r="Z257" s="5">
        <f t="shared" si="144"/>
        <v>-0.73605225225225224</v>
      </c>
    </row>
    <row r="258" spans="1:26" s="24" customFormat="1" hidden="1" outlineLevel="2" x14ac:dyDescent="0.25">
      <c r="A258" s="25"/>
      <c r="B258" s="11" t="str">
        <f>CONCATENATE("          ", "6292", " - ", "TRAVEL/CONFERENCE")</f>
        <v xml:space="preserve">          6292 - TRAVEL/CONFERENCE</v>
      </c>
      <c r="C258" s="11"/>
      <c r="D258" s="7"/>
      <c r="E258" s="2"/>
      <c r="F258" s="6">
        <f t="shared" si="137"/>
        <v>0</v>
      </c>
      <c r="G258" s="2"/>
      <c r="H258" s="7">
        <v>300</v>
      </c>
      <c r="I258" s="2"/>
      <c r="J258" s="6">
        <f t="shared" si="138"/>
        <v>2.802784847024003E-4</v>
      </c>
      <c r="K258" s="2"/>
      <c r="L258" s="7">
        <f t="shared" si="139"/>
        <v>-300</v>
      </c>
      <c r="M258" s="2"/>
      <c r="N258" s="6">
        <f t="shared" si="140"/>
        <v>-1</v>
      </c>
      <c r="O258" s="11"/>
      <c r="P258" s="7">
        <v>299.16000000000003</v>
      </c>
      <c r="Q258" s="2"/>
      <c r="R258" s="6">
        <f t="shared" si="141"/>
        <v>3.0488299404769654E-5</v>
      </c>
      <c r="S258" s="2"/>
      <c r="T258" s="7">
        <v>4800</v>
      </c>
      <c r="U258" s="2"/>
      <c r="V258" s="6">
        <f t="shared" si="142"/>
        <v>2.9445043739692318E-4</v>
      </c>
      <c r="W258" s="2"/>
      <c r="X258" s="7">
        <f t="shared" si="143"/>
        <v>-4500.84</v>
      </c>
      <c r="Y258" s="2"/>
      <c r="Z258" s="6">
        <f t="shared" si="144"/>
        <v>-0.93767500000000004</v>
      </c>
    </row>
    <row r="259" spans="1:26" s="24" customFormat="1" hidden="1" outlineLevel="2" x14ac:dyDescent="0.25">
      <c r="A259" s="25"/>
      <c r="B259" s="11" t="str">
        <f>CONCATENATE("          ", "6294", " - ", "TRAVEL OPERATIONAL")</f>
        <v xml:space="preserve">          6294 - TRAVEL OPERATIONAL</v>
      </c>
      <c r="C259" s="11"/>
      <c r="D259" s="7"/>
      <c r="E259" s="2"/>
      <c r="F259" s="6">
        <f t="shared" si="137"/>
        <v>0</v>
      </c>
      <c r="G259" s="2"/>
      <c r="H259" s="7">
        <v>25</v>
      </c>
      <c r="I259" s="2"/>
      <c r="J259" s="6">
        <f t="shared" si="138"/>
        <v>2.3356540391866693E-5</v>
      </c>
      <c r="K259" s="2"/>
      <c r="L259" s="7">
        <f t="shared" si="139"/>
        <v>-25</v>
      </c>
      <c r="M259" s="2"/>
      <c r="N259" s="6">
        <f t="shared" si="140"/>
        <v>-1</v>
      </c>
      <c r="O259" s="11"/>
      <c r="P259" s="7">
        <v>773.65</v>
      </c>
      <c r="Q259" s="2"/>
      <c r="R259" s="6">
        <f t="shared" si="141"/>
        <v>7.8845008806324507E-5</v>
      </c>
      <c r="S259" s="2"/>
      <c r="T259" s="7">
        <v>275</v>
      </c>
      <c r="U259" s="2"/>
      <c r="V259" s="6">
        <f t="shared" si="142"/>
        <v>1.6869556309198723E-5</v>
      </c>
      <c r="W259" s="2"/>
      <c r="X259" s="7">
        <f t="shared" si="143"/>
        <v>498.65</v>
      </c>
      <c r="Y259" s="2"/>
      <c r="Z259" s="6">
        <f t="shared" si="144"/>
        <v>1.8132727272727271</v>
      </c>
    </row>
    <row r="260" spans="1:26" s="24" customFormat="1" hidden="1" outlineLevel="2" x14ac:dyDescent="0.25">
      <c r="A260" s="25"/>
      <c r="B260" s="11" t="str">
        <f>CONCATENATE("          ", "6298", " - ", "VEHICLE MILEAGE")</f>
        <v xml:space="preserve">          6298 - VEHICLE MILEAGE</v>
      </c>
      <c r="C260" s="11"/>
      <c r="D260" s="7"/>
      <c r="E260" s="2"/>
      <c r="F260" s="6">
        <f t="shared" si="137"/>
        <v>0</v>
      </c>
      <c r="G260" s="2"/>
      <c r="H260" s="7">
        <v>25</v>
      </c>
      <c r="I260" s="2"/>
      <c r="J260" s="6">
        <f t="shared" si="138"/>
        <v>2.3356540391866693E-5</v>
      </c>
      <c r="K260" s="2"/>
      <c r="L260" s="7">
        <f t="shared" si="139"/>
        <v>-25</v>
      </c>
      <c r="M260" s="2"/>
      <c r="N260" s="6">
        <f t="shared" si="140"/>
        <v>-1</v>
      </c>
      <c r="O260" s="11"/>
      <c r="P260" s="7">
        <v>392.1</v>
      </c>
      <c r="Q260" s="2"/>
      <c r="R260" s="6">
        <f t="shared" si="141"/>
        <v>3.9960095589685056E-5</v>
      </c>
      <c r="S260" s="2"/>
      <c r="T260" s="7">
        <v>475</v>
      </c>
      <c r="U260" s="2"/>
      <c r="V260" s="6">
        <f t="shared" si="142"/>
        <v>2.9138324534070524E-5</v>
      </c>
      <c r="W260" s="2"/>
      <c r="X260" s="7">
        <f t="shared" si="143"/>
        <v>-82.899999999999977</v>
      </c>
      <c r="Y260" s="2"/>
      <c r="Z260" s="6">
        <f t="shared" si="144"/>
        <v>-0.17452631578947364</v>
      </c>
    </row>
    <row r="261" spans="1:26" s="27" customFormat="1" outlineLevel="1" collapsed="1" x14ac:dyDescent="0.25">
      <c r="A261" s="26"/>
      <c r="B261" s="13" t="str">
        <f>CONCATENATE("     ","Utilities                                         ")</f>
        <v xml:space="preserve">     Utilities                                         </v>
      </c>
      <c r="C261" s="13"/>
      <c r="D261" s="1">
        <f>SUM(OSRRefD22_26x_0)</f>
        <v>10946.9</v>
      </c>
      <c r="E261" s="1"/>
      <c r="F261" s="5">
        <f t="shared" ref="F261:F262" si="145">IF(D$12=0,0,D261/D$12)</f>
        <v>1.3540378123986545E-2</v>
      </c>
      <c r="G261" s="1"/>
      <c r="H261" s="1">
        <f>SUM(OSRRefH22_26x_0)</f>
        <v>10255</v>
      </c>
      <c r="I261" s="1"/>
      <c r="J261" s="5">
        <f t="shared" ref="J261:J262" si="146">IF(H$12=0,0,H261/H$12)</f>
        <v>9.5808528687437167E-3</v>
      </c>
      <c r="K261" s="1"/>
      <c r="L261" s="1">
        <f t="shared" ref="L261:L262" si="147">+D261-H261</f>
        <v>691.89999999999964</v>
      </c>
      <c r="M261" s="1"/>
      <c r="N261" s="5">
        <f t="shared" ref="N261:N262" si="148">IF(H261=0,0,L261/H261)</f>
        <v>6.746952705997071E-2</v>
      </c>
      <c r="O261" s="13"/>
      <c r="P261" s="1">
        <f>SUM(OSRRefP22_26x_0)</f>
        <v>77598.45</v>
      </c>
      <c r="Q261" s="1"/>
      <c r="R261" s="5">
        <f t="shared" ref="R261:R262" si="149">IF(P$12=0,0,P261/P$12)</f>
        <v>7.9082924754179957E-3</v>
      </c>
      <c r="S261" s="1"/>
      <c r="T261" s="1">
        <f>SUM(OSRRefT22_26x_0)</f>
        <v>116079</v>
      </c>
      <c r="U261" s="1"/>
      <c r="V261" s="5">
        <f t="shared" ref="V261:V262" si="150">IF(T$12=0,0,T261/T$12)</f>
        <v>7.1207317338744681E-3</v>
      </c>
      <c r="W261" s="1"/>
      <c r="X261" s="1">
        <f t="shared" ref="X261:X262" si="151">+P261-T261</f>
        <v>-38480.550000000003</v>
      </c>
      <c r="Y261" s="1"/>
      <c r="Z261" s="5">
        <f t="shared" ref="Z261:Z262" si="152">IF(T261=0,0,X261/T261)</f>
        <v>-0.33150311425839302</v>
      </c>
    </row>
    <row r="262" spans="1:26" s="24" customFormat="1" hidden="1" outlineLevel="2" x14ac:dyDescent="0.25">
      <c r="A262" s="25"/>
      <c r="B262" s="11" t="str">
        <f>CONCATENATE("          ", "6274", " - ", "UTILITIES")</f>
        <v xml:space="preserve">          6274 - UTILITIES</v>
      </c>
      <c r="C262" s="11"/>
      <c r="D262" s="7">
        <v>10946.9</v>
      </c>
      <c r="E262" s="2"/>
      <c r="F262" s="6">
        <f t="shared" si="145"/>
        <v>1.3540378123986545E-2</v>
      </c>
      <c r="G262" s="2"/>
      <c r="H262" s="7">
        <v>10255</v>
      </c>
      <c r="I262" s="2"/>
      <c r="J262" s="6">
        <f t="shared" si="146"/>
        <v>9.5808528687437167E-3</v>
      </c>
      <c r="K262" s="2"/>
      <c r="L262" s="7">
        <f t="shared" si="147"/>
        <v>691.89999999999964</v>
      </c>
      <c r="M262" s="2"/>
      <c r="N262" s="6">
        <f t="shared" si="148"/>
        <v>6.746952705997071E-2</v>
      </c>
      <c r="O262" s="11"/>
      <c r="P262" s="7">
        <v>77598.45</v>
      </c>
      <c r="Q262" s="2"/>
      <c r="R262" s="6">
        <f t="shared" si="149"/>
        <v>7.9082924754179957E-3</v>
      </c>
      <c r="S262" s="2"/>
      <c r="T262" s="7">
        <v>116079</v>
      </c>
      <c r="U262" s="2"/>
      <c r="V262" s="6">
        <f t="shared" si="150"/>
        <v>7.1207317338744681E-3</v>
      </c>
      <c r="W262" s="2"/>
      <c r="X262" s="7">
        <f t="shared" si="151"/>
        <v>-38480.550000000003</v>
      </c>
      <c r="Y262" s="2"/>
      <c r="Z262" s="6">
        <f t="shared" si="152"/>
        <v>-0.33150311425839302</v>
      </c>
    </row>
    <row r="263" spans="1:26" s="56" customFormat="1" x14ac:dyDescent="0.25">
      <c r="A263" s="36"/>
      <c r="B263" s="36"/>
      <c r="C263" s="36"/>
      <c r="D263" s="1"/>
      <c r="E263" s="1"/>
      <c r="F263" s="5"/>
      <c r="G263" s="1"/>
      <c r="H263" s="1"/>
      <c r="I263" s="1"/>
      <c r="J263" s="5"/>
      <c r="K263" s="1"/>
      <c r="L263" s="1"/>
      <c r="M263" s="1"/>
      <c r="N263" s="5"/>
      <c r="O263" s="36"/>
      <c r="P263" s="1"/>
      <c r="Q263" s="1"/>
      <c r="R263" s="5"/>
      <c r="S263" s="1"/>
      <c r="T263" s="1"/>
      <c r="U263" s="1"/>
      <c r="V263" s="5"/>
      <c r="W263" s="1"/>
      <c r="X263" s="1"/>
      <c r="Y263" s="1"/>
      <c r="Z263" s="5"/>
    </row>
    <row r="264" spans="1:26" s="23" customFormat="1" collapsed="1" x14ac:dyDescent="0.25">
      <c r="A264" s="10"/>
      <c r="B264" s="29" t="s">
        <v>293</v>
      </c>
      <c r="C264" s="10"/>
      <c r="D264" s="4">
        <f>SUM(OSRRefD25x_0)</f>
        <v>60774.670000000006</v>
      </c>
      <c r="E264" s="4"/>
      <c r="F264" s="12">
        <f t="shared" ref="F264:F272" si="153">IF(D$12=0,0,D264/D$12)</f>
        <v>7.5173063804410509E-2</v>
      </c>
      <c r="G264" s="4"/>
      <c r="H264" s="4">
        <f>SUM(OSRRefH25x_0)</f>
        <v>58717</v>
      </c>
      <c r="I264" s="4"/>
      <c r="J264" s="12">
        <f t="shared" ref="J264:J272" si="154">IF(H$12=0,0,H264/H$12)</f>
        <v>5.4857039287569465E-2</v>
      </c>
      <c r="K264" s="4"/>
      <c r="L264" s="4">
        <f t="shared" ref="L264:L272" si="155">+D264-H264</f>
        <v>2057.6700000000055</v>
      </c>
      <c r="M264" s="4"/>
      <c r="N264" s="12">
        <f t="shared" ref="N264:N272" si="156">IF(H264=0,0,L264/H264)</f>
        <v>3.5043854420355361E-2</v>
      </c>
      <c r="O264" s="10"/>
      <c r="P264" s="4">
        <f>SUM(OSRRefP25x_0)</f>
        <v>1082109.6199999999</v>
      </c>
      <c r="Q264" s="4"/>
      <c r="R264" s="12">
        <f t="shared" ref="R264:R272" si="157">IF(P$12=0,0,P264/P$12)</f>
        <v>0.11028106058076451</v>
      </c>
      <c r="S264" s="4"/>
      <c r="T264" s="4">
        <f>SUM(OSRRefT25x_0)</f>
        <v>1040071</v>
      </c>
      <c r="U264" s="4"/>
      <c r="V264" s="12">
        <f t="shared" ref="V264:V272" si="158">IF(T$12=0,0,T264/T$12)</f>
        <v>6.3801950182053188E-2</v>
      </c>
      <c r="W264" s="4"/>
      <c r="X264" s="4">
        <f t="shared" ref="X264:X272" si="159">+P264-T264</f>
        <v>42038.619999999879</v>
      </c>
      <c r="Y264" s="4"/>
      <c r="Z264" s="12">
        <f t="shared" ref="Z264:Z272" si="160">IF(T264=0,0,X264/T264)</f>
        <v>4.0418990626601335E-2</v>
      </c>
    </row>
    <row r="265" spans="1:26" s="24" customFormat="1" hidden="1" outlineLevel="1" x14ac:dyDescent="0.25">
      <c r="A265" s="44"/>
      <c r="B265" s="11" t="str">
        <f>CONCATENATE("          ", "4098", " - ", "TAXABLE SALES-GRAD RENTALS")</f>
        <v xml:space="preserve">          4098 - TAXABLE SALES-GRAD RENTALS</v>
      </c>
      <c r="C265" s="11"/>
      <c r="D265" s="2">
        <f>0</f>
        <v>0</v>
      </c>
      <c r="E265" s="2"/>
      <c r="F265" s="19">
        <f t="shared" si="153"/>
        <v>0</v>
      </c>
      <c r="G265" s="2"/>
      <c r="H265" s="2"/>
      <c r="I265" s="2"/>
      <c r="J265" s="19">
        <f t="shared" si="154"/>
        <v>0</v>
      </c>
      <c r="K265" s="2"/>
      <c r="L265" s="2">
        <f t="shared" si="155"/>
        <v>0</v>
      </c>
      <c r="M265" s="2"/>
      <c r="N265" s="19">
        <f t="shared" si="156"/>
        <v>0</v>
      </c>
      <c r="O265" s="11"/>
      <c r="P265" s="2">
        <f>--49.95</f>
        <v>49.95</v>
      </c>
      <c r="Q265" s="2"/>
      <c r="R265" s="19">
        <f t="shared" si="157"/>
        <v>5.0905554060310338E-6</v>
      </c>
      <c r="S265" s="2"/>
      <c r="T265" s="2"/>
      <c r="U265" s="2"/>
      <c r="V265" s="19">
        <f t="shared" si="158"/>
        <v>0</v>
      </c>
      <c r="W265" s="2"/>
      <c r="X265" s="2">
        <f t="shared" si="159"/>
        <v>49.95</v>
      </c>
      <c r="Y265" s="2"/>
      <c r="Z265" s="19">
        <f t="shared" si="160"/>
        <v>0</v>
      </c>
    </row>
    <row r="266" spans="1:26" s="24" customFormat="1" hidden="1" outlineLevel="1" x14ac:dyDescent="0.25">
      <c r="A266" s="44"/>
      <c r="B266" s="11" t="str">
        <f>CONCATENATE("          ", "4187", " - ", "NON-TAXABLE SALES-COMPUTER REP")</f>
        <v xml:space="preserve">          4187 - NON-TAXABLE SALES-COMPUTER REP</v>
      </c>
      <c r="C266" s="11"/>
      <c r="D266" s="2">
        <f>--264.48</f>
        <v>264.48</v>
      </c>
      <c r="E266" s="2"/>
      <c r="F266" s="19">
        <f t="shared" si="153"/>
        <v>3.2713911757958523E-4</v>
      </c>
      <c r="G266" s="2"/>
      <c r="H266" s="2"/>
      <c r="I266" s="2"/>
      <c r="J266" s="19">
        <f t="shared" si="154"/>
        <v>0</v>
      </c>
      <c r="K266" s="2"/>
      <c r="L266" s="2">
        <f t="shared" si="155"/>
        <v>264.48</v>
      </c>
      <c r="M266" s="2"/>
      <c r="N266" s="19">
        <f t="shared" si="156"/>
        <v>0</v>
      </c>
      <c r="O266" s="11"/>
      <c r="P266" s="2">
        <f>--3580.44</f>
        <v>3580.44</v>
      </c>
      <c r="Q266" s="2"/>
      <c r="R266" s="19">
        <f t="shared" si="157"/>
        <v>3.6489345741681192E-4</v>
      </c>
      <c r="S266" s="2"/>
      <c r="T266" s="2"/>
      <c r="U266" s="2"/>
      <c r="V266" s="19">
        <f t="shared" si="158"/>
        <v>0</v>
      </c>
      <c r="W266" s="2"/>
      <c r="X266" s="2">
        <f t="shared" si="159"/>
        <v>3580.44</v>
      </c>
      <c r="Y266" s="2"/>
      <c r="Z266" s="19">
        <f t="shared" si="160"/>
        <v>0</v>
      </c>
    </row>
    <row r="267" spans="1:26" s="24" customFormat="1" hidden="1" outlineLevel="1" x14ac:dyDescent="0.25">
      <c r="A267" s="44"/>
      <c r="B267" s="11" t="str">
        <f>CONCATENATE("          ", "9150", " - ", "MISC. INCOME")</f>
        <v xml:space="preserve">          9150 - MISC. INCOME</v>
      </c>
      <c r="C267" s="11"/>
      <c r="D267" s="2">
        <f>--57179.3</f>
        <v>57179.3</v>
      </c>
      <c r="E267" s="2"/>
      <c r="F267" s="19">
        <f t="shared" si="153"/>
        <v>7.0725898917946076E-2</v>
      </c>
      <c r="G267" s="2"/>
      <c r="H267" s="2">
        <v>31536</v>
      </c>
      <c r="I267" s="2"/>
      <c r="J267" s="19">
        <f t="shared" si="154"/>
        <v>2.9462874311916319E-2</v>
      </c>
      <c r="K267" s="2"/>
      <c r="L267" s="2">
        <f t="shared" si="155"/>
        <v>25643.300000000003</v>
      </c>
      <c r="M267" s="2"/>
      <c r="N267" s="19">
        <f t="shared" si="156"/>
        <v>0.81314370877727049</v>
      </c>
      <c r="O267" s="11"/>
      <c r="P267" s="2">
        <f>--411720.9</f>
        <v>411720.9</v>
      </c>
      <c r="Q267" s="2"/>
      <c r="R267" s="19">
        <f t="shared" si="157"/>
        <v>4.1959720786205461E-2</v>
      </c>
      <c r="S267" s="2"/>
      <c r="T267" s="2">
        <v>301737</v>
      </c>
      <c r="U267" s="2"/>
      <c r="V267" s="19">
        <f t="shared" si="158"/>
        <v>1.8509706589340709E-2</v>
      </c>
      <c r="W267" s="2"/>
      <c r="X267" s="2">
        <f t="shared" si="159"/>
        <v>109983.90000000002</v>
      </c>
      <c r="Y267" s="2"/>
      <c r="Z267" s="19">
        <f t="shared" si="160"/>
        <v>0.36450253034927776</v>
      </c>
    </row>
    <row r="268" spans="1:26" s="24" customFormat="1" hidden="1" outlineLevel="1" x14ac:dyDescent="0.25">
      <c r="A268" s="44"/>
      <c r="B268" s="11" t="str">
        <f>CONCATENATE("          ", "9151", " - ", "MISC. INCOME")</f>
        <v xml:space="preserve">          9151 - MISC. INCOME</v>
      </c>
      <c r="C268" s="11"/>
      <c r="D268" s="2">
        <f>0</f>
        <v>0</v>
      </c>
      <c r="E268" s="2"/>
      <c r="F268" s="19">
        <f t="shared" si="153"/>
        <v>0</v>
      </c>
      <c r="G268" s="2"/>
      <c r="H268" s="2">
        <v>21502</v>
      </c>
      <c r="I268" s="2"/>
      <c r="J268" s="19">
        <f t="shared" si="154"/>
        <v>2.0088493260236706E-2</v>
      </c>
      <c r="K268" s="2"/>
      <c r="L268" s="2">
        <f t="shared" si="155"/>
        <v>-21502</v>
      </c>
      <c r="M268" s="2"/>
      <c r="N268" s="19">
        <f t="shared" si="156"/>
        <v>-1</v>
      </c>
      <c r="O268" s="11"/>
      <c r="P268" s="2">
        <f>--295628.46</f>
        <v>295628.46000000002</v>
      </c>
      <c r="Q268" s="2"/>
      <c r="R268" s="19">
        <f t="shared" si="157"/>
        <v>3.0128389494086673E-2</v>
      </c>
      <c r="S268" s="2"/>
      <c r="T268" s="2">
        <v>721840</v>
      </c>
      <c r="U268" s="2"/>
      <c r="V268" s="19">
        <f t="shared" si="158"/>
        <v>4.4280438277207297E-2</v>
      </c>
      <c r="W268" s="2"/>
      <c r="X268" s="2">
        <f t="shared" si="159"/>
        <v>-426211.54</v>
      </c>
      <c r="Y268" s="2"/>
      <c r="Z268" s="19">
        <f t="shared" si="160"/>
        <v>-0.59045154050759163</v>
      </c>
    </row>
    <row r="269" spans="1:26" s="24" customFormat="1" hidden="1" outlineLevel="1" x14ac:dyDescent="0.25">
      <c r="A269" s="44"/>
      <c r="B269" s="11" t="str">
        <f>CONCATENATE("          ", "9152", " - ", "MISC. INCOME")</f>
        <v xml:space="preserve">          9152 - MISC. INCOME</v>
      </c>
      <c r="C269" s="11"/>
      <c r="D269" s="2">
        <f>--1436.07</f>
        <v>1436.07</v>
      </c>
      <c r="E269" s="2"/>
      <c r="F269" s="19">
        <f t="shared" si="153"/>
        <v>1.7762956464856131E-3</v>
      </c>
      <c r="G269" s="2"/>
      <c r="H269" s="2"/>
      <c r="I269" s="2"/>
      <c r="J269" s="19">
        <f t="shared" si="154"/>
        <v>0</v>
      </c>
      <c r="K269" s="2"/>
      <c r="L269" s="2">
        <f t="shared" si="155"/>
        <v>1436.07</v>
      </c>
      <c r="M269" s="2"/>
      <c r="N269" s="19">
        <f t="shared" si="156"/>
        <v>0</v>
      </c>
      <c r="O269" s="11"/>
      <c r="P269" s="2">
        <f>--5652.57</f>
        <v>5652.57</v>
      </c>
      <c r="Q269" s="2"/>
      <c r="R269" s="19">
        <f t="shared" si="157"/>
        <v>5.7607048591529209E-4</v>
      </c>
      <c r="S269" s="2"/>
      <c r="T269" s="2"/>
      <c r="U269" s="2"/>
      <c r="V269" s="19">
        <f t="shared" si="158"/>
        <v>0</v>
      </c>
      <c r="W269" s="2"/>
      <c r="X269" s="2">
        <f t="shared" si="159"/>
        <v>5652.57</v>
      </c>
      <c r="Y269" s="2"/>
      <c r="Z269" s="19">
        <f t="shared" si="160"/>
        <v>0</v>
      </c>
    </row>
    <row r="270" spans="1:26" s="24" customFormat="1" hidden="1" outlineLevel="1" x14ac:dyDescent="0.25">
      <c r="A270" s="44"/>
      <c r="B270" s="11" t="str">
        <f>CONCATENATE("          ", "9160", " - ", "MISC. INCOME")</f>
        <v xml:space="preserve">          9160 - MISC. INCOME</v>
      </c>
      <c r="C270" s="11"/>
      <c r="D270" s="2">
        <f>0</f>
        <v>0</v>
      </c>
      <c r="E270" s="2"/>
      <c r="F270" s="19">
        <f t="shared" si="153"/>
        <v>0</v>
      </c>
      <c r="G270" s="2"/>
      <c r="H270" s="2">
        <v>5679</v>
      </c>
      <c r="I270" s="2"/>
      <c r="J270" s="19">
        <f t="shared" si="154"/>
        <v>5.3056717154164375E-3</v>
      </c>
      <c r="K270" s="2"/>
      <c r="L270" s="2">
        <f t="shared" si="155"/>
        <v>-5679</v>
      </c>
      <c r="M270" s="2"/>
      <c r="N270" s="19">
        <f t="shared" si="156"/>
        <v>-1</v>
      </c>
      <c r="O270" s="11"/>
      <c r="P270" s="2">
        <f>--13615.06</f>
        <v>13615.06</v>
      </c>
      <c r="Q270" s="2"/>
      <c r="R270" s="19">
        <f t="shared" si="157"/>
        <v>1.387551897626364E-3</v>
      </c>
      <c r="S270" s="2"/>
      <c r="T270" s="2">
        <v>16494</v>
      </c>
      <c r="U270" s="2"/>
      <c r="V270" s="19">
        <f t="shared" si="158"/>
        <v>1.0118053155051773E-3</v>
      </c>
      <c r="W270" s="2"/>
      <c r="X270" s="2">
        <f t="shared" si="159"/>
        <v>-2878.9400000000005</v>
      </c>
      <c r="Y270" s="2"/>
      <c r="Z270" s="19">
        <f t="shared" si="160"/>
        <v>-0.17454468291499942</v>
      </c>
    </row>
    <row r="271" spans="1:26" s="24" customFormat="1" hidden="1" outlineLevel="1" x14ac:dyDescent="0.25">
      <c r="A271" s="44"/>
      <c r="B271" s="11" t="str">
        <f>CONCATENATE("          ", "9163", " - ", "MISC. INCOME")</f>
        <v xml:space="preserve">          9163 - MISC. INCOME</v>
      </c>
      <c r="C271" s="11"/>
      <c r="D271" s="2">
        <f>--1862</f>
        <v>1862</v>
      </c>
      <c r="E271" s="2"/>
      <c r="F271" s="19">
        <f t="shared" si="153"/>
        <v>2.3031345921551258E-3</v>
      </c>
      <c r="G271" s="2"/>
      <c r="H271" s="2"/>
      <c r="I271" s="2"/>
      <c r="J271" s="19">
        <f t="shared" si="154"/>
        <v>0</v>
      </c>
      <c r="K271" s="2"/>
      <c r="L271" s="2">
        <f t="shared" si="155"/>
        <v>1862</v>
      </c>
      <c r="M271" s="2"/>
      <c r="N271" s="19">
        <f t="shared" si="156"/>
        <v>0</v>
      </c>
      <c r="O271" s="11"/>
      <c r="P271" s="2">
        <f>--348340.56</f>
        <v>348340.56</v>
      </c>
      <c r="Q271" s="2"/>
      <c r="R271" s="19">
        <f t="shared" si="157"/>
        <v>3.5500438855813367E-2</v>
      </c>
      <c r="S271" s="2"/>
      <c r="T271" s="2"/>
      <c r="U271" s="2"/>
      <c r="V271" s="19">
        <f t="shared" si="158"/>
        <v>0</v>
      </c>
      <c r="W271" s="2"/>
      <c r="X271" s="2">
        <f t="shared" si="159"/>
        <v>348340.56</v>
      </c>
      <c r="Y271" s="2"/>
      <c r="Z271" s="19">
        <f t="shared" si="160"/>
        <v>0</v>
      </c>
    </row>
    <row r="272" spans="1:26" s="24" customFormat="1" hidden="1" outlineLevel="1" x14ac:dyDescent="0.25">
      <c r="A272" s="44"/>
      <c r="B272" s="11" t="str">
        <f>CONCATENATE("          ", "9165", " - ", "OTHER INCOME")</f>
        <v xml:space="preserve">          9165 - OTHER INCOME</v>
      </c>
      <c r="C272" s="11"/>
      <c r="D272" s="2">
        <f>--32.82</f>
        <v>32.82</v>
      </c>
      <c r="E272" s="2"/>
      <c r="F272" s="19">
        <f t="shared" si="153"/>
        <v>4.0595530244109146E-5</v>
      </c>
      <c r="G272" s="2"/>
      <c r="H272" s="2"/>
      <c r="I272" s="2"/>
      <c r="J272" s="19">
        <f t="shared" si="154"/>
        <v>0</v>
      </c>
      <c r="K272" s="2"/>
      <c r="L272" s="2">
        <f t="shared" si="155"/>
        <v>32.82</v>
      </c>
      <c r="M272" s="2"/>
      <c r="N272" s="19">
        <f t="shared" si="156"/>
        <v>0</v>
      </c>
      <c r="O272" s="11"/>
      <c r="P272" s="2">
        <f>--3521.68</f>
        <v>3521.68</v>
      </c>
      <c r="Q272" s="2"/>
      <c r="R272" s="19">
        <f t="shared" si="157"/>
        <v>3.5890504829452194E-4</v>
      </c>
      <c r="S272" s="2"/>
      <c r="T272" s="2"/>
      <c r="U272" s="2"/>
      <c r="V272" s="19">
        <f t="shared" si="158"/>
        <v>0</v>
      </c>
      <c r="W272" s="2"/>
      <c r="X272" s="2">
        <f t="shared" si="159"/>
        <v>3521.68</v>
      </c>
      <c r="Y272" s="2"/>
      <c r="Z272" s="19">
        <f t="shared" si="160"/>
        <v>0</v>
      </c>
    </row>
    <row r="273" spans="1:26" x14ac:dyDescent="0.25">
      <c r="A273" s="9"/>
      <c r="B273" s="10"/>
      <c r="C273" s="10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O273" s="10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s="23" customFormat="1" x14ac:dyDescent="0.25">
      <c r="A274" s="10"/>
      <c r="B274" s="28" t="s">
        <v>277</v>
      </c>
      <c r="C274" s="28"/>
      <c r="D274" s="20">
        <f>+D155-D157+D264</f>
        <v>-76429.200000000099</v>
      </c>
      <c r="E274" s="14"/>
      <c r="F274" s="21">
        <f>IF(D$12=0,0,D274/D$12)</f>
        <v>-9.4536377213073453E-2</v>
      </c>
      <c r="G274" s="14"/>
      <c r="H274" s="20">
        <f>+H155-H157+H264</f>
        <v>-243603.46593584621</v>
      </c>
      <c r="I274" s="14"/>
      <c r="J274" s="21">
        <f>IF(H$12=0,0,H274/H$12)</f>
        <v>-0.22758936766917254</v>
      </c>
      <c r="K274" s="15"/>
      <c r="L274" s="20">
        <f>+D274-H274</f>
        <v>167174.26593584611</v>
      </c>
      <c r="M274" s="15"/>
      <c r="N274" s="21">
        <f>IF(H274=0,0,L274/H274)</f>
        <v>-0.6862556954746778</v>
      </c>
      <c r="O274" s="29"/>
      <c r="P274" s="20">
        <f>+P155-P157+P264</f>
        <v>-2465946.1399999997</v>
      </c>
      <c r="Q274" s="14"/>
      <c r="R274" s="21">
        <f>IF(P$12=0,0,P274/P$12)</f>
        <v>-0.25131202110026746</v>
      </c>
      <c r="S274" s="14"/>
      <c r="T274" s="20">
        <f>+T155-T157+T264</f>
        <v>-1619856.0406588856</v>
      </c>
      <c r="U274" s="14"/>
      <c r="V274" s="21">
        <f>IF(T$12=0,0,T274/T$12)</f>
        <v>-9.9368191602511882E-2</v>
      </c>
      <c r="W274" s="15"/>
      <c r="X274" s="20">
        <f>+P274-T274</f>
        <v>-846090.09934111405</v>
      </c>
      <c r="Y274" s="15"/>
      <c r="Z274" s="21">
        <f>IF(T274=0,0,X274/T274)</f>
        <v>0.52232425481276845</v>
      </c>
    </row>
    <row r="275" spans="1:26" x14ac:dyDescent="0.25">
      <c r="A275" s="9"/>
      <c r="B275" s="10"/>
      <c r="C275" s="9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s="23" customFormat="1" x14ac:dyDescent="0.25">
      <c r="A276" s="52"/>
      <c r="B276" s="10" t="s">
        <v>128</v>
      </c>
      <c r="C276" s="10"/>
      <c r="D276" s="4">
        <v>213156.26</v>
      </c>
      <c r="E276" s="4"/>
      <c r="F276" s="12">
        <f>IF(D$12=0,0,D276/D$12)</f>
        <v>0.26365604508077983</v>
      </c>
      <c r="G276" s="4"/>
      <c r="H276" s="4">
        <v>249099</v>
      </c>
      <c r="I276" s="4"/>
      <c r="J276" s="12">
        <f>IF(H$12=0,0,H276/H$12)</f>
        <v>0.23272363420294404</v>
      </c>
      <c r="K276" s="4"/>
      <c r="L276" s="4">
        <f>+D276-H276</f>
        <v>-35942.739999999991</v>
      </c>
      <c r="M276" s="4"/>
      <c r="N276" s="12">
        <f>IF(H276=0,0,L276/H276)</f>
        <v>-0.14429098470889082</v>
      </c>
      <c r="O276" s="10"/>
      <c r="P276" s="4">
        <v>2096793.09</v>
      </c>
      <c r="Q276" s="4"/>
      <c r="R276" s="12">
        <f>IF(P$12=0,0,P276/P$12)</f>
        <v>0.2136905185110714</v>
      </c>
      <c r="S276" s="4"/>
      <c r="T276" s="4">
        <v>3009666</v>
      </c>
      <c r="U276" s="4"/>
      <c r="V276" s="12">
        <f>IF(T$12=0,0,T276/T$12)</f>
        <v>0.18462447294138504</v>
      </c>
      <c r="W276" s="4"/>
      <c r="X276" s="4">
        <f>+P276-T276</f>
        <v>-912872.90999999992</v>
      </c>
      <c r="Y276" s="4"/>
      <c r="Z276" s="12">
        <f>IF(T276=0,0,X276/T276)</f>
        <v>-0.30331369328025098</v>
      </c>
    </row>
    <row r="277" spans="1:26" x14ac:dyDescent="0.25">
      <c r="A277" s="9"/>
      <c r="B277" s="10"/>
      <c r="C277" s="10"/>
      <c r="D277" s="3"/>
      <c r="E277" s="3"/>
      <c r="F277" s="8"/>
      <c r="G277" s="3"/>
      <c r="H277" s="3"/>
      <c r="I277" s="3"/>
      <c r="J277" s="8"/>
      <c r="K277" s="3"/>
      <c r="L277" s="3"/>
      <c r="M277" s="3"/>
      <c r="N277" s="8"/>
      <c r="O277" s="10"/>
      <c r="P277" s="3"/>
      <c r="Q277" s="3"/>
      <c r="R277" s="8"/>
      <c r="S277" s="3"/>
      <c r="T277" s="3"/>
      <c r="U277" s="3"/>
      <c r="V277" s="8"/>
      <c r="W277" s="3"/>
      <c r="X277" s="3"/>
      <c r="Y277" s="3"/>
      <c r="Z277" s="8"/>
    </row>
    <row r="278" spans="1:26" s="23" customFormat="1" ht="15.75" thickBot="1" x14ac:dyDescent="0.3">
      <c r="A278" s="10"/>
      <c r="B278" s="28" t="s">
        <v>126</v>
      </c>
      <c r="C278" s="28"/>
      <c r="D278" s="35">
        <f>+D274-D276</f>
        <v>-289585.46000000008</v>
      </c>
      <c r="E278" s="14"/>
      <c r="F278" s="34">
        <f>IF(D$12=0,0,D278/D$12)</f>
        <v>-0.35819242229385323</v>
      </c>
      <c r="G278" s="14"/>
      <c r="H278" s="35">
        <f>+H274-H276</f>
        <v>-492702.46593584621</v>
      </c>
      <c r="I278" s="14"/>
      <c r="J278" s="34">
        <f>IF(H$12=0,0,H278/H$12)</f>
        <v>-0.4603130018721166</v>
      </c>
      <c r="K278" s="15"/>
      <c r="L278" s="35">
        <f>D278-H278</f>
        <v>203117.00593584613</v>
      </c>
      <c r="M278" s="15"/>
      <c r="N278" s="34">
        <f>IF(H278=0,0,L278/H278)</f>
        <v>-0.41225084098177334</v>
      </c>
      <c r="O278" s="29"/>
      <c r="P278" s="35">
        <f>+P274-P276</f>
        <v>-4562739.2299999995</v>
      </c>
      <c r="Q278" s="14"/>
      <c r="R278" s="34">
        <f>IF(P$12=0,0,P278/P$12)</f>
        <v>-0.46500253961133881</v>
      </c>
      <c r="S278" s="14"/>
      <c r="T278" s="35">
        <f>+T274-T276</f>
        <v>-4629522.0406588856</v>
      </c>
      <c r="U278" s="14"/>
      <c r="V278" s="34">
        <f>IF(T$12=0,0,T278/T$12)</f>
        <v>-0.28399266454389693</v>
      </c>
      <c r="W278" s="15"/>
      <c r="X278" s="35">
        <f>P278-T278</f>
        <v>66782.810658886097</v>
      </c>
      <c r="Y278" s="15"/>
      <c r="Z278" s="34">
        <f>IF(T278=0,0,X278/T278)</f>
        <v>-1.4425422337849242E-2</v>
      </c>
    </row>
    <row r="279" spans="1:26" ht="15.75" thickTop="1" x14ac:dyDescent="0.25">
      <c r="A279" s="9"/>
      <c r="B279" s="9"/>
      <c r="C279" s="9"/>
      <c r="D279" s="3"/>
      <c r="E279" s="3"/>
      <c r="F279" s="8"/>
      <c r="G279" s="3"/>
      <c r="H279" s="3"/>
      <c r="I279" s="3"/>
      <c r="J279" s="8"/>
      <c r="K279" s="3"/>
      <c r="L279" s="3"/>
      <c r="M279" s="3"/>
      <c r="N279" s="8"/>
      <c r="P279" s="3"/>
      <c r="Q279" s="3"/>
      <c r="R279" s="8"/>
      <c r="S279" s="3"/>
      <c r="T279" s="3"/>
      <c r="U279" s="3"/>
      <c r="V279" s="8"/>
      <c r="W279" s="3"/>
      <c r="X279" s="3"/>
      <c r="Y279" s="3"/>
      <c r="Z279" s="8"/>
    </row>
    <row r="280" spans="1:26" s="23" customFormat="1" x14ac:dyDescent="0.25">
      <c r="A280" s="52"/>
      <c r="B280" s="10" t="s">
        <v>184</v>
      </c>
      <c r="C280" s="10"/>
      <c r="D280" s="4">
        <f>--71471.24</f>
        <v>71471.240000000005</v>
      </c>
      <c r="E280" s="4"/>
      <c r="F280" s="12">
        <f t="shared" ref="F280:F281" si="161">IF(D$12=0,0,D280/D$12)</f>
        <v>8.8403805149420589E-2</v>
      </c>
      <c r="G280" s="4"/>
      <c r="H280" s="4">
        <f t="shared" ref="H280:H281" si="162">--15000</f>
        <v>15000</v>
      </c>
      <c r="I280" s="4"/>
      <c r="J280" s="12">
        <f t="shared" ref="J280:J281" si="163">IF(H$12=0,0,H280/H$12)</f>
        <v>1.4013924235120016E-2</v>
      </c>
      <c r="K280" s="4"/>
      <c r="L280" s="4">
        <f t="shared" ref="L280:L281" si="164">+D280-H280</f>
        <v>56471.240000000005</v>
      </c>
      <c r="M280" s="4"/>
      <c r="N280" s="12">
        <f t="shared" ref="N280:N281" si="165">IF(H280=0,0,L280/H280)</f>
        <v>3.7647493333333335</v>
      </c>
      <c r="O280" s="10"/>
      <c r="P280" s="4">
        <f>--2702968.14</f>
        <v>2702968.14</v>
      </c>
      <c r="Q280" s="4"/>
      <c r="R280" s="12">
        <f t="shared" ref="R280:R281" si="166">IF(P$12=0,0,P280/P$12)</f>
        <v>0.2754676491973303</v>
      </c>
      <c r="S280" s="4"/>
      <c r="T280" s="4">
        <f t="shared" ref="T280:T281" si="167">--165000</f>
        <v>165000</v>
      </c>
      <c r="U280" s="4"/>
      <c r="V280" s="12">
        <f t="shared" ref="V280:V281" si="168">IF(T$12=0,0,T280/T$12)</f>
        <v>1.0121733785519234E-2</v>
      </c>
      <c r="W280" s="4"/>
      <c r="X280" s="4">
        <f t="shared" ref="X280:X281" si="169">+P280-T280</f>
        <v>2537968.14</v>
      </c>
      <c r="Y280" s="4"/>
      <c r="Z280" s="12">
        <f t="shared" ref="Z280:Z281" si="170">IF(T280=0,0,X280/T280)</f>
        <v>15.381625090909091</v>
      </c>
    </row>
    <row r="281" spans="1:26" s="23" customFormat="1" x14ac:dyDescent="0.25">
      <c r="A281" s="52"/>
      <c r="B281" s="10" t="s">
        <v>82</v>
      </c>
      <c r="C281" s="10"/>
      <c r="D281" s="4">
        <f>--11468.39</f>
        <v>11468.39</v>
      </c>
      <c r="E281" s="4"/>
      <c r="F281" s="12">
        <f t="shared" si="161"/>
        <v>1.4185416608660538E-2</v>
      </c>
      <c r="G281" s="4"/>
      <c r="H281" s="4">
        <f t="shared" si="162"/>
        <v>15000</v>
      </c>
      <c r="I281" s="4"/>
      <c r="J281" s="12">
        <f t="shared" si="163"/>
        <v>1.4013924235120016E-2</v>
      </c>
      <c r="K281" s="4"/>
      <c r="L281" s="4">
        <f t="shared" si="164"/>
        <v>-3531.6100000000006</v>
      </c>
      <c r="M281" s="4"/>
      <c r="N281" s="12">
        <f t="shared" si="165"/>
        <v>-0.23544066666666671</v>
      </c>
      <c r="O281" s="10"/>
      <c r="P281" s="4">
        <f>--104227.92</f>
        <v>104227.92</v>
      </c>
      <c r="Q281" s="4"/>
      <c r="R281" s="12">
        <f t="shared" si="166"/>
        <v>1.0622182214521924E-2</v>
      </c>
      <c r="S281" s="4"/>
      <c r="T281" s="4">
        <f t="shared" si="167"/>
        <v>165000</v>
      </c>
      <c r="U281" s="4"/>
      <c r="V281" s="12">
        <f t="shared" si="168"/>
        <v>1.0121733785519234E-2</v>
      </c>
      <c r="W281" s="4"/>
      <c r="X281" s="4">
        <f t="shared" si="169"/>
        <v>-60772.08</v>
      </c>
      <c r="Y281" s="4"/>
      <c r="Z281" s="12">
        <f t="shared" si="170"/>
        <v>-0.3683156363636364</v>
      </c>
    </row>
    <row r="282" spans="1:26" x14ac:dyDescent="0.25">
      <c r="A282" s="9"/>
      <c r="B282" s="9"/>
      <c r="C282" s="9"/>
      <c r="D282" s="3"/>
      <c r="E282" s="3"/>
      <c r="F282" s="8"/>
      <c r="G282" s="3"/>
      <c r="H282" s="3"/>
      <c r="I282" s="3"/>
      <c r="J282" s="8"/>
      <c r="K282" s="3"/>
      <c r="L282" s="3"/>
      <c r="M282" s="3"/>
      <c r="N282" s="8"/>
      <c r="P282" s="3"/>
      <c r="Q282" s="3"/>
      <c r="R282" s="8"/>
      <c r="S282" s="3"/>
      <c r="T282" s="3"/>
      <c r="U282" s="3"/>
      <c r="V282" s="8"/>
      <c r="W282" s="3"/>
      <c r="X282" s="3"/>
      <c r="Y282" s="3"/>
      <c r="Z282" s="8"/>
    </row>
    <row r="283" spans="1:26" s="23" customFormat="1" ht="15.75" thickBot="1" x14ac:dyDescent="0.3">
      <c r="A283" s="10"/>
      <c r="B283" s="28" t="s">
        <v>294</v>
      </c>
      <c r="C283" s="28"/>
      <c r="D283" s="33">
        <f>SUM(D278:D282)</f>
        <v>-206645.83000000007</v>
      </c>
      <c r="E283" s="14"/>
      <c r="F283" s="32">
        <f>IF(D$12=0,0,D283/D$12)</f>
        <v>-0.25560320053577212</v>
      </c>
      <c r="G283" s="14"/>
      <c r="H283" s="33">
        <f>SUM(H278:H282)</f>
        <v>-462702.46593584621</v>
      </c>
      <c r="I283" s="14"/>
      <c r="J283" s="32">
        <f>IF(H$12=0,0,H283/H$12)</f>
        <v>-0.43228515340187657</v>
      </c>
      <c r="K283" s="15"/>
      <c r="L283" s="33">
        <f>+D283-H283</f>
        <v>256056.63593584613</v>
      </c>
      <c r="M283" s="15"/>
      <c r="N283" s="32">
        <f>IF(H283=0,0,L283/H283)</f>
        <v>-0.55339371364264234</v>
      </c>
      <c r="O283" s="29"/>
      <c r="P283" s="33">
        <f>SUM(P278:P282)</f>
        <v>-1755543.1699999995</v>
      </c>
      <c r="Q283" s="14"/>
      <c r="R283" s="32">
        <f>IF(P$12=0,0,P283/P$12)</f>
        <v>-0.1789127081994866</v>
      </c>
      <c r="S283" s="14"/>
      <c r="T283" s="33">
        <f>SUM(T278:T282)</f>
        <v>-4299522.0406588856</v>
      </c>
      <c r="U283" s="14"/>
      <c r="V283" s="32">
        <f>IF(T$12=0,0,T283/T$12)</f>
        <v>-0.26374919697285848</v>
      </c>
      <c r="W283" s="15"/>
      <c r="X283" s="33">
        <f>+P283-T283</f>
        <v>2543978.8706588862</v>
      </c>
      <c r="Y283" s="15"/>
      <c r="Z283" s="32">
        <f>IF(T283=0,0,X283/T283)</f>
        <v>-0.59168876135567638</v>
      </c>
    </row>
    <row r="284" spans="1:26" ht="15.75" thickTop="1" x14ac:dyDescent="0.25">
      <c r="A284" s="9"/>
      <c r="C284" s="9"/>
      <c r="D284" s="18"/>
      <c r="E284" s="18"/>
      <c r="G284" s="18"/>
      <c r="H284" s="18"/>
      <c r="I284" s="18"/>
      <c r="J284" s="42"/>
      <c r="K284" s="18"/>
      <c r="L284" s="18"/>
      <c r="M284" s="18"/>
      <c r="P284" s="18"/>
      <c r="Q284" s="18"/>
      <c r="R284" s="42"/>
      <c r="S284" s="18"/>
      <c r="T284" s="18"/>
      <c r="U284" s="18"/>
      <c r="V284" s="42"/>
      <c r="W284" s="18"/>
      <c r="X284" s="18"/>
    </row>
    <row r="285" spans="1:26" x14ac:dyDescent="0.25">
      <c r="A285" s="9"/>
      <c r="B285" s="60">
        <v>44356.891789201392</v>
      </c>
      <c r="D285" s="18"/>
      <c r="E285" s="18"/>
      <c r="G285" s="18"/>
      <c r="H285" s="18"/>
      <c r="I285" s="18"/>
      <c r="J285" s="42"/>
      <c r="K285" s="18"/>
      <c r="L285" s="18"/>
      <c r="M285" s="18"/>
      <c r="P285" s="18"/>
      <c r="Q285" s="18"/>
      <c r="R285" s="42"/>
      <c r="S285" s="18"/>
      <c r="T285" s="18"/>
      <c r="U285" s="18"/>
      <c r="V285" s="42"/>
      <c r="W285" s="18"/>
      <c r="X285" s="18"/>
    </row>
    <row r="286" spans="1:26" x14ac:dyDescent="0.25">
      <c r="A286" s="9"/>
      <c r="B286" s="55" t="s">
        <v>56</v>
      </c>
      <c r="D286" s="18"/>
      <c r="E286" s="18"/>
      <c r="G286" s="18"/>
      <c r="H286" s="18"/>
      <c r="I286" s="18"/>
      <c r="J286" s="42"/>
      <c r="K286" s="18"/>
      <c r="L286" s="18"/>
      <c r="M286" s="18"/>
      <c r="P286" s="18"/>
      <c r="Q286" s="18"/>
      <c r="R286" s="42"/>
      <c r="S286" s="18"/>
      <c r="T286" s="18"/>
      <c r="U286" s="18"/>
      <c r="V286" s="42"/>
      <c r="W286" s="18"/>
      <c r="X286" s="18"/>
    </row>
    <row r="287" spans="1:26" x14ac:dyDescent="0.25">
      <c r="A287" s="9"/>
      <c r="B287" s="63"/>
      <c r="D287" s="18"/>
      <c r="E287" s="18"/>
      <c r="G287" s="18"/>
      <c r="H287" s="18"/>
      <c r="I287" s="18"/>
      <c r="J287" s="42"/>
      <c r="K287" s="18"/>
      <c r="L287" s="18"/>
      <c r="M287" s="18"/>
      <c r="P287" s="18"/>
      <c r="Q287" s="18"/>
      <c r="R287" s="42"/>
      <c r="S287" s="18"/>
      <c r="T287" s="18"/>
      <c r="U287" s="18"/>
      <c r="V287" s="42"/>
      <c r="W287" s="18"/>
      <c r="X287" s="18"/>
    </row>
    <row r="288" spans="1:26" x14ac:dyDescent="0.25">
      <c r="D288" s="18"/>
      <c r="E288" s="18"/>
      <c r="G288" s="18"/>
      <c r="H288" s="18"/>
      <c r="I288" s="18"/>
      <c r="J288" s="42"/>
      <c r="K288" s="18"/>
      <c r="L288" s="18"/>
      <c r="M288" s="18"/>
      <c r="P288" s="18"/>
      <c r="Q288" s="18"/>
      <c r="R288" s="42"/>
      <c r="S288" s="18"/>
      <c r="T288" s="18"/>
      <c r="U288" s="18"/>
      <c r="V288" s="42"/>
      <c r="W288" s="18"/>
      <c r="X288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106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106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183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183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218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SUM(0)</f>
        <v>0</v>
      </c>
      <c r="E18" s="22"/>
      <c r="F18" s="31">
        <f>IF(D$12=0,0,D18/D$12)</f>
        <v>0</v>
      </c>
      <c r="G18" s="22"/>
      <c r="H18" s="22">
        <f>SUM(0)</f>
        <v>0</v>
      </c>
      <c r="I18" s="22"/>
      <c r="J18" s="31">
        <f>IF(H$12=0,0,H18/H$12)</f>
        <v>0</v>
      </c>
      <c r="K18" s="4"/>
      <c r="L18" s="22">
        <f>+D18-H18</f>
        <v>0</v>
      </c>
      <c r="M18" s="4"/>
      <c r="N18" s="31">
        <f>IF(H18=0,0,L18/H18)</f>
        <v>0</v>
      </c>
      <c r="O18" s="10"/>
      <c r="P18" s="22">
        <f>SUM(0)</f>
        <v>0</v>
      </c>
      <c r="Q18" s="22"/>
      <c r="R18" s="31">
        <f>IF(P$12=0,0,P18/P$12)</f>
        <v>0</v>
      </c>
      <c r="S18" s="22"/>
      <c r="T18" s="22">
        <f>SUM(0)</f>
        <v>0</v>
      </c>
      <c r="U18" s="22"/>
      <c r="V18" s="31">
        <f>IF(T$12=0,0,T18/T$12)</f>
        <v>0</v>
      </c>
      <c r="W18" s="4"/>
      <c r="X18" s="22">
        <f>+P18-T18</f>
        <v>0</v>
      </c>
      <c r="Y18" s="4"/>
      <c r="Z18" s="31">
        <f>IF(T18=0,0,X18/T18)</f>
        <v>0</v>
      </c>
    </row>
    <row r="19" spans="1:26" s="56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277</v>
      </c>
      <c r="C22" s="28"/>
      <c r="D22" s="20">
        <f>+D16-D18+D20</f>
        <v>0</v>
      </c>
      <c r="E22" s="14"/>
      <c r="F22" s="21">
        <f>IF(D$12=0,0,D22/D$12)</f>
        <v>0</v>
      </c>
      <c r="G22" s="14"/>
      <c r="H22" s="20">
        <f>+H16-H18+H20</f>
        <v>0</v>
      </c>
      <c r="I22" s="14"/>
      <c r="J22" s="21">
        <f>IF(H$12=0,0,H22/H$12)</f>
        <v>0</v>
      </c>
      <c r="K22" s="15"/>
      <c r="L22" s="20">
        <f>+D22-H22</f>
        <v>0</v>
      </c>
      <c r="M22" s="15"/>
      <c r="N22" s="21">
        <f>IF(H22=0,0,L22/H22)</f>
        <v>0</v>
      </c>
      <c r="O22" s="29"/>
      <c r="P22" s="20">
        <f>+P16-P18+P20</f>
        <v>0</v>
      </c>
      <c r="Q22" s="14"/>
      <c r="R22" s="21">
        <f>IF(P$12=0,0,P22/P$12)</f>
        <v>0</v>
      </c>
      <c r="S22" s="14"/>
      <c r="T22" s="20">
        <f>+T16-T18+T20</f>
        <v>0</v>
      </c>
      <c r="U22" s="14"/>
      <c r="V22" s="21">
        <f>IF(T$12=0,0,T22/T$12)</f>
        <v>0</v>
      </c>
      <c r="W22" s="15"/>
      <c r="X22" s="20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126</v>
      </c>
      <c r="C26" s="28"/>
      <c r="D26" s="35">
        <f>+D22-D24</f>
        <v>0</v>
      </c>
      <c r="E26" s="14"/>
      <c r="F26" s="34">
        <f>IF(D$12=0,0,D26/D$12)</f>
        <v>0</v>
      </c>
      <c r="G26" s="14"/>
      <c r="H26" s="35">
        <f>+H22-H24</f>
        <v>0</v>
      </c>
      <c r="I26" s="14"/>
      <c r="J26" s="34">
        <f>IF(H$12=0,0,H26/H$12)</f>
        <v>0</v>
      </c>
      <c r="K26" s="15"/>
      <c r="L26" s="35">
        <f>D26-H26</f>
        <v>0</v>
      </c>
      <c r="M26" s="15"/>
      <c r="N26" s="34">
        <f>IF(H26=0,0,L26/H26)</f>
        <v>0</v>
      </c>
      <c r="O26" s="29"/>
      <c r="P26" s="35">
        <f>+P22-P24</f>
        <v>0</v>
      </c>
      <c r="Q26" s="14"/>
      <c r="R26" s="34">
        <f>IF(P$12=0,0,P26/P$12)</f>
        <v>0</v>
      </c>
      <c r="S26" s="14"/>
      <c r="T26" s="35">
        <f>+T22-T24</f>
        <v>0</v>
      </c>
      <c r="U26" s="14"/>
      <c r="V26" s="34">
        <f>IF(T$12=0,0,T26/T$12)</f>
        <v>0</v>
      </c>
      <c r="W26" s="15"/>
      <c r="X26" s="35">
        <f>P26-T26</f>
        <v>0</v>
      </c>
      <c r="Y26" s="15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184</v>
      </c>
      <c r="C28" s="10"/>
      <c r="D28" s="4">
        <f>--71471.24</f>
        <v>71471.240000000005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56471.240000000005</v>
      </c>
      <c r="M28" s="4"/>
      <c r="N28" s="12">
        <f t="shared" ref="N28:N29" si="4">IF(H28=0,0,L28/H28)</f>
        <v>3.7647493333333335</v>
      </c>
      <c r="O28" s="10"/>
      <c r="P28" s="4">
        <f>--2702968.14</f>
        <v>2702968.14</v>
      </c>
      <c r="Q28" s="4"/>
      <c r="R28" s="12">
        <f t="shared" ref="R28:R29" si="5">IF(P$12=0,0,P28/P$12)</f>
        <v>0</v>
      </c>
      <c r="S28" s="4"/>
      <c r="T28" s="4">
        <f t="shared" ref="T28:T29" si="6">--165000</f>
        <v>165000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2537968.14</v>
      </c>
      <c r="Y28" s="4"/>
      <c r="Z28" s="12">
        <f t="shared" ref="Z28:Z29" si="9">IF(T28=0,0,X28/T28)</f>
        <v>15.381625090909091</v>
      </c>
    </row>
    <row r="29" spans="1:26" s="23" customFormat="1" x14ac:dyDescent="0.25">
      <c r="A29" s="52"/>
      <c r="B29" s="10" t="s">
        <v>82</v>
      </c>
      <c r="C29" s="10"/>
      <c r="D29" s="4">
        <f>--11468.39</f>
        <v>11468.39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-3531.6100000000006</v>
      </c>
      <c r="M29" s="4"/>
      <c r="N29" s="12">
        <f t="shared" si="4"/>
        <v>-0.23544066666666671</v>
      </c>
      <c r="O29" s="10"/>
      <c r="P29" s="4">
        <f>--104227.92</f>
        <v>104227.92</v>
      </c>
      <c r="Q29" s="4"/>
      <c r="R29" s="12">
        <f t="shared" si="5"/>
        <v>0</v>
      </c>
      <c r="S29" s="4"/>
      <c r="T29" s="4">
        <f t="shared" si="6"/>
        <v>165000</v>
      </c>
      <c r="U29" s="4"/>
      <c r="V29" s="12">
        <f t="shared" si="7"/>
        <v>0</v>
      </c>
      <c r="W29" s="4"/>
      <c r="X29" s="4">
        <f t="shared" si="8"/>
        <v>-60772.08</v>
      </c>
      <c r="Y29" s="4"/>
      <c r="Z29" s="12">
        <f t="shared" si="9"/>
        <v>-0.3683156363636364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294</v>
      </c>
      <c r="C31" s="28"/>
      <c r="D31" s="33">
        <f>SUM(D26:D30)</f>
        <v>82939.63</v>
      </c>
      <c r="E31" s="14"/>
      <c r="F31" s="32">
        <f>IF(D$12=0,0,D31/D$12)</f>
        <v>0</v>
      </c>
      <c r="G31" s="14"/>
      <c r="H31" s="33">
        <f>SUM(H26:H30)</f>
        <v>30000</v>
      </c>
      <c r="I31" s="14"/>
      <c r="J31" s="32">
        <f>IF(H$12=0,0,H31/H$12)</f>
        <v>0</v>
      </c>
      <c r="K31" s="15"/>
      <c r="L31" s="33">
        <f>+D31-H31</f>
        <v>52939.630000000005</v>
      </c>
      <c r="M31" s="15"/>
      <c r="N31" s="32">
        <f>IF(H31=0,0,L31/H31)</f>
        <v>1.7646543333333335</v>
      </c>
      <c r="O31" s="29"/>
      <c r="P31" s="33">
        <f>SUM(P26:P30)</f>
        <v>2807196.06</v>
      </c>
      <c r="Q31" s="14"/>
      <c r="R31" s="32">
        <f>IF(P$12=0,0,P31/P$12)</f>
        <v>0</v>
      </c>
      <c r="S31" s="14"/>
      <c r="T31" s="33">
        <f>SUM(T26:T30)</f>
        <v>330000</v>
      </c>
      <c r="U31" s="14"/>
      <c r="V31" s="32">
        <f>IF(T$12=0,0,T31/T$12)</f>
        <v>0</v>
      </c>
      <c r="W31" s="15"/>
      <c r="X31" s="33">
        <f>+P31-T31</f>
        <v>2477196.06</v>
      </c>
      <c r="Y31" s="15"/>
      <c r="Z31" s="32">
        <f>IF(T31=0,0,X31/T31)</f>
        <v>7.5066547272727275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60">
        <v>44356.891824189814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5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63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","100", " - ", "Corporate")</f>
        <v>Department 100 - Corporate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SUM(0)</f>
        <v>0</v>
      </c>
      <c r="E18" s="22"/>
      <c r="F18" s="31">
        <f>IF(D$12=0,0,D18/D$12)</f>
        <v>0</v>
      </c>
      <c r="G18" s="22"/>
      <c r="H18" s="22">
        <f>SUM(0)</f>
        <v>0</v>
      </c>
      <c r="I18" s="22"/>
      <c r="J18" s="31">
        <f>IF(H$12=0,0,H18/H$12)</f>
        <v>0</v>
      </c>
      <c r="K18" s="4"/>
      <c r="L18" s="22">
        <f>+D18-H18</f>
        <v>0</v>
      </c>
      <c r="M18" s="4"/>
      <c r="N18" s="31">
        <f>IF(H18=0,0,L18/H18)</f>
        <v>0</v>
      </c>
      <c r="O18" s="10"/>
      <c r="P18" s="22">
        <f>SUM(0)</f>
        <v>0</v>
      </c>
      <c r="Q18" s="22"/>
      <c r="R18" s="31">
        <f>IF(P$12=0,0,P18/P$12)</f>
        <v>0</v>
      </c>
      <c r="S18" s="22"/>
      <c r="T18" s="22">
        <f>SUM(0)</f>
        <v>0</v>
      </c>
      <c r="U18" s="22"/>
      <c r="V18" s="31">
        <f>IF(T$12=0,0,T18/T$12)</f>
        <v>0</v>
      </c>
      <c r="W18" s="4"/>
      <c r="X18" s="22">
        <f>+P18-T18</f>
        <v>0</v>
      </c>
      <c r="Y18" s="4"/>
      <c r="Z18" s="31">
        <f>IF(T18=0,0,X18/T18)</f>
        <v>0</v>
      </c>
    </row>
    <row r="19" spans="1:26" s="56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277</v>
      </c>
      <c r="C22" s="28"/>
      <c r="D22" s="20">
        <f>+D16-D18+D20</f>
        <v>0</v>
      </c>
      <c r="E22" s="14"/>
      <c r="F22" s="21">
        <f>IF(D$12=0,0,D22/D$12)</f>
        <v>0</v>
      </c>
      <c r="G22" s="14"/>
      <c r="H22" s="20">
        <f>+H16-H18+H20</f>
        <v>0</v>
      </c>
      <c r="I22" s="14"/>
      <c r="J22" s="21">
        <f>IF(H$12=0,0,H22/H$12)</f>
        <v>0</v>
      </c>
      <c r="K22" s="15"/>
      <c r="L22" s="20">
        <f>+D22-H22</f>
        <v>0</v>
      </c>
      <c r="M22" s="15"/>
      <c r="N22" s="21">
        <f>IF(H22=0,0,L22/H22)</f>
        <v>0</v>
      </c>
      <c r="O22" s="29"/>
      <c r="P22" s="20">
        <f>+P16-P18+P20</f>
        <v>0</v>
      </c>
      <c r="Q22" s="14"/>
      <c r="R22" s="21">
        <f>IF(P$12=0,0,P22/P$12)</f>
        <v>0</v>
      </c>
      <c r="S22" s="14"/>
      <c r="T22" s="20">
        <f>+T16-T18+T20</f>
        <v>0</v>
      </c>
      <c r="U22" s="14"/>
      <c r="V22" s="21">
        <f>IF(T$12=0,0,T22/T$12)</f>
        <v>0</v>
      </c>
      <c r="W22" s="15"/>
      <c r="X22" s="20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126</v>
      </c>
      <c r="C26" s="28"/>
      <c r="D26" s="35">
        <f>+D22-D24</f>
        <v>0</v>
      </c>
      <c r="E26" s="14"/>
      <c r="F26" s="34">
        <f>IF(D$12=0,0,D26/D$12)</f>
        <v>0</v>
      </c>
      <c r="G26" s="14"/>
      <c r="H26" s="35">
        <f>+H22-H24</f>
        <v>0</v>
      </c>
      <c r="I26" s="14"/>
      <c r="J26" s="34">
        <f>IF(H$12=0,0,H26/H$12)</f>
        <v>0</v>
      </c>
      <c r="K26" s="15"/>
      <c r="L26" s="35">
        <f>D26-H26</f>
        <v>0</v>
      </c>
      <c r="M26" s="15"/>
      <c r="N26" s="34">
        <f>IF(H26=0,0,L26/H26)</f>
        <v>0</v>
      </c>
      <c r="O26" s="29"/>
      <c r="P26" s="35">
        <f>+P22-P24</f>
        <v>0</v>
      </c>
      <c r="Q26" s="14"/>
      <c r="R26" s="34">
        <f>IF(P$12=0,0,P26/P$12)</f>
        <v>0</v>
      </c>
      <c r="S26" s="14"/>
      <c r="T26" s="35">
        <f>+T22-T24</f>
        <v>0</v>
      </c>
      <c r="U26" s="14"/>
      <c r="V26" s="34">
        <f>IF(T$12=0,0,T26/T$12)</f>
        <v>0</v>
      </c>
      <c r="W26" s="15"/>
      <c r="X26" s="35">
        <f>P26-T26</f>
        <v>0</v>
      </c>
      <c r="Y26" s="15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184</v>
      </c>
      <c r="C28" s="10"/>
      <c r="D28" s="4">
        <f>--71471.24</f>
        <v>71471.240000000005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56471.240000000005</v>
      </c>
      <c r="M28" s="4"/>
      <c r="N28" s="12">
        <f t="shared" ref="N28:N29" si="4">IF(H28=0,0,L28/H28)</f>
        <v>3.7647493333333335</v>
      </c>
      <c r="O28" s="10"/>
      <c r="P28" s="4">
        <f>--2702968.14</f>
        <v>2702968.14</v>
      </c>
      <c r="Q28" s="4"/>
      <c r="R28" s="12">
        <f t="shared" ref="R28:R29" si="5">IF(P$12=0,0,P28/P$12)</f>
        <v>0</v>
      </c>
      <c r="S28" s="4"/>
      <c r="T28" s="4">
        <f t="shared" ref="T28:T29" si="6">--165000</f>
        <v>165000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2537968.14</v>
      </c>
      <c r="Y28" s="4"/>
      <c r="Z28" s="12">
        <f t="shared" ref="Z28:Z29" si="9">IF(T28=0,0,X28/T28)</f>
        <v>15.381625090909091</v>
      </c>
    </row>
    <row r="29" spans="1:26" s="23" customFormat="1" x14ac:dyDescent="0.25">
      <c r="A29" s="52"/>
      <c r="B29" s="10" t="s">
        <v>82</v>
      </c>
      <c r="C29" s="10"/>
      <c r="D29" s="4">
        <f>--11468.39</f>
        <v>11468.39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-3531.6100000000006</v>
      </c>
      <c r="M29" s="4"/>
      <c r="N29" s="12">
        <f t="shared" si="4"/>
        <v>-0.23544066666666671</v>
      </c>
      <c r="O29" s="10"/>
      <c r="P29" s="4">
        <f>--104227.92</f>
        <v>104227.92</v>
      </c>
      <c r="Q29" s="4"/>
      <c r="R29" s="12">
        <f t="shared" si="5"/>
        <v>0</v>
      </c>
      <c r="S29" s="4"/>
      <c r="T29" s="4">
        <f t="shared" si="6"/>
        <v>165000</v>
      </c>
      <c r="U29" s="4"/>
      <c r="V29" s="12">
        <f t="shared" si="7"/>
        <v>0</v>
      </c>
      <c r="W29" s="4"/>
      <c r="X29" s="4">
        <f t="shared" si="8"/>
        <v>-60772.08</v>
      </c>
      <c r="Y29" s="4"/>
      <c r="Z29" s="12">
        <f t="shared" si="9"/>
        <v>-0.3683156363636364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294</v>
      </c>
      <c r="C31" s="28"/>
      <c r="D31" s="33">
        <f>SUM(D26:D30)</f>
        <v>82939.63</v>
      </c>
      <c r="E31" s="14"/>
      <c r="F31" s="32">
        <f>IF(D$12=0,0,D31/D$12)</f>
        <v>0</v>
      </c>
      <c r="G31" s="14"/>
      <c r="H31" s="33">
        <f>SUM(H26:H30)</f>
        <v>30000</v>
      </c>
      <c r="I31" s="14"/>
      <c r="J31" s="32">
        <f>IF(H$12=0,0,H31/H$12)</f>
        <v>0</v>
      </c>
      <c r="K31" s="15"/>
      <c r="L31" s="33">
        <f>+D31-H31</f>
        <v>52939.630000000005</v>
      </c>
      <c r="M31" s="15"/>
      <c r="N31" s="32">
        <f>IF(H31=0,0,L31/H31)</f>
        <v>1.7646543333333335</v>
      </c>
      <c r="O31" s="29"/>
      <c r="P31" s="33">
        <f>SUM(P26:P30)</f>
        <v>2807196.06</v>
      </c>
      <c r="Q31" s="14"/>
      <c r="R31" s="32">
        <f>IF(P$12=0,0,P31/P$12)</f>
        <v>0</v>
      </c>
      <c r="S31" s="14"/>
      <c r="T31" s="33">
        <f>SUM(T26:T30)</f>
        <v>330000</v>
      </c>
      <c r="U31" s="14"/>
      <c r="V31" s="32">
        <f>IF(T$12=0,0,T31/T$12)</f>
        <v>0</v>
      </c>
      <c r="W31" s="15"/>
      <c r="X31" s="33">
        <f>+P31-T31</f>
        <v>2477196.06</v>
      </c>
      <c r="Y31" s="15"/>
      <c r="Z31" s="32">
        <f>IF(T31=0,0,X31/T31)</f>
        <v>7.5066547272727275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60">
        <v>44356.891834571761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5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63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313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139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0">
        <f>D12-D15</f>
        <v>0</v>
      </c>
      <c r="E17" s="14"/>
      <c r="F17" s="21">
        <f>IF(D$12=0,0,D17/D$12)</f>
        <v>0</v>
      </c>
      <c r="G17" s="14"/>
      <c r="H17" s="20">
        <f>H12-H15</f>
        <v>0</v>
      </c>
      <c r="I17" s="14"/>
      <c r="J17" s="21">
        <f>IF(H$12=0,0,H17/H$12)</f>
        <v>0</v>
      </c>
      <c r="K17" s="15"/>
      <c r="L17" s="20">
        <f>+D17-H17</f>
        <v>0</v>
      </c>
      <c r="M17" s="15"/>
      <c r="N17" s="21">
        <f>IF(H17=0,0,L17/H17)</f>
        <v>0</v>
      </c>
      <c r="O17" s="29"/>
      <c r="P17" s="20">
        <f>P12-P15</f>
        <v>0</v>
      </c>
      <c r="Q17" s="14"/>
      <c r="R17" s="21">
        <f>IF(P$12=0,0,P17/P$12)</f>
        <v>0</v>
      </c>
      <c r="S17" s="14"/>
      <c r="T17" s="20">
        <f>T12-T15</f>
        <v>0</v>
      </c>
      <c r="U17" s="14"/>
      <c r="V17" s="21">
        <f>IF(T$12=0,0,T17/T$12)</f>
        <v>0</v>
      </c>
      <c r="W17" s="15"/>
      <c r="X17" s="20">
        <f>+P17-T17</f>
        <v>0</v>
      </c>
      <c r="Y17" s="15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2">
        <f>SUM(OSRRefD22x_0)</f>
        <v>213156.25999999998</v>
      </c>
      <c r="E19" s="22"/>
      <c r="F19" s="31">
        <f t="shared" ref="F19:F31" si="4">IF(D$12=0,0,D19/D$12)</f>
        <v>0</v>
      </c>
      <c r="G19" s="22"/>
      <c r="H19" s="22">
        <f>SUM(OSRRefH22x_0)</f>
        <v>249099.42888000008</v>
      </c>
      <c r="I19" s="22"/>
      <c r="J19" s="31">
        <f t="shared" ref="J19:J31" si="5">IF(H$12=0,0,H19/H$12)</f>
        <v>0</v>
      </c>
      <c r="K19" s="4"/>
      <c r="L19" s="22">
        <f t="shared" ref="L19:L31" si="6">+D19-H19</f>
        <v>-35943.168880000099</v>
      </c>
      <c r="M19" s="4"/>
      <c r="N19" s="31">
        <f t="shared" ref="N19:N31" si="7">IF(H19=0,0,L19/H19)</f>
        <v>-0.14429245800204216</v>
      </c>
      <c r="O19" s="10"/>
      <c r="P19" s="22">
        <f>SUM(OSRRefP22x_0)</f>
        <v>2096793.0899999996</v>
      </c>
      <c r="Q19" s="22"/>
      <c r="R19" s="31">
        <f t="shared" ref="R19:R31" si="8">IF(P$12=0,0,P19/P$12)</f>
        <v>0</v>
      </c>
      <c r="S19" s="22"/>
      <c r="T19" s="22">
        <f>SUM(OSRRefT22x_0)</f>
        <v>2992949.5880246167</v>
      </c>
      <c r="U19" s="22"/>
      <c r="V19" s="31">
        <f t="shared" ref="V19:V31" si="9">IF(T$12=0,0,T19/T$12)</f>
        <v>0</v>
      </c>
      <c r="W19" s="4"/>
      <c r="X19" s="22">
        <f t="shared" ref="X19:X31" si="10">+P19-T19</f>
        <v>-896156.49802461709</v>
      </c>
      <c r="Y19" s="4"/>
      <c r="Z19" s="31">
        <f t="shared" ref="Z19:Z31" si="11">IF(T19=0,0,X19/T19)</f>
        <v>-0.29942251670737002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83399.63</v>
      </c>
      <c r="E20" s="1"/>
      <c r="F20" s="5">
        <f t="shared" si="4"/>
        <v>0</v>
      </c>
      <c r="G20" s="1"/>
      <c r="H20" s="1">
        <f>SUM(OSRRefH22_0x_0)</f>
        <v>82173.751956923079</v>
      </c>
      <c r="I20" s="1"/>
      <c r="J20" s="5">
        <f t="shared" si="5"/>
        <v>0</v>
      </c>
      <c r="K20" s="1"/>
      <c r="L20" s="1">
        <f t="shared" si="6"/>
        <v>1225.8780430769257</v>
      </c>
      <c r="M20" s="1"/>
      <c r="N20" s="5">
        <f t="shared" si="7"/>
        <v>1.491812183189046E-2</v>
      </c>
      <c r="O20" s="13"/>
      <c r="P20" s="1">
        <f>SUM(OSRRefP22_0x_0)</f>
        <v>510171.93999999994</v>
      </c>
      <c r="Q20" s="1"/>
      <c r="R20" s="5">
        <f t="shared" si="8"/>
        <v>0</v>
      </c>
      <c r="S20" s="1"/>
      <c r="T20" s="1">
        <f>SUM(OSRRefT22_0x_0)</f>
        <v>884806.34187076963</v>
      </c>
      <c r="U20" s="1"/>
      <c r="V20" s="5">
        <f t="shared" si="9"/>
        <v>0</v>
      </c>
      <c r="W20" s="1"/>
      <c r="X20" s="1">
        <f t="shared" si="10"/>
        <v>-374634.40187076968</v>
      </c>
      <c r="Y20" s="1"/>
      <c r="Z20" s="5">
        <f t="shared" si="11"/>
        <v>-0.42340835970803531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7">
        <v>7063.83</v>
      </c>
      <c r="E21" s="2"/>
      <c r="F21" s="6">
        <f t="shared" si="4"/>
        <v>0</v>
      </c>
      <c r="G21" s="2"/>
      <c r="H21" s="7">
        <v>8112.8864307692302</v>
      </c>
      <c r="I21" s="2"/>
      <c r="J21" s="6">
        <f t="shared" si="5"/>
        <v>0</v>
      </c>
      <c r="K21" s="2"/>
      <c r="L21" s="7">
        <f t="shared" si="6"/>
        <v>-1049.0564307692302</v>
      </c>
      <c r="M21" s="2"/>
      <c r="N21" s="6">
        <f t="shared" si="7"/>
        <v>-0.12930742217597677</v>
      </c>
      <c r="O21" s="11"/>
      <c r="P21" s="7">
        <v>86438.52</v>
      </c>
      <c r="Q21" s="2"/>
      <c r="R21" s="6">
        <f t="shared" si="8"/>
        <v>0</v>
      </c>
      <c r="S21" s="2"/>
      <c r="T21" s="7">
        <v>85083.228276923095</v>
      </c>
      <c r="U21" s="2"/>
      <c r="V21" s="6">
        <f t="shared" si="9"/>
        <v>0</v>
      </c>
      <c r="W21" s="2"/>
      <c r="X21" s="7">
        <f t="shared" si="10"/>
        <v>1355.291723076909</v>
      </c>
      <c r="Y21" s="2"/>
      <c r="Z21" s="6">
        <f t="shared" si="11"/>
        <v>1.5929011516415407E-2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7">
        <v>884.42</v>
      </c>
      <c r="E22" s="2"/>
      <c r="F22" s="6">
        <f t="shared" si="4"/>
        <v>0</v>
      </c>
      <c r="G22" s="2"/>
      <c r="H22" s="7">
        <v>652.68862153846101</v>
      </c>
      <c r="I22" s="2"/>
      <c r="J22" s="6">
        <f t="shared" si="5"/>
        <v>0</v>
      </c>
      <c r="K22" s="2"/>
      <c r="L22" s="7">
        <f t="shared" si="6"/>
        <v>231.73137846153895</v>
      </c>
      <c r="M22" s="2"/>
      <c r="N22" s="6">
        <f t="shared" si="7"/>
        <v>0.35504124143503812</v>
      </c>
      <c r="O22" s="11"/>
      <c r="P22" s="7">
        <v>7351.55</v>
      </c>
      <c r="Q22" s="2"/>
      <c r="R22" s="6">
        <f t="shared" si="8"/>
        <v>0</v>
      </c>
      <c r="S22" s="2"/>
      <c r="T22" s="7">
        <v>7343.7034338461499</v>
      </c>
      <c r="U22" s="2"/>
      <c r="V22" s="6">
        <f t="shared" si="9"/>
        <v>0</v>
      </c>
      <c r="W22" s="2"/>
      <c r="X22" s="7">
        <f t="shared" si="10"/>
        <v>7.84656615385029</v>
      </c>
      <c r="Y22" s="2"/>
      <c r="Z22" s="6">
        <f t="shared" si="11"/>
        <v>1.0684753577720081E-3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7">
        <v>22431.15</v>
      </c>
      <c r="E23" s="2"/>
      <c r="F23" s="6">
        <f t="shared" si="4"/>
        <v>0</v>
      </c>
      <c r="G23" s="2"/>
      <c r="H23" s="7">
        <v>21758.557692307699</v>
      </c>
      <c r="I23" s="2"/>
      <c r="J23" s="6">
        <f t="shared" si="5"/>
        <v>0</v>
      </c>
      <c r="K23" s="2"/>
      <c r="L23" s="7">
        <f t="shared" si="6"/>
        <v>672.59230769230271</v>
      </c>
      <c r="M23" s="2"/>
      <c r="N23" s="6">
        <f t="shared" si="7"/>
        <v>3.0911621864076231E-2</v>
      </c>
      <c r="O23" s="11"/>
      <c r="P23" s="7">
        <v>250123.53</v>
      </c>
      <c r="Q23" s="2"/>
      <c r="R23" s="6">
        <f t="shared" si="8"/>
        <v>0</v>
      </c>
      <c r="S23" s="2"/>
      <c r="T23" s="7">
        <v>233429.134615385</v>
      </c>
      <c r="U23" s="2"/>
      <c r="V23" s="6">
        <f t="shared" si="9"/>
        <v>0</v>
      </c>
      <c r="W23" s="2"/>
      <c r="X23" s="7">
        <f t="shared" si="10"/>
        <v>16694.395384614996</v>
      </c>
      <c r="Y23" s="2"/>
      <c r="Z23" s="6">
        <f t="shared" si="11"/>
        <v>7.151804513229211E-2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364.88</v>
      </c>
      <c r="E24" s="2"/>
      <c r="F24" s="6">
        <f t="shared" si="4"/>
        <v>0</v>
      </c>
      <c r="G24" s="2"/>
      <c r="H24" s="7">
        <v>298.75152000000003</v>
      </c>
      <c r="I24" s="2"/>
      <c r="J24" s="6">
        <f t="shared" si="5"/>
        <v>0</v>
      </c>
      <c r="K24" s="2"/>
      <c r="L24" s="7">
        <f t="shared" si="6"/>
        <v>66.128479999999968</v>
      </c>
      <c r="M24" s="2"/>
      <c r="N24" s="6">
        <f t="shared" si="7"/>
        <v>0.22134943447317007</v>
      </c>
      <c r="O24" s="11"/>
      <c r="P24" s="7">
        <v>3144.75</v>
      </c>
      <c r="Q24" s="2"/>
      <c r="R24" s="6">
        <f t="shared" si="8"/>
        <v>0</v>
      </c>
      <c r="S24" s="2"/>
      <c r="T24" s="7">
        <v>3193.54016</v>
      </c>
      <c r="U24" s="2"/>
      <c r="V24" s="6">
        <f t="shared" si="9"/>
        <v>0</v>
      </c>
      <c r="W24" s="2"/>
      <c r="X24" s="7">
        <f t="shared" si="10"/>
        <v>-48.790160000000014</v>
      </c>
      <c r="Y24" s="2"/>
      <c r="Z24" s="6">
        <f t="shared" si="11"/>
        <v>-1.5277766226681807E-2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7">
        <v>7812.41</v>
      </c>
      <c r="E25" s="2"/>
      <c r="F25" s="6">
        <f t="shared" si="4"/>
        <v>0</v>
      </c>
      <c r="G25" s="2"/>
      <c r="H25" s="7">
        <v>7006.3538461538401</v>
      </c>
      <c r="I25" s="2"/>
      <c r="J25" s="6">
        <f t="shared" si="5"/>
        <v>0</v>
      </c>
      <c r="K25" s="2"/>
      <c r="L25" s="7">
        <f t="shared" si="6"/>
        <v>806.05615384615976</v>
      </c>
      <c r="M25" s="2"/>
      <c r="N25" s="6">
        <f t="shared" si="7"/>
        <v>0.1150464523410628</v>
      </c>
      <c r="O25" s="11"/>
      <c r="P25" s="7">
        <v>98000.38</v>
      </c>
      <c r="Q25" s="2"/>
      <c r="R25" s="6">
        <f t="shared" si="8"/>
        <v>0</v>
      </c>
      <c r="S25" s="2"/>
      <c r="T25" s="7">
        <v>70977.784615384604</v>
      </c>
      <c r="U25" s="2"/>
      <c r="V25" s="6">
        <f t="shared" si="9"/>
        <v>0</v>
      </c>
      <c r="W25" s="2"/>
      <c r="X25" s="7">
        <f t="shared" si="10"/>
        <v>27022.595384615401</v>
      </c>
      <c r="Y25" s="2"/>
      <c r="Z25" s="6">
        <f t="shared" si="11"/>
        <v>0.38071905922459842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7">
        <v>4846</v>
      </c>
      <c r="E26" s="2"/>
      <c r="F26" s="6">
        <f t="shared" si="4"/>
        <v>0</v>
      </c>
      <c r="G26" s="2"/>
      <c r="H26" s="7">
        <v>300</v>
      </c>
      <c r="I26" s="2"/>
      <c r="J26" s="6">
        <f t="shared" si="5"/>
        <v>0</v>
      </c>
      <c r="K26" s="2"/>
      <c r="L26" s="7">
        <f t="shared" si="6"/>
        <v>4546</v>
      </c>
      <c r="M26" s="2"/>
      <c r="N26" s="6">
        <f t="shared" si="7"/>
        <v>15.153333333333334</v>
      </c>
      <c r="O26" s="11"/>
      <c r="P26" s="7">
        <v>4846</v>
      </c>
      <c r="Q26" s="2"/>
      <c r="R26" s="6">
        <f t="shared" si="8"/>
        <v>0</v>
      </c>
      <c r="S26" s="2"/>
      <c r="T26" s="7">
        <v>3300</v>
      </c>
      <c r="U26" s="2"/>
      <c r="V26" s="6">
        <f t="shared" si="9"/>
        <v>0</v>
      </c>
      <c r="W26" s="2"/>
      <c r="X26" s="7">
        <f t="shared" si="10"/>
        <v>1546</v>
      </c>
      <c r="Y26" s="2"/>
      <c r="Z26" s="6">
        <f t="shared" si="11"/>
        <v>0.4684848484848485</v>
      </c>
    </row>
    <row r="27" spans="1:26" s="24" customFormat="1" hidden="1" outlineLevel="2" x14ac:dyDescent="0.25">
      <c r="A27" s="25"/>
      <c r="B27" s="11" t="str">
        <f>CONCATENATE("          ", "6117", " - ", "RETIREMENT STAFF HOURLY")</f>
        <v xml:space="preserve">          6117 - RETIREMENT STAFF HOURLY</v>
      </c>
      <c r="C27" s="11"/>
      <c r="D27" s="7">
        <v>534.51</v>
      </c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534.51</v>
      </c>
      <c r="M27" s="2"/>
      <c r="N27" s="6">
        <f t="shared" si="7"/>
        <v>0</v>
      </c>
      <c r="O27" s="11"/>
      <c r="P27" s="7">
        <v>7578.29</v>
      </c>
      <c r="Q27" s="2"/>
      <c r="R27" s="6">
        <f t="shared" si="8"/>
        <v>0</v>
      </c>
      <c r="S27" s="2"/>
      <c r="T27" s="7"/>
      <c r="U27" s="2"/>
      <c r="V27" s="6">
        <f t="shared" si="9"/>
        <v>0</v>
      </c>
      <c r="W27" s="2"/>
      <c r="X27" s="7">
        <f t="shared" si="10"/>
        <v>7578.29</v>
      </c>
      <c r="Y27" s="2"/>
      <c r="Z27" s="6">
        <f t="shared" si="11"/>
        <v>0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7">
        <v>6667.62</v>
      </c>
      <c r="E28" s="2"/>
      <c r="F28" s="6">
        <f t="shared" si="4"/>
        <v>0</v>
      </c>
      <c r="G28" s="2"/>
      <c r="H28" s="7">
        <v>5394.4615384615399</v>
      </c>
      <c r="I28" s="2"/>
      <c r="J28" s="6">
        <f t="shared" si="5"/>
        <v>0</v>
      </c>
      <c r="K28" s="2"/>
      <c r="L28" s="7">
        <f t="shared" si="6"/>
        <v>1273.15846153846</v>
      </c>
      <c r="M28" s="2"/>
      <c r="N28" s="6">
        <f t="shared" si="7"/>
        <v>0.23601214921286753</v>
      </c>
      <c r="O28" s="11"/>
      <c r="P28" s="7">
        <v>73631.58</v>
      </c>
      <c r="Q28" s="2"/>
      <c r="R28" s="6">
        <f t="shared" si="8"/>
        <v>0</v>
      </c>
      <c r="S28" s="2"/>
      <c r="T28" s="7">
        <v>57173.1538461538</v>
      </c>
      <c r="U28" s="2"/>
      <c r="V28" s="6">
        <f t="shared" si="9"/>
        <v>0</v>
      </c>
      <c r="W28" s="2"/>
      <c r="X28" s="7">
        <f t="shared" si="10"/>
        <v>16458.426153846201</v>
      </c>
      <c r="Y28" s="2"/>
      <c r="Z28" s="6">
        <f t="shared" si="11"/>
        <v>0.28786983132212507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7">
        <v>4003.52</v>
      </c>
      <c r="E29" s="2"/>
      <c r="F29" s="6">
        <f t="shared" si="4"/>
        <v>0</v>
      </c>
      <c r="G29" s="2"/>
      <c r="H29" s="7">
        <v>4300.05230769231</v>
      </c>
      <c r="I29" s="2"/>
      <c r="J29" s="6">
        <f t="shared" si="5"/>
        <v>0</v>
      </c>
      <c r="K29" s="2"/>
      <c r="L29" s="7">
        <f t="shared" si="6"/>
        <v>-296.53230769231004</v>
      </c>
      <c r="M29" s="2"/>
      <c r="N29" s="6">
        <f t="shared" si="7"/>
        <v>-6.8960162917517789E-2</v>
      </c>
      <c r="O29" s="11"/>
      <c r="P29" s="7">
        <v>48927.839999999997</v>
      </c>
      <c r="Q29" s="2"/>
      <c r="R29" s="6">
        <f t="shared" si="8"/>
        <v>0</v>
      </c>
      <c r="S29" s="2"/>
      <c r="T29" s="7">
        <v>47010.796923076901</v>
      </c>
      <c r="U29" s="2"/>
      <c r="V29" s="6">
        <f t="shared" si="9"/>
        <v>0</v>
      </c>
      <c r="W29" s="2"/>
      <c r="X29" s="7">
        <f t="shared" si="10"/>
        <v>1917.0430769230952</v>
      </c>
      <c r="Y29" s="2"/>
      <c r="Z29" s="6">
        <f t="shared" si="11"/>
        <v>4.0778782798766962E-2</v>
      </c>
    </row>
    <row r="30" spans="1:26" s="24" customFormat="1" hidden="1" outlineLevel="2" x14ac:dyDescent="0.25">
      <c r="A30" s="25"/>
      <c r="B30" s="11" t="str">
        <f>CONCATENATE("          ", "6120", " - ", "RETIREES HEALTH INSURANCE")</f>
        <v xml:space="preserve">          6120 - RETIREES HEALTH INSURANCE</v>
      </c>
      <c r="C30" s="11"/>
      <c r="D30" s="7">
        <v>28124.68</v>
      </c>
      <c r="E30" s="2"/>
      <c r="F30" s="6">
        <f t="shared" si="4"/>
        <v>0</v>
      </c>
      <c r="G30" s="2"/>
      <c r="H30" s="7">
        <v>32000</v>
      </c>
      <c r="I30" s="2"/>
      <c r="J30" s="6">
        <f t="shared" si="5"/>
        <v>0</v>
      </c>
      <c r="K30" s="2"/>
      <c r="L30" s="7">
        <f t="shared" si="6"/>
        <v>-3875.3199999999997</v>
      </c>
      <c r="M30" s="2"/>
      <c r="N30" s="6">
        <f t="shared" si="7"/>
        <v>-0.12110375</v>
      </c>
      <c r="O30" s="11"/>
      <c r="P30" s="7">
        <v>-76693.88</v>
      </c>
      <c r="Q30" s="2"/>
      <c r="R30" s="6">
        <f t="shared" si="8"/>
        <v>0</v>
      </c>
      <c r="S30" s="2"/>
      <c r="T30" s="7">
        <v>352000</v>
      </c>
      <c r="U30" s="2"/>
      <c r="V30" s="6">
        <f t="shared" si="9"/>
        <v>0</v>
      </c>
      <c r="W30" s="2"/>
      <c r="X30" s="7">
        <f t="shared" si="10"/>
        <v>-428693.88</v>
      </c>
      <c r="Y30" s="2"/>
      <c r="Z30" s="6">
        <f t="shared" si="11"/>
        <v>-1.217880340909091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7">
        <v>666.61</v>
      </c>
      <c r="E31" s="2"/>
      <c r="F31" s="6">
        <f t="shared" si="4"/>
        <v>0</v>
      </c>
      <c r="G31" s="2"/>
      <c r="H31" s="7">
        <v>2350</v>
      </c>
      <c r="I31" s="2"/>
      <c r="J31" s="6">
        <f t="shared" si="5"/>
        <v>0</v>
      </c>
      <c r="K31" s="2"/>
      <c r="L31" s="7">
        <f t="shared" si="6"/>
        <v>-1683.3899999999999</v>
      </c>
      <c r="M31" s="2"/>
      <c r="N31" s="6">
        <f t="shared" si="7"/>
        <v>-0.71633617021276585</v>
      </c>
      <c r="O31" s="11"/>
      <c r="P31" s="7">
        <v>6823.38</v>
      </c>
      <c r="Q31" s="2"/>
      <c r="R31" s="6">
        <f t="shared" si="8"/>
        <v>0</v>
      </c>
      <c r="S31" s="2"/>
      <c r="T31" s="7">
        <v>25295</v>
      </c>
      <c r="U31" s="2"/>
      <c r="V31" s="6">
        <f t="shared" si="9"/>
        <v>0</v>
      </c>
      <c r="W31" s="2"/>
      <c r="X31" s="7">
        <f t="shared" si="10"/>
        <v>-18471.62</v>
      </c>
      <c r="Y31" s="2"/>
      <c r="Z31" s="6">
        <f t="shared" si="11"/>
        <v>-0.73024787507412525</v>
      </c>
    </row>
    <row r="32" spans="1:26" s="27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89430.22</v>
      </c>
      <c r="E32" s="1"/>
      <c r="F32" s="5">
        <f t="shared" ref="F32:F42" si="12">IF(D$12=0,0,D32/D$12)</f>
        <v>0</v>
      </c>
      <c r="G32" s="1"/>
      <c r="H32" s="1">
        <f>SUM(OSRRefH22_1x_0)</f>
        <v>105698.67692307699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-16268.456923076985</v>
      </c>
      <c r="M32" s="1"/>
      <c r="N32" s="5">
        <f t="shared" ref="N32:N42" si="15">IF(H32=0,0,L32/H32)</f>
        <v>-0.15391353417712578</v>
      </c>
      <c r="O32" s="13"/>
      <c r="P32" s="1">
        <f>SUM(OSRRefP22_1x_0)</f>
        <v>1023459.4400000001</v>
      </c>
      <c r="Q32" s="1"/>
      <c r="R32" s="5">
        <f t="shared" ref="R32:R42" si="16">IF(P$12=0,0,P32/P$12)</f>
        <v>0</v>
      </c>
      <c r="S32" s="1"/>
      <c r="T32" s="1">
        <f>SUM(OSRRefT22_1x_0)</f>
        <v>1129890.2461538471</v>
      </c>
      <c r="U32" s="1"/>
      <c r="V32" s="5">
        <f t="shared" ref="V32:V42" si="17">IF(T$12=0,0,T32/T$12)</f>
        <v>0</v>
      </c>
      <c r="W32" s="1"/>
      <c r="X32" s="1">
        <f t="shared" ref="X32:X42" si="18">+P32-T32</f>
        <v>-106430.80615384702</v>
      </c>
      <c r="Y32" s="1"/>
      <c r="Z32" s="5">
        <f t="shared" ref="Z32:Z42" si="19">IF(T32=0,0,X32/T32)</f>
        <v>-9.4195703092524341E-2</v>
      </c>
    </row>
    <row r="33" spans="1:26" s="24" customFormat="1" hidden="1" outlineLevel="2" x14ac:dyDescent="0.25">
      <c r="A33" s="25"/>
      <c r="B33" s="11" t="str">
        <f>CONCATENATE("          ", "6001", " - ", "ADMINISTRATIVE SALARIES")</f>
        <v xml:space="preserve">          6001 - ADMINISTRATIVE SALARIES</v>
      </c>
      <c r="C33" s="11"/>
      <c r="D33" s="7">
        <v>21866.82</v>
      </c>
      <c r="E33" s="2"/>
      <c r="F33" s="6">
        <f t="shared" si="12"/>
        <v>0</v>
      </c>
      <c r="G33" s="2"/>
      <c r="H33" s="7">
        <v>40026.9230769231</v>
      </c>
      <c r="I33" s="2"/>
      <c r="J33" s="6">
        <f t="shared" si="13"/>
        <v>0</v>
      </c>
      <c r="K33" s="2"/>
      <c r="L33" s="7">
        <f t="shared" si="14"/>
        <v>-18160.1030769231</v>
      </c>
      <c r="M33" s="2"/>
      <c r="N33" s="6">
        <f t="shared" si="15"/>
        <v>-0.45369720380513145</v>
      </c>
      <c r="O33" s="11"/>
      <c r="P33" s="7">
        <v>272324.67</v>
      </c>
      <c r="Q33" s="2"/>
      <c r="R33" s="6">
        <f t="shared" si="16"/>
        <v>0</v>
      </c>
      <c r="S33" s="2"/>
      <c r="T33" s="7">
        <v>340200</v>
      </c>
      <c r="U33" s="2"/>
      <c r="V33" s="6">
        <f t="shared" si="17"/>
        <v>0</v>
      </c>
      <c r="W33" s="2"/>
      <c r="X33" s="7">
        <f t="shared" si="18"/>
        <v>-67875.330000000016</v>
      </c>
      <c r="Y33" s="2"/>
      <c r="Z33" s="6">
        <f t="shared" si="19"/>
        <v>-0.19951596119929457</v>
      </c>
    </row>
    <row r="34" spans="1:26" s="24" customFormat="1" hidden="1" outlineLevel="2" x14ac:dyDescent="0.25">
      <c r="A34" s="25"/>
      <c r="B34" s="11" t="str">
        <f>CONCATENATE("          ", "6002", " - ", "STAFF SALARIES")</f>
        <v xml:space="preserve">          6002 - STAFF SALARIES</v>
      </c>
      <c r="C34" s="11"/>
      <c r="D34" s="7">
        <v>47127.4</v>
      </c>
      <c r="E34" s="2"/>
      <c r="F34" s="6">
        <f t="shared" si="12"/>
        <v>0</v>
      </c>
      <c r="G34" s="2"/>
      <c r="H34" s="7">
        <v>34146.153846153902</v>
      </c>
      <c r="I34" s="2"/>
      <c r="J34" s="6">
        <f t="shared" si="13"/>
        <v>0</v>
      </c>
      <c r="K34" s="2"/>
      <c r="L34" s="7">
        <f t="shared" si="14"/>
        <v>12981.246153846099</v>
      </c>
      <c r="M34" s="2"/>
      <c r="N34" s="6">
        <f t="shared" si="15"/>
        <v>0.3801671547645844</v>
      </c>
      <c r="O34" s="11"/>
      <c r="P34" s="7">
        <v>535535.34</v>
      </c>
      <c r="Q34" s="2"/>
      <c r="R34" s="6">
        <f t="shared" si="16"/>
        <v>0</v>
      </c>
      <c r="S34" s="2"/>
      <c r="T34" s="7">
        <v>409753.846153847</v>
      </c>
      <c r="U34" s="2"/>
      <c r="V34" s="6">
        <f t="shared" si="17"/>
        <v>0</v>
      </c>
      <c r="W34" s="2"/>
      <c r="X34" s="7">
        <f t="shared" si="18"/>
        <v>125781.49384615297</v>
      </c>
      <c r="Y34" s="2"/>
      <c r="Z34" s="6">
        <f t="shared" si="19"/>
        <v>0.30696842757377513</v>
      </c>
    </row>
    <row r="35" spans="1:26" s="24" customFormat="1" hidden="1" outlineLevel="2" x14ac:dyDescent="0.25">
      <c r="A35" s="25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5"/>
      <c r="B36" s="11" t="str">
        <f>CONCATENATE("          ", "6004", " - ", "STAFF HOURLY")</f>
        <v xml:space="preserve">          6004 - STAFF HOURLY</v>
      </c>
      <c r="C36" s="11"/>
      <c r="D36" s="7">
        <v>14271.81</v>
      </c>
      <c r="E36" s="2"/>
      <c r="F36" s="6">
        <f t="shared" si="12"/>
        <v>0</v>
      </c>
      <c r="G36" s="2"/>
      <c r="H36" s="7">
        <v>20346.400000000001</v>
      </c>
      <c r="I36" s="2"/>
      <c r="J36" s="6">
        <f t="shared" si="13"/>
        <v>0</v>
      </c>
      <c r="K36" s="2"/>
      <c r="L36" s="7">
        <f t="shared" si="14"/>
        <v>-6074.590000000002</v>
      </c>
      <c r="M36" s="2"/>
      <c r="N36" s="6">
        <f t="shared" si="15"/>
        <v>-0.29855846734557473</v>
      </c>
      <c r="O36" s="11"/>
      <c r="P36" s="7">
        <v>187472.52</v>
      </c>
      <c r="Q36" s="2"/>
      <c r="R36" s="6">
        <f t="shared" si="16"/>
        <v>0</v>
      </c>
      <c r="S36" s="2"/>
      <c r="T36" s="7">
        <v>250146.8</v>
      </c>
      <c r="U36" s="2"/>
      <c r="V36" s="6">
        <f t="shared" si="17"/>
        <v>0</v>
      </c>
      <c r="W36" s="2"/>
      <c r="X36" s="7">
        <f t="shared" si="18"/>
        <v>-62674.28</v>
      </c>
      <c r="Y36" s="2"/>
      <c r="Z36" s="6">
        <f t="shared" si="19"/>
        <v>-0.25054999704173708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7">
        <v>4870.13</v>
      </c>
      <c r="E37" s="2"/>
      <c r="F37" s="6">
        <f t="shared" si="12"/>
        <v>0</v>
      </c>
      <c r="G37" s="2"/>
      <c r="H37" s="7">
        <v>7772</v>
      </c>
      <c r="I37" s="2"/>
      <c r="J37" s="6">
        <f t="shared" si="13"/>
        <v>0</v>
      </c>
      <c r="K37" s="2"/>
      <c r="L37" s="7">
        <f t="shared" si="14"/>
        <v>-2901.87</v>
      </c>
      <c r="M37" s="2"/>
      <c r="N37" s="6">
        <f t="shared" si="15"/>
        <v>-0.3733749356664951</v>
      </c>
      <c r="O37" s="11"/>
      <c r="P37" s="7">
        <v>58204.01</v>
      </c>
      <c r="Q37" s="2"/>
      <c r="R37" s="6">
        <f t="shared" si="16"/>
        <v>0</v>
      </c>
      <c r="S37" s="2"/>
      <c r="T37" s="7">
        <v>93264</v>
      </c>
      <c r="U37" s="2"/>
      <c r="V37" s="6">
        <f t="shared" si="17"/>
        <v>0</v>
      </c>
      <c r="W37" s="2"/>
      <c r="X37" s="7">
        <f t="shared" si="18"/>
        <v>-35059.99</v>
      </c>
      <c r="Y37" s="2"/>
      <c r="Z37" s="6">
        <f t="shared" si="19"/>
        <v>-0.37592200634757245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0</v>
      </c>
      <c r="Y38" s="2"/>
      <c r="Z38" s="6">
        <f t="shared" si="19"/>
        <v>0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12"/>
        <v>0</v>
      </c>
      <c r="G39" s="2"/>
      <c r="H39" s="7">
        <v>2284</v>
      </c>
      <c r="I39" s="2"/>
      <c r="J39" s="6">
        <f t="shared" si="13"/>
        <v>0</v>
      </c>
      <c r="K39" s="2"/>
      <c r="L39" s="7">
        <f t="shared" si="14"/>
        <v>-2284</v>
      </c>
      <c r="M39" s="2"/>
      <c r="N39" s="6">
        <f t="shared" si="15"/>
        <v>-1</v>
      </c>
      <c r="O39" s="11"/>
      <c r="P39" s="7">
        <v>-44841.01</v>
      </c>
      <c r="Q39" s="2"/>
      <c r="R39" s="6">
        <f t="shared" si="16"/>
        <v>0</v>
      </c>
      <c r="S39" s="2"/>
      <c r="T39" s="7">
        <v>13583</v>
      </c>
      <c r="U39" s="2"/>
      <c r="V39" s="6">
        <f t="shared" si="17"/>
        <v>0</v>
      </c>
      <c r="W39" s="2"/>
      <c r="X39" s="7">
        <f t="shared" si="18"/>
        <v>-58424.01</v>
      </c>
      <c r="Y39" s="2"/>
      <c r="Z39" s="6">
        <f t="shared" si="19"/>
        <v>-4.3012596628138118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7">
        <v>1294.06</v>
      </c>
      <c r="E40" s="2"/>
      <c r="F40" s="6">
        <f t="shared" si="12"/>
        <v>0</v>
      </c>
      <c r="G40" s="2"/>
      <c r="H40" s="7">
        <v>1123.2</v>
      </c>
      <c r="I40" s="2"/>
      <c r="J40" s="6">
        <f t="shared" si="13"/>
        <v>0</v>
      </c>
      <c r="K40" s="2"/>
      <c r="L40" s="7">
        <f t="shared" si="14"/>
        <v>170.8599999999999</v>
      </c>
      <c r="M40" s="2"/>
      <c r="N40" s="6">
        <f t="shared" si="15"/>
        <v>0.15211894586894578</v>
      </c>
      <c r="O40" s="11"/>
      <c r="P40" s="7">
        <v>14763.91</v>
      </c>
      <c r="Q40" s="2"/>
      <c r="R40" s="6">
        <f t="shared" si="16"/>
        <v>0</v>
      </c>
      <c r="S40" s="2"/>
      <c r="T40" s="7">
        <v>22942.6</v>
      </c>
      <c r="U40" s="2"/>
      <c r="V40" s="6">
        <f t="shared" si="17"/>
        <v>0</v>
      </c>
      <c r="W40" s="2"/>
      <c r="X40" s="7">
        <f t="shared" si="18"/>
        <v>-8178.6899999999987</v>
      </c>
      <c r="Y40" s="2"/>
      <c r="Z40" s="6">
        <f t="shared" si="19"/>
        <v>-0.35648487965618542</v>
      </c>
    </row>
    <row r="41" spans="1:26" s="24" customFormat="1" hidden="1" outlineLevel="2" x14ac:dyDescent="0.25">
      <c r="A41" s="25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4" customFormat="1" hidden="1" outlineLevel="2" x14ac:dyDescent="0.25">
      <c r="A42" s="25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12"/>
        <v>0</v>
      </c>
      <c r="G42" s="2"/>
      <c r="H42" s="7">
        <v>0</v>
      </c>
      <c r="I42" s="2"/>
      <c r="J42" s="6">
        <f t="shared" si="13"/>
        <v>0</v>
      </c>
      <c r="K42" s="2"/>
      <c r="L42" s="7">
        <f t="shared" si="14"/>
        <v>0</v>
      </c>
      <c r="M42" s="2"/>
      <c r="N42" s="6">
        <f t="shared" si="15"/>
        <v>0</v>
      </c>
      <c r="O42" s="11"/>
      <c r="P42" s="7"/>
      <c r="Q42" s="2"/>
      <c r="R42" s="6">
        <f t="shared" si="16"/>
        <v>0</v>
      </c>
      <c r="S42" s="2"/>
      <c r="T42" s="7">
        <v>0</v>
      </c>
      <c r="U42" s="2"/>
      <c r="V42" s="6">
        <f t="shared" si="17"/>
        <v>0</v>
      </c>
      <c r="W42" s="2"/>
      <c r="X42" s="7">
        <f t="shared" si="18"/>
        <v>0</v>
      </c>
      <c r="Y42" s="2"/>
      <c r="Z42" s="6">
        <f t="shared" si="19"/>
        <v>0</v>
      </c>
    </row>
    <row r="43" spans="1:26" s="27" customFormat="1" outlineLevel="1" collapsed="1" x14ac:dyDescent="0.25">
      <c r="A43" s="26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245.18</v>
      </c>
      <c r="E43" s="1"/>
      <c r="F43" s="5">
        <f t="shared" ref="F43:F51" si="20">IF(D$12=0,0,D43/D$12)</f>
        <v>0</v>
      </c>
      <c r="G43" s="1"/>
      <c r="H43" s="1">
        <f>SUM(OSRRefH22_2x_0)</f>
        <v>9083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-8837.82</v>
      </c>
      <c r="M43" s="1"/>
      <c r="N43" s="5">
        <f t="shared" ref="N43:N51" si="23">IF(H43=0,0,L43/H43)</f>
        <v>-0.9730067158427832</v>
      </c>
      <c r="O43" s="13"/>
      <c r="P43" s="1">
        <f>SUM(OSRRefP22_2x_0)</f>
        <v>1977.17</v>
      </c>
      <c r="Q43" s="1"/>
      <c r="R43" s="5">
        <f t="shared" ref="R43:R51" si="24">IF(P$12=0,0,P43/P$12)</f>
        <v>0</v>
      </c>
      <c r="S43" s="1"/>
      <c r="T43" s="1">
        <f>SUM(OSRRefT22_2x_0)</f>
        <v>100013</v>
      </c>
      <c r="U43" s="1"/>
      <c r="V43" s="5">
        <f t="shared" ref="V43:V51" si="25">IF(T$12=0,0,T43/T$12)</f>
        <v>0</v>
      </c>
      <c r="W43" s="1"/>
      <c r="X43" s="1">
        <f t="shared" ref="X43:X51" si="26">+P43-T43</f>
        <v>-98035.83</v>
      </c>
      <c r="Y43" s="1"/>
      <c r="Z43" s="5">
        <f t="shared" ref="Z43:Z51" si="27">IF(T43=0,0,X43/T43)</f>
        <v>-0.98023086998690168</v>
      </c>
    </row>
    <row r="44" spans="1:26" s="24" customFormat="1" hidden="1" outlineLevel="2" x14ac:dyDescent="0.25">
      <c r="A44" s="25"/>
      <c r="B44" s="11" t="str">
        <f>CONCATENATE("          ", "6362", " - ", "ADVERTISING EXPENSE")</f>
        <v xml:space="preserve">          6362 - ADVERTISING EXPENSE</v>
      </c>
      <c r="C44" s="11"/>
      <c r="D44" s="7">
        <v>245.18</v>
      </c>
      <c r="E44" s="2"/>
      <c r="F44" s="6">
        <f t="shared" si="20"/>
        <v>0</v>
      </c>
      <c r="G44" s="2"/>
      <c r="H44" s="7">
        <v>9083</v>
      </c>
      <c r="I44" s="2"/>
      <c r="J44" s="6">
        <f t="shared" si="21"/>
        <v>0</v>
      </c>
      <c r="K44" s="2"/>
      <c r="L44" s="7">
        <f t="shared" si="22"/>
        <v>-8837.82</v>
      </c>
      <c r="M44" s="2"/>
      <c r="N44" s="6">
        <f t="shared" si="23"/>
        <v>-0.9730067158427832</v>
      </c>
      <c r="O44" s="11"/>
      <c r="P44" s="7">
        <v>1977.17</v>
      </c>
      <c r="Q44" s="2"/>
      <c r="R44" s="6">
        <f t="shared" si="24"/>
        <v>0</v>
      </c>
      <c r="S44" s="2"/>
      <c r="T44" s="7">
        <v>100013</v>
      </c>
      <c r="U44" s="2"/>
      <c r="V44" s="6">
        <f t="shared" si="25"/>
        <v>0</v>
      </c>
      <c r="W44" s="2"/>
      <c r="X44" s="7">
        <f t="shared" si="26"/>
        <v>-98035.83</v>
      </c>
      <c r="Y44" s="2"/>
      <c r="Z44" s="6">
        <f t="shared" si="27"/>
        <v>-0.98023086998690168</v>
      </c>
    </row>
    <row r="45" spans="1:26" s="27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7</v>
      </c>
      <c r="E45" s="1"/>
      <c r="F45" s="5">
        <f t="shared" si="20"/>
        <v>0</v>
      </c>
      <c r="G45" s="1"/>
      <c r="H45" s="1">
        <f>SUM(OSRRefH22_3x_0)</f>
        <v>1000</v>
      </c>
      <c r="I45" s="1"/>
      <c r="J45" s="5">
        <f t="shared" si="21"/>
        <v>0</v>
      </c>
      <c r="K45" s="1"/>
      <c r="L45" s="1">
        <f t="shared" si="22"/>
        <v>-993</v>
      </c>
      <c r="M45" s="1"/>
      <c r="N45" s="5">
        <f t="shared" si="23"/>
        <v>-0.99299999999999999</v>
      </c>
      <c r="O45" s="13"/>
      <c r="P45" s="1">
        <f>SUM(OSRRefP22_3x_0)</f>
        <v>6996.07</v>
      </c>
      <c r="Q45" s="1"/>
      <c r="R45" s="5">
        <f t="shared" si="24"/>
        <v>0</v>
      </c>
      <c r="S45" s="1"/>
      <c r="T45" s="1">
        <f>SUM(OSRRefT22_3x_0)</f>
        <v>70000</v>
      </c>
      <c r="U45" s="1"/>
      <c r="V45" s="5">
        <f t="shared" si="25"/>
        <v>0</v>
      </c>
      <c r="W45" s="1"/>
      <c r="X45" s="1">
        <f t="shared" si="26"/>
        <v>-63003.93</v>
      </c>
      <c r="Y45" s="1"/>
      <c r="Z45" s="5">
        <f t="shared" si="27"/>
        <v>-0.90005614285714286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7">
        <v>7</v>
      </c>
      <c r="E46" s="2"/>
      <c r="F46" s="6">
        <f t="shared" si="20"/>
        <v>0</v>
      </c>
      <c r="G46" s="2"/>
      <c r="H46" s="7">
        <v>1000</v>
      </c>
      <c r="I46" s="2"/>
      <c r="J46" s="6">
        <f t="shared" si="21"/>
        <v>0</v>
      </c>
      <c r="K46" s="2"/>
      <c r="L46" s="7">
        <f t="shared" si="22"/>
        <v>-993</v>
      </c>
      <c r="M46" s="2"/>
      <c r="N46" s="6">
        <f t="shared" si="23"/>
        <v>-0.99299999999999999</v>
      </c>
      <c r="O46" s="11"/>
      <c r="P46" s="7">
        <v>6996.07</v>
      </c>
      <c r="Q46" s="2"/>
      <c r="R46" s="6">
        <f t="shared" si="24"/>
        <v>0</v>
      </c>
      <c r="S46" s="2"/>
      <c r="T46" s="7">
        <v>70000</v>
      </c>
      <c r="U46" s="2"/>
      <c r="V46" s="6">
        <f t="shared" si="25"/>
        <v>0</v>
      </c>
      <c r="W46" s="2"/>
      <c r="X46" s="7">
        <f t="shared" si="26"/>
        <v>-63003.93</v>
      </c>
      <c r="Y46" s="2"/>
      <c r="Z46" s="6">
        <f t="shared" si="27"/>
        <v>-0.90005614285714286</v>
      </c>
    </row>
    <row r="47" spans="1:26" s="27" customFormat="1" outlineLevel="1" collapsed="1" x14ac:dyDescent="0.25">
      <c r="A47" s="26"/>
      <c r="B47" s="13" t="str">
        <f>CONCATENATE("     ","Board                                             ")</f>
        <v xml:space="preserve">     Board                                             </v>
      </c>
      <c r="C47" s="13"/>
      <c r="D47" s="1">
        <f>SUM(OSRRefD22_4x_0)</f>
        <v>1042.1099999999999</v>
      </c>
      <c r="E47" s="1"/>
      <c r="F47" s="5">
        <f t="shared" si="20"/>
        <v>0</v>
      </c>
      <c r="G47" s="1"/>
      <c r="H47" s="1">
        <f>SUM(OSRRefH22_4x_0)</f>
        <v>2337</v>
      </c>
      <c r="I47" s="1"/>
      <c r="J47" s="5">
        <f t="shared" si="21"/>
        <v>0</v>
      </c>
      <c r="K47" s="1"/>
      <c r="L47" s="1">
        <f t="shared" si="22"/>
        <v>-1294.8900000000001</v>
      </c>
      <c r="M47" s="1"/>
      <c r="N47" s="5">
        <f t="shared" si="23"/>
        <v>-0.55408215661103988</v>
      </c>
      <c r="O47" s="13"/>
      <c r="P47" s="1">
        <f>SUM(OSRRefP22_4x_0)</f>
        <v>14198.02</v>
      </c>
      <c r="Q47" s="1"/>
      <c r="R47" s="5">
        <f t="shared" si="24"/>
        <v>0</v>
      </c>
      <c r="S47" s="1"/>
      <c r="T47" s="1">
        <f>SUM(OSRRefT22_4x_0)</f>
        <v>43607</v>
      </c>
      <c r="U47" s="1"/>
      <c r="V47" s="5">
        <f t="shared" si="25"/>
        <v>0</v>
      </c>
      <c r="W47" s="1"/>
      <c r="X47" s="1">
        <f t="shared" si="26"/>
        <v>-29408.98</v>
      </c>
      <c r="Y47" s="1"/>
      <c r="Z47" s="5">
        <f t="shared" si="27"/>
        <v>-0.67440961313550574</v>
      </c>
    </row>
    <row r="48" spans="1:26" s="24" customFormat="1" hidden="1" outlineLevel="2" x14ac:dyDescent="0.25">
      <c r="A48" s="25"/>
      <c r="B48" s="11" t="str">
        <f>CONCATENATE("          ", "6397", " - ", "BOARD EXPENSES")</f>
        <v xml:space="preserve">          6397 - BOARD EXPENSES</v>
      </c>
      <c r="C48" s="11"/>
      <c r="D48" s="7">
        <v>1042.1099999999999</v>
      </c>
      <c r="E48" s="2"/>
      <c r="F48" s="6">
        <f t="shared" si="20"/>
        <v>0</v>
      </c>
      <c r="G48" s="2"/>
      <c r="H48" s="7">
        <v>2337</v>
      </c>
      <c r="I48" s="2"/>
      <c r="J48" s="6">
        <f t="shared" si="21"/>
        <v>0</v>
      </c>
      <c r="K48" s="2"/>
      <c r="L48" s="7">
        <f t="shared" si="22"/>
        <v>-1294.8900000000001</v>
      </c>
      <c r="M48" s="2"/>
      <c r="N48" s="6">
        <f t="shared" si="23"/>
        <v>-0.55408215661103988</v>
      </c>
      <c r="O48" s="11"/>
      <c r="P48" s="7">
        <v>14198.02</v>
      </c>
      <c r="Q48" s="2"/>
      <c r="R48" s="6">
        <f t="shared" si="24"/>
        <v>0</v>
      </c>
      <c r="S48" s="2"/>
      <c r="T48" s="7">
        <v>43607</v>
      </c>
      <c r="U48" s="2"/>
      <c r="V48" s="6">
        <f t="shared" si="25"/>
        <v>0</v>
      </c>
      <c r="W48" s="2"/>
      <c r="X48" s="7">
        <f t="shared" si="26"/>
        <v>-29408.98</v>
      </c>
      <c r="Y48" s="2"/>
      <c r="Z48" s="6">
        <f t="shared" si="27"/>
        <v>-0.67440961313550574</v>
      </c>
    </row>
    <row r="49" spans="1:26" s="27" customFormat="1" outlineLevel="1" collapsed="1" x14ac:dyDescent="0.25">
      <c r="A49" s="26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6764.56</v>
      </c>
      <c r="E49" s="1"/>
      <c r="F49" s="5">
        <f t="shared" si="20"/>
        <v>0</v>
      </c>
      <c r="G49" s="1"/>
      <c r="H49" s="1">
        <f>SUM(OSRRefH22_5x_0)</f>
        <v>6765</v>
      </c>
      <c r="I49" s="1"/>
      <c r="J49" s="5">
        <f t="shared" si="21"/>
        <v>0</v>
      </c>
      <c r="K49" s="1"/>
      <c r="L49" s="1">
        <f t="shared" si="22"/>
        <v>-0.43999999999959982</v>
      </c>
      <c r="M49" s="1"/>
      <c r="N49" s="5">
        <f t="shared" si="23"/>
        <v>-6.5040650406444916E-5</v>
      </c>
      <c r="O49" s="13"/>
      <c r="P49" s="1">
        <f>SUM(OSRRefP22_5x_0)</f>
        <v>78911.8</v>
      </c>
      <c r="Q49" s="1"/>
      <c r="R49" s="5">
        <f t="shared" si="24"/>
        <v>0</v>
      </c>
      <c r="S49" s="1"/>
      <c r="T49" s="1">
        <f>SUM(OSRRefT22_5x_0)</f>
        <v>73650</v>
      </c>
      <c r="U49" s="1"/>
      <c r="V49" s="5">
        <f t="shared" si="25"/>
        <v>0</v>
      </c>
      <c r="W49" s="1"/>
      <c r="X49" s="1">
        <f t="shared" si="26"/>
        <v>5261.8000000000029</v>
      </c>
      <c r="Y49" s="1"/>
      <c r="Z49" s="5">
        <f t="shared" si="27"/>
        <v>7.144331296673459E-2</v>
      </c>
    </row>
    <row r="50" spans="1:26" s="24" customFormat="1" hidden="1" outlineLevel="2" x14ac:dyDescent="0.25">
      <c r="A50" s="25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6764.56</v>
      </c>
      <c r="E50" s="2"/>
      <c r="F50" s="6">
        <f t="shared" si="20"/>
        <v>0</v>
      </c>
      <c r="G50" s="2"/>
      <c r="H50" s="7">
        <v>6765</v>
      </c>
      <c r="I50" s="2"/>
      <c r="J50" s="6">
        <f t="shared" si="21"/>
        <v>0</v>
      </c>
      <c r="K50" s="2"/>
      <c r="L50" s="7">
        <f t="shared" si="22"/>
        <v>-0.43999999999959982</v>
      </c>
      <c r="M50" s="2"/>
      <c r="N50" s="6">
        <f t="shared" si="23"/>
        <v>-6.5040650406444916E-5</v>
      </c>
      <c r="O50" s="11"/>
      <c r="P50" s="7">
        <v>78911.8</v>
      </c>
      <c r="Q50" s="2"/>
      <c r="R50" s="6">
        <f t="shared" si="24"/>
        <v>0</v>
      </c>
      <c r="S50" s="2"/>
      <c r="T50" s="7">
        <v>73550</v>
      </c>
      <c r="U50" s="2"/>
      <c r="V50" s="6">
        <f t="shared" si="25"/>
        <v>0</v>
      </c>
      <c r="W50" s="2"/>
      <c r="X50" s="7">
        <f t="shared" si="26"/>
        <v>5361.8000000000029</v>
      </c>
      <c r="Y50" s="2"/>
      <c r="Z50" s="6">
        <f t="shared" si="27"/>
        <v>7.2900067980965363E-2</v>
      </c>
    </row>
    <row r="51" spans="1:26" s="24" customFormat="1" hidden="1" outlineLevel="2" x14ac:dyDescent="0.25">
      <c r="A51" s="25"/>
      <c r="B51" s="11" t="str">
        <f>CONCATENATE("          ", "6324", " - ", "FURNITURE + FIXT DEPRECIATION")</f>
        <v xml:space="preserve">          6324 - FURNITURE + FIXT DEPRECIATION</v>
      </c>
      <c r="C51" s="11"/>
      <c r="D51" s="7"/>
      <c r="E51" s="2"/>
      <c r="F51" s="6">
        <f t="shared" si="20"/>
        <v>0</v>
      </c>
      <c r="G51" s="2"/>
      <c r="H51" s="7"/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100</v>
      </c>
      <c r="U51" s="2"/>
      <c r="V51" s="6">
        <f t="shared" si="25"/>
        <v>0</v>
      </c>
      <c r="W51" s="2"/>
      <c r="X51" s="7">
        <f t="shared" si="26"/>
        <v>-100</v>
      </c>
      <c r="Y51" s="2"/>
      <c r="Z51" s="6">
        <f t="shared" si="27"/>
        <v>-1</v>
      </c>
    </row>
    <row r="52" spans="1:26" s="27" customFormat="1" outlineLevel="1" collapsed="1" x14ac:dyDescent="0.25">
      <c r="A52" s="26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0</v>
      </c>
      <c r="E52" s="1"/>
      <c r="F52" s="5">
        <f t="shared" ref="F52:F54" si="28">IF(D$12=0,0,D52/D$12)</f>
        <v>0</v>
      </c>
      <c r="G52" s="1"/>
      <c r="H52" s="1">
        <f>SUM(OSRRefH22_6x_0)</f>
        <v>1000</v>
      </c>
      <c r="I52" s="1"/>
      <c r="J52" s="5">
        <f t="shared" ref="J52:J54" si="29">IF(H$12=0,0,H52/H$12)</f>
        <v>0</v>
      </c>
      <c r="K52" s="1"/>
      <c r="L52" s="1">
        <f t="shared" ref="L52:L54" si="30">+D52-H52</f>
        <v>-1000</v>
      </c>
      <c r="M52" s="1"/>
      <c r="N52" s="5">
        <f t="shared" ref="N52:N54" si="31">IF(H52=0,0,L52/H52)</f>
        <v>-1</v>
      </c>
      <c r="O52" s="13"/>
      <c r="P52" s="1">
        <f>SUM(OSRRefP22_6x_0)</f>
        <v>26500</v>
      </c>
      <c r="Q52" s="1"/>
      <c r="R52" s="5">
        <f t="shared" ref="R52:R54" si="32">IF(P$12=0,0,P52/P$12)</f>
        <v>0</v>
      </c>
      <c r="S52" s="1"/>
      <c r="T52" s="1">
        <f>SUM(OSRRefT22_6x_0)</f>
        <v>45750</v>
      </c>
      <c r="U52" s="1"/>
      <c r="V52" s="5">
        <f t="shared" ref="V52:V54" si="33">IF(T$12=0,0,T52/T$12)</f>
        <v>0</v>
      </c>
      <c r="W52" s="1"/>
      <c r="X52" s="1">
        <f t="shared" ref="X52:X54" si="34">+P52-T52</f>
        <v>-19250</v>
      </c>
      <c r="Y52" s="1"/>
      <c r="Z52" s="5">
        <f t="shared" ref="Z52:Z54" si="35">IF(T52=0,0,X52/T52)</f>
        <v>-0.42076502732240439</v>
      </c>
    </row>
    <row r="53" spans="1:26" s="24" customFormat="1" hidden="1" outlineLevel="2" x14ac:dyDescent="0.25">
      <c r="A53" s="25"/>
      <c r="B53" s="11" t="str">
        <f>CONCATENATE("          ", "6395", " - ", "DONATION-OFF CAMPUS")</f>
        <v xml:space="preserve">          6395 - DONATION-OFF CAMPUS</v>
      </c>
      <c r="C53" s="11"/>
      <c r="D53" s="7"/>
      <c r="E53" s="2"/>
      <c r="F53" s="6">
        <f t="shared" si="28"/>
        <v>0</v>
      </c>
      <c r="G53" s="2"/>
      <c r="H53" s="7"/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/>
      <c r="Q53" s="2"/>
      <c r="R53" s="6">
        <f t="shared" si="32"/>
        <v>0</v>
      </c>
      <c r="S53" s="2"/>
      <c r="T53" s="7">
        <v>1500</v>
      </c>
      <c r="U53" s="2"/>
      <c r="V53" s="6">
        <f t="shared" si="33"/>
        <v>0</v>
      </c>
      <c r="W53" s="2"/>
      <c r="X53" s="7">
        <f t="shared" si="34"/>
        <v>-1500</v>
      </c>
      <c r="Y53" s="2"/>
      <c r="Z53" s="6">
        <f t="shared" si="35"/>
        <v>-1</v>
      </c>
    </row>
    <row r="54" spans="1:26" s="24" customFormat="1" hidden="1" outlineLevel="2" x14ac:dyDescent="0.25">
      <c r="A54" s="25"/>
      <c r="B54" s="11" t="str">
        <f>CONCATENATE("          ", "6399", " - ", "DONATION-ON CAMPUS")</f>
        <v xml:space="preserve">          6399 - DONATION-ON CAMPUS</v>
      </c>
      <c r="C54" s="11"/>
      <c r="D54" s="7"/>
      <c r="E54" s="2"/>
      <c r="F54" s="6">
        <f t="shared" si="28"/>
        <v>0</v>
      </c>
      <c r="G54" s="2"/>
      <c r="H54" s="7">
        <v>1000</v>
      </c>
      <c r="I54" s="2"/>
      <c r="J54" s="6">
        <f t="shared" si="29"/>
        <v>0</v>
      </c>
      <c r="K54" s="2"/>
      <c r="L54" s="7">
        <f t="shared" si="30"/>
        <v>-1000</v>
      </c>
      <c r="M54" s="2"/>
      <c r="N54" s="6">
        <f t="shared" si="31"/>
        <v>-1</v>
      </c>
      <c r="O54" s="11"/>
      <c r="P54" s="7">
        <v>26500</v>
      </c>
      <c r="Q54" s="2"/>
      <c r="R54" s="6">
        <f t="shared" si="32"/>
        <v>0</v>
      </c>
      <c r="S54" s="2"/>
      <c r="T54" s="7">
        <v>44250</v>
      </c>
      <c r="U54" s="2"/>
      <c r="V54" s="6">
        <f t="shared" si="33"/>
        <v>0</v>
      </c>
      <c r="W54" s="2"/>
      <c r="X54" s="7">
        <f t="shared" si="34"/>
        <v>-17750</v>
      </c>
      <c r="Y54" s="2"/>
      <c r="Z54" s="6">
        <f t="shared" si="35"/>
        <v>-0.40112994350282488</v>
      </c>
    </row>
    <row r="55" spans="1:26" s="27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SUM(OSRRefD22_7x_0)</f>
        <v>0</v>
      </c>
      <c r="E55" s="1"/>
      <c r="F55" s="5">
        <f t="shared" ref="F55:F61" si="36">IF(D$12=0,0,D55/D$12)</f>
        <v>0</v>
      </c>
      <c r="G55" s="1"/>
      <c r="H55" s="1">
        <f>SUM(OSRRefH22_7x_0)</f>
        <v>0</v>
      </c>
      <c r="I55" s="1"/>
      <c r="J55" s="5">
        <f t="shared" ref="J55:J61" si="37">IF(H$12=0,0,H55/H$12)</f>
        <v>0</v>
      </c>
      <c r="K55" s="1"/>
      <c r="L55" s="1">
        <f t="shared" ref="L55:L61" si="38">+D55-H55</f>
        <v>0</v>
      </c>
      <c r="M55" s="1"/>
      <c r="N55" s="5">
        <f t="shared" ref="N55:N61" si="39">IF(H55=0,0,L55/H55)</f>
        <v>0</v>
      </c>
      <c r="O55" s="13"/>
      <c r="P55" s="1">
        <f>SUM(OSRRefP22_7x_0)</f>
        <v>81.56</v>
      </c>
      <c r="Q55" s="1"/>
      <c r="R55" s="5">
        <f t="shared" ref="R55:R61" si="40">IF(P$12=0,0,P55/P$12)</f>
        <v>0</v>
      </c>
      <c r="S55" s="1"/>
      <c r="T55" s="1">
        <f>SUM(OSRRefT22_7x_0)</f>
        <v>15050</v>
      </c>
      <c r="U55" s="1"/>
      <c r="V55" s="5">
        <f t="shared" ref="V55:V61" si="41">IF(T$12=0,0,T55/T$12)</f>
        <v>0</v>
      </c>
      <c r="W55" s="1"/>
      <c r="X55" s="1">
        <f t="shared" ref="X55:X61" si="42">+P55-T55</f>
        <v>-14968.44</v>
      </c>
      <c r="Y55" s="1"/>
      <c r="Z55" s="5">
        <f t="shared" ref="Z55:Z61" si="43">IF(T55=0,0,X55/T55)</f>
        <v>-0.99458073089701005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81.56</v>
      </c>
      <c r="Q56" s="2"/>
      <c r="R56" s="6">
        <f t="shared" si="40"/>
        <v>0</v>
      </c>
      <c r="S56" s="2"/>
      <c r="T56" s="7">
        <v>15050</v>
      </c>
      <c r="U56" s="2"/>
      <c r="V56" s="6">
        <f t="shared" si="41"/>
        <v>0</v>
      </c>
      <c r="W56" s="2"/>
      <c r="X56" s="7">
        <f t="shared" si="42"/>
        <v>-14968.44</v>
      </c>
      <c r="Y56" s="2"/>
      <c r="Z56" s="6">
        <f t="shared" si="43"/>
        <v>-0.99458073089701005</v>
      </c>
    </row>
    <row r="57" spans="1:26" s="27" customFormat="1" outlineLevel="1" collapsed="1" x14ac:dyDescent="0.25">
      <c r="A57" s="26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SUM(OSRRefD22_8x_0)</f>
        <v>208.97</v>
      </c>
      <c r="E57" s="1"/>
      <c r="F57" s="5">
        <f t="shared" si="36"/>
        <v>0</v>
      </c>
      <c r="G57" s="1"/>
      <c r="H57" s="1">
        <f>SUM(OSRRefH22_8x_0)</f>
        <v>291</v>
      </c>
      <c r="I57" s="1"/>
      <c r="J57" s="5">
        <f t="shared" si="37"/>
        <v>0</v>
      </c>
      <c r="K57" s="1"/>
      <c r="L57" s="1">
        <f t="shared" si="38"/>
        <v>-82.03</v>
      </c>
      <c r="M57" s="1"/>
      <c r="N57" s="5">
        <f t="shared" si="39"/>
        <v>-0.28189003436426119</v>
      </c>
      <c r="O57" s="13"/>
      <c r="P57" s="1">
        <f>SUM(OSRRefP22_8x_0)</f>
        <v>2389.9299999999998</v>
      </c>
      <c r="Q57" s="1"/>
      <c r="R57" s="5">
        <f t="shared" si="40"/>
        <v>0</v>
      </c>
      <c r="S57" s="1"/>
      <c r="T57" s="1">
        <f>SUM(OSRRefT22_8x_0)</f>
        <v>3119</v>
      </c>
      <c r="U57" s="1"/>
      <c r="V57" s="5">
        <f t="shared" si="41"/>
        <v>0</v>
      </c>
      <c r="W57" s="1"/>
      <c r="X57" s="1">
        <f t="shared" si="42"/>
        <v>-729.07000000000016</v>
      </c>
      <c r="Y57" s="1"/>
      <c r="Z57" s="5">
        <f t="shared" si="43"/>
        <v>-0.23375120230843224</v>
      </c>
    </row>
    <row r="58" spans="1:26" s="24" customFormat="1" hidden="1" outlineLevel="2" x14ac:dyDescent="0.25">
      <c r="A58" s="25"/>
      <c r="B58" s="11" t="str">
        <f>CONCATENATE("          ", "6351", " - ", "EQUIPMENT RENTAL")</f>
        <v xml:space="preserve">          6351 - EQUIPMENT RENTAL</v>
      </c>
      <c r="C58" s="11"/>
      <c r="D58" s="7">
        <v>208.97</v>
      </c>
      <c r="E58" s="2"/>
      <c r="F58" s="6">
        <f t="shared" si="36"/>
        <v>0</v>
      </c>
      <c r="G58" s="2"/>
      <c r="H58" s="7">
        <v>291</v>
      </c>
      <c r="I58" s="2"/>
      <c r="J58" s="6">
        <f t="shared" si="37"/>
        <v>0</v>
      </c>
      <c r="K58" s="2"/>
      <c r="L58" s="7">
        <f t="shared" si="38"/>
        <v>-82.03</v>
      </c>
      <c r="M58" s="2"/>
      <c r="N58" s="6">
        <f t="shared" si="39"/>
        <v>-0.28189003436426119</v>
      </c>
      <c r="O58" s="11"/>
      <c r="P58" s="7">
        <v>2389.9299999999998</v>
      </c>
      <c r="Q58" s="2"/>
      <c r="R58" s="6">
        <f t="shared" si="40"/>
        <v>0</v>
      </c>
      <c r="S58" s="2"/>
      <c r="T58" s="7">
        <v>3119</v>
      </c>
      <c r="U58" s="2"/>
      <c r="V58" s="6">
        <f t="shared" si="41"/>
        <v>0</v>
      </c>
      <c r="W58" s="2"/>
      <c r="X58" s="7">
        <f t="shared" si="42"/>
        <v>-729.07000000000016</v>
      </c>
      <c r="Y58" s="2"/>
      <c r="Z58" s="6">
        <f t="shared" si="43"/>
        <v>-0.23375120230843224</v>
      </c>
    </row>
    <row r="59" spans="1:26" s="27" customFormat="1" outlineLevel="1" collapsed="1" x14ac:dyDescent="0.25">
      <c r="A59" s="26"/>
      <c r="B59" s="13" t="str">
        <f>CONCATENATE("     ","Freight out/Postage                               ")</f>
        <v xml:space="preserve">     Freight out/Postage                               </v>
      </c>
      <c r="C59" s="13"/>
      <c r="D59" s="1">
        <f>SUM(OSRRefD22_9x_0)</f>
        <v>90.85</v>
      </c>
      <c r="E59" s="1"/>
      <c r="F59" s="5">
        <f t="shared" si="36"/>
        <v>0</v>
      </c>
      <c r="G59" s="1"/>
      <c r="H59" s="1">
        <f>SUM(OSRRefH22_9x_0)</f>
        <v>198</v>
      </c>
      <c r="I59" s="1"/>
      <c r="J59" s="5">
        <f t="shared" si="37"/>
        <v>0</v>
      </c>
      <c r="K59" s="1"/>
      <c r="L59" s="1">
        <f t="shared" si="38"/>
        <v>-107.15</v>
      </c>
      <c r="M59" s="1"/>
      <c r="N59" s="5">
        <f t="shared" si="39"/>
        <v>-0.54116161616161618</v>
      </c>
      <c r="O59" s="13"/>
      <c r="P59" s="1">
        <f>SUM(OSRRefP22_9x_0)</f>
        <v>1179.7</v>
      </c>
      <c r="Q59" s="1"/>
      <c r="R59" s="5">
        <f t="shared" si="40"/>
        <v>0</v>
      </c>
      <c r="S59" s="1"/>
      <c r="T59" s="1">
        <f>SUM(OSRRefT22_9x_0)</f>
        <v>2178</v>
      </c>
      <c r="U59" s="1"/>
      <c r="V59" s="5">
        <f t="shared" si="41"/>
        <v>0</v>
      </c>
      <c r="W59" s="1"/>
      <c r="X59" s="1">
        <f t="shared" si="42"/>
        <v>-998.3</v>
      </c>
      <c r="Y59" s="1"/>
      <c r="Z59" s="5">
        <f t="shared" si="43"/>
        <v>-0.45835629017447199</v>
      </c>
    </row>
    <row r="60" spans="1:26" s="24" customFormat="1" hidden="1" outlineLevel="2" x14ac:dyDescent="0.25">
      <c r="A60" s="25"/>
      <c r="B60" s="11" t="str">
        <f>CONCATENATE("          ", "6305", " - ", "FREIGHT OUT")</f>
        <v xml:space="preserve">          6305 - FREIGHT OUT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5.41</v>
      </c>
      <c r="Q60" s="2"/>
      <c r="R60" s="6">
        <f t="shared" si="40"/>
        <v>0</v>
      </c>
      <c r="S60" s="2"/>
      <c r="T60" s="7"/>
      <c r="U60" s="2"/>
      <c r="V60" s="6">
        <f t="shared" si="41"/>
        <v>0</v>
      </c>
      <c r="W60" s="2"/>
      <c r="X60" s="7">
        <f t="shared" si="42"/>
        <v>5.41</v>
      </c>
      <c r="Y60" s="2"/>
      <c r="Z60" s="6">
        <f t="shared" si="43"/>
        <v>0</v>
      </c>
    </row>
    <row r="61" spans="1:26" s="24" customFormat="1" hidden="1" outlineLevel="2" x14ac:dyDescent="0.25">
      <c r="A61" s="25"/>
      <c r="B61" s="11" t="str">
        <f>CONCATENATE("          ", "6307", " - ", "POSTAGE")</f>
        <v xml:space="preserve">          6307 - POSTAGE</v>
      </c>
      <c r="C61" s="11"/>
      <c r="D61" s="7">
        <v>90.85</v>
      </c>
      <c r="E61" s="2"/>
      <c r="F61" s="6">
        <f t="shared" si="36"/>
        <v>0</v>
      </c>
      <c r="G61" s="2"/>
      <c r="H61" s="7">
        <v>198</v>
      </c>
      <c r="I61" s="2"/>
      <c r="J61" s="6">
        <f t="shared" si="37"/>
        <v>0</v>
      </c>
      <c r="K61" s="2"/>
      <c r="L61" s="7">
        <f t="shared" si="38"/>
        <v>-107.15</v>
      </c>
      <c r="M61" s="2"/>
      <c r="N61" s="6">
        <f t="shared" si="39"/>
        <v>-0.54116161616161618</v>
      </c>
      <c r="O61" s="11"/>
      <c r="P61" s="7">
        <v>1174.29</v>
      </c>
      <c r="Q61" s="2"/>
      <c r="R61" s="6">
        <f t="shared" si="40"/>
        <v>0</v>
      </c>
      <c r="S61" s="2"/>
      <c r="T61" s="7">
        <v>2178</v>
      </c>
      <c r="U61" s="2"/>
      <c r="V61" s="6">
        <f t="shared" si="41"/>
        <v>0</v>
      </c>
      <c r="W61" s="2"/>
      <c r="X61" s="7">
        <f t="shared" si="42"/>
        <v>-1003.71</v>
      </c>
      <c r="Y61" s="2"/>
      <c r="Z61" s="6">
        <f t="shared" si="43"/>
        <v>-0.46084022038567496</v>
      </c>
    </row>
    <row r="62" spans="1:26" s="27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SUM(OSRRefD22_10x_0)</f>
        <v>337</v>
      </c>
      <c r="E62" s="1"/>
      <c r="F62" s="5">
        <f t="shared" ref="F62:F66" si="44">IF(D$12=0,0,D62/D$12)</f>
        <v>0</v>
      </c>
      <c r="G62" s="1"/>
      <c r="H62" s="1">
        <f>SUM(OSRRefH22_10x_0)</f>
        <v>333</v>
      </c>
      <c r="I62" s="1"/>
      <c r="J62" s="5">
        <f t="shared" ref="J62:J66" si="45">IF(H$12=0,0,H62/H$12)</f>
        <v>0</v>
      </c>
      <c r="K62" s="1"/>
      <c r="L62" s="1">
        <f t="shared" ref="L62:L66" si="46">+D62-H62</f>
        <v>4</v>
      </c>
      <c r="M62" s="1"/>
      <c r="N62" s="5">
        <f t="shared" ref="N62:N66" si="47">IF(H62=0,0,L62/H62)</f>
        <v>1.2012012012012012E-2</v>
      </c>
      <c r="O62" s="13"/>
      <c r="P62" s="1">
        <f>SUM(OSRRefP22_10x_0)</f>
        <v>379.34</v>
      </c>
      <c r="Q62" s="1"/>
      <c r="R62" s="5">
        <f t="shared" ref="R62:R66" si="48">IF(P$12=0,0,P62/P$12)</f>
        <v>0</v>
      </c>
      <c r="S62" s="1"/>
      <c r="T62" s="1">
        <f>SUM(OSRRefT22_10x_0)</f>
        <v>5413</v>
      </c>
      <c r="U62" s="1"/>
      <c r="V62" s="5">
        <f t="shared" ref="V62:V66" si="49">IF(T$12=0,0,T62/T$12)</f>
        <v>0</v>
      </c>
      <c r="W62" s="1"/>
      <c r="X62" s="1">
        <f t="shared" ref="X62:X66" si="50">+P62-T62</f>
        <v>-5033.66</v>
      </c>
      <c r="Y62" s="1"/>
      <c r="Z62" s="5">
        <f t="shared" ref="Z62:Z66" si="51">IF(T62=0,0,X62/T62)</f>
        <v>-0.92992056161093661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7">
        <v>337</v>
      </c>
      <c r="E63" s="2"/>
      <c r="F63" s="6">
        <f t="shared" si="44"/>
        <v>0</v>
      </c>
      <c r="G63" s="2"/>
      <c r="H63" s="7">
        <v>333</v>
      </c>
      <c r="I63" s="2"/>
      <c r="J63" s="6">
        <f t="shared" si="45"/>
        <v>0</v>
      </c>
      <c r="K63" s="2"/>
      <c r="L63" s="7">
        <f t="shared" si="46"/>
        <v>4</v>
      </c>
      <c r="M63" s="2"/>
      <c r="N63" s="6">
        <f t="shared" si="47"/>
        <v>1.2012012012012012E-2</v>
      </c>
      <c r="O63" s="11"/>
      <c r="P63" s="7">
        <v>379.34</v>
      </c>
      <c r="Q63" s="2"/>
      <c r="R63" s="6">
        <f t="shared" si="48"/>
        <v>0</v>
      </c>
      <c r="S63" s="2"/>
      <c r="T63" s="7">
        <v>5413</v>
      </c>
      <c r="U63" s="2"/>
      <c r="V63" s="6">
        <f t="shared" si="49"/>
        <v>0</v>
      </c>
      <c r="W63" s="2"/>
      <c r="X63" s="7">
        <f t="shared" si="50"/>
        <v>-5033.66</v>
      </c>
      <c r="Y63" s="2"/>
      <c r="Z63" s="6">
        <f t="shared" si="51"/>
        <v>-0.92992056161093661</v>
      </c>
    </row>
    <row r="64" spans="1:26" s="27" customFormat="1" outlineLevel="1" collapsed="1" x14ac:dyDescent="0.25">
      <c r="A64" s="26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SUM(OSRRefD22_11x_0)</f>
        <v>393.67</v>
      </c>
      <c r="E64" s="1"/>
      <c r="F64" s="5">
        <f t="shared" si="44"/>
        <v>0</v>
      </c>
      <c r="G64" s="1"/>
      <c r="H64" s="1">
        <f>SUM(OSRRefH22_11x_0)</f>
        <v>432</v>
      </c>
      <c r="I64" s="1"/>
      <c r="J64" s="5">
        <f t="shared" si="45"/>
        <v>0</v>
      </c>
      <c r="K64" s="1"/>
      <c r="L64" s="1">
        <f t="shared" si="46"/>
        <v>-38.329999999999984</v>
      </c>
      <c r="M64" s="1"/>
      <c r="N64" s="5">
        <f t="shared" si="47"/>
        <v>-8.8726851851851821E-2</v>
      </c>
      <c r="O64" s="13"/>
      <c r="P64" s="1">
        <f>SUM(OSRRefP22_11x_0)</f>
        <v>4330.37</v>
      </c>
      <c r="Q64" s="1"/>
      <c r="R64" s="5">
        <f t="shared" si="48"/>
        <v>0</v>
      </c>
      <c r="S64" s="1"/>
      <c r="T64" s="1">
        <f>SUM(OSRRefT22_11x_0)</f>
        <v>6071</v>
      </c>
      <c r="U64" s="1"/>
      <c r="V64" s="5">
        <f t="shared" si="49"/>
        <v>0</v>
      </c>
      <c r="W64" s="1"/>
      <c r="X64" s="1">
        <f t="shared" si="50"/>
        <v>-1740.63</v>
      </c>
      <c r="Y64" s="1"/>
      <c r="Z64" s="5">
        <f t="shared" si="51"/>
        <v>-0.28671223851095373</v>
      </c>
    </row>
    <row r="65" spans="1:26" s="24" customFormat="1" hidden="1" outlineLevel="2" x14ac:dyDescent="0.25">
      <c r="A65" s="25"/>
      <c r="B65" s="11" t="str">
        <f>CONCATENATE("          ", "6312", " - ", "FIRE &amp; THEFT INSURANCE")</f>
        <v xml:space="preserve">          6312 - FIRE &amp; THEFT INSURANCE</v>
      </c>
      <c r="C65" s="11"/>
      <c r="D65" s="7"/>
      <c r="E65" s="2"/>
      <c r="F65" s="6">
        <f t="shared" si="44"/>
        <v>0</v>
      </c>
      <c r="G65" s="2"/>
      <c r="H65" s="7"/>
      <c r="I65" s="2"/>
      <c r="J65" s="6">
        <f t="shared" si="45"/>
        <v>0</v>
      </c>
      <c r="K65" s="2"/>
      <c r="L65" s="7">
        <f t="shared" si="46"/>
        <v>0</v>
      </c>
      <c r="M65" s="2"/>
      <c r="N65" s="6">
        <f t="shared" si="47"/>
        <v>0</v>
      </c>
      <c r="O65" s="11"/>
      <c r="P65" s="7"/>
      <c r="Q65" s="2"/>
      <c r="R65" s="6">
        <f t="shared" si="48"/>
        <v>0</v>
      </c>
      <c r="S65" s="2"/>
      <c r="T65" s="7">
        <v>780</v>
      </c>
      <c r="U65" s="2"/>
      <c r="V65" s="6">
        <f t="shared" si="49"/>
        <v>0</v>
      </c>
      <c r="W65" s="2"/>
      <c r="X65" s="7">
        <f t="shared" si="50"/>
        <v>-780</v>
      </c>
      <c r="Y65" s="2"/>
      <c r="Z65" s="6">
        <f t="shared" si="51"/>
        <v>-1</v>
      </c>
    </row>
    <row r="66" spans="1:26" s="24" customFormat="1" hidden="1" outlineLevel="2" x14ac:dyDescent="0.25">
      <c r="A66" s="25"/>
      <c r="B66" s="11" t="str">
        <f>CONCATENATE("          ", "6314", " - ", "LIABILITY INSURANCE")</f>
        <v xml:space="preserve">          6314 - LIABILITY INSURANCE</v>
      </c>
      <c r="C66" s="11"/>
      <c r="D66" s="7">
        <v>393.67</v>
      </c>
      <c r="E66" s="2"/>
      <c r="F66" s="6">
        <f t="shared" si="44"/>
        <v>0</v>
      </c>
      <c r="G66" s="2"/>
      <c r="H66" s="7">
        <v>432</v>
      </c>
      <c r="I66" s="2"/>
      <c r="J66" s="6">
        <f t="shared" si="45"/>
        <v>0</v>
      </c>
      <c r="K66" s="2"/>
      <c r="L66" s="7">
        <f t="shared" si="46"/>
        <v>-38.329999999999984</v>
      </c>
      <c r="M66" s="2"/>
      <c r="N66" s="6">
        <f t="shared" si="47"/>
        <v>-8.8726851851851821E-2</v>
      </c>
      <c r="O66" s="11"/>
      <c r="P66" s="7">
        <v>4330.37</v>
      </c>
      <c r="Q66" s="2"/>
      <c r="R66" s="6">
        <f t="shared" si="48"/>
        <v>0</v>
      </c>
      <c r="S66" s="2"/>
      <c r="T66" s="7">
        <v>5291</v>
      </c>
      <c r="U66" s="2"/>
      <c r="V66" s="6">
        <f t="shared" si="49"/>
        <v>0</v>
      </c>
      <c r="W66" s="2"/>
      <c r="X66" s="7">
        <f t="shared" si="50"/>
        <v>-960.63000000000011</v>
      </c>
      <c r="Y66" s="2"/>
      <c r="Z66" s="6">
        <f t="shared" si="51"/>
        <v>-0.18155925155925157</v>
      </c>
    </row>
    <row r="67" spans="1:26" s="27" customFormat="1" outlineLevel="1" collapsed="1" x14ac:dyDescent="0.25">
      <c r="A67" s="26"/>
      <c r="B67" s="13" t="str">
        <f>CONCATENATE("     ","Professional Services                             ")</f>
        <v xml:space="preserve">     Professional Services                             </v>
      </c>
      <c r="C67" s="13"/>
      <c r="D67" s="1">
        <f>SUM(OSRRefD22_12x_0)</f>
        <v>0</v>
      </c>
      <c r="E67" s="1"/>
      <c r="F67" s="5">
        <f t="shared" ref="F67:F71" si="52">IF(D$12=0,0,D67/D$12)</f>
        <v>0</v>
      </c>
      <c r="G67" s="1"/>
      <c r="H67" s="1">
        <f>SUM(OSRRefH22_12x_0)</f>
        <v>3333</v>
      </c>
      <c r="I67" s="1"/>
      <c r="J67" s="5">
        <f t="shared" ref="J67:J71" si="53">IF(H$12=0,0,H67/H$12)</f>
        <v>0</v>
      </c>
      <c r="K67" s="1"/>
      <c r="L67" s="1">
        <f t="shared" ref="L67:L71" si="54">+D67-H67</f>
        <v>-3333</v>
      </c>
      <c r="M67" s="1"/>
      <c r="N67" s="5">
        <f t="shared" ref="N67:N71" si="55">IF(H67=0,0,L67/H67)</f>
        <v>-1</v>
      </c>
      <c r="O67" s="13"/>
      <c r="P67" s="1">
        <f>SUM(OSRRefP22_12x_0)</f>
        <v>107422.12000000001</v>
      </c>
      <c r="Q67" s="1"/>
      <c r="R67" s="5">
        <f t="shared" ref="R67:R71" si="56">IF(P$12=0,0,P67/P$12)</f>
        <v>0</v>
      </c>
      <c r="S67" s="1"/>
      <c r="T67" s="1">
        <f>SUM(OSRRefT22_12x_0)</f>
        <v>167163</v>
      </c>
      <c r="U67" s="1"/>
      <c r="V67" s="5">
        <f t="shared" ref="V67:V71" si="57">IF(T$12=0,0,T67/T$12)</f>
        <v>0</v>
      </c>
      <c r="W67" s="1"/>
      <c r="X67" s="1">
        <f t="shared" ref="X67:X71" si="58">+P67-T67</f>
        <v>-59740.87999999999</v>
      </c>
      <c r="Y67" s="1"/>
      <c r="Z67" s="5">
        <f t="shared" ref="Z67:Z71" si="59">IF(T67=0,0,X67/T67)</f>
        <v>-0.35738099938383489</v>
      </c>
    </row>
    <row r="68" spans="1:26" s="24" customFormat="1" hidden="1" outlineLevel="2" x14ac:dyDescent="0.25">
      <c r="A68" s="25"/>
      <c r="B68" s="11" t="str">
        <f>CONCATENATE("          ", "6331", " - ", "INDIRECT COSTS-AUXILIARY ORGAN")</f>
        <v xml:space="preserve">          6331 - INDIRECT COSTS-AUXILIARY ORGAN</v>
      </c>
      <c r="C68" s="11"/>
      <c r="D68" s="7"/>
      <c r="E68" s="2"/>
      <c r="F68" s="6">
        <f t="shared" si="52"/>
        <v>0</v>
      </c>
      <c r="G68" s="2"/>
      <c r="H68" s="7"/>
      <c r="I68" s="2"/>
      <c r="J68" s="6">
        <f t="shared" si="53"/>
        <v>0</v>
      </c>
      <c r="K68" s="2"/>
      <c r="L68" s="7">
        <f t="shared" si="54"/>
        <v>0</v>
      </c>
      <c r="M68" s="2"/>
      <c r="N68" s="6">
        <f t="shared" si="55"/>
        <v>0</v>
      </c>
      <c r="O68" s="11"/>
      <c r="P68" s="7">
        <v>92418</v>
      </c>
      <c r="Q68" s="2"/>
      <c r="R68" s="6">
        <f t="shared" si="56"/>
        <v>0</v>
      </c>
      <c r="S68" s="2"/>
      <c r="T68" s="7">
        <v>103000</v>
      </c>
      <c r="U68" s="2"/>
      <c r="V68" s="6">
        <f t="shared" si="57"/>
        <v>0</v>
      </c>
      <c r="W68" s="2"/>
      <c r="X68" s="7">
        <f t="shared" si="58"/>
        <v>-10582</v>
      </c>
      <c r="Y68" s="2"/>
      <c r="Z68" s="6">
        <f t="shared" si="59"/>
        <v>-0.1027378640776699</v>
      </c>
    </row>
    <row r="69" spans="1:26" s="24" customFormat="1" hidden="1" outlineLevel="2" x14ac:dyDescent="0.25">
      <c r="A69" s="25"/>
      <c r="B69" s="11" t="str">
        <f>CONCATENATE("          ", "6332", " - ", "CONSULTANT FEES")</f>
        <v xml:space="preserve">          6332 - CONSULTANT FEES</v>
      </c>
      <c r="C69" s="11"/>
      <c r="D69" s="7"/>
      <c r="E69" s="2"/>
      <c r="F69" s="6">
        <f t="shared" si="52"/>
        <v>0</v>
      </c>
      <c r="G69" s="2"/>
      <c r="H69" s="7">
        <v>250</v>
      </c>
      <c r="I69" s="2"/>
      <c r="J69" s="6">
        <f t="shared" si="53"/>
        <v>0</v>
      </c>
      <c r="K69" s="2"/>
      <c r="L69" s="7">
        <f t="shared" si="54"/>
        <v>-250</v>
      </c>
      <c r="M69" s="2"/>
      <c r="N69" s="6">
        <f t="shared" si="55"/>
        <v>-1</v>
      </c>
      <c r="O69" s="11"/>
      <c r="P69" s="7"/>
      <c r="Q69" s="2"/>
      <c r="R69" s="6">
        <f t="shared" si="56"/>
        <v>0</v>
      </c>
      <c r="S69" s="2"/>
      <c r="T69" s="7">
        <v>30750</v>
      </c>
      <c r="U69" s="2"/>
      <c r="V69" s="6">
        <f t="shared" si="57"/>
        <v>0</v>
      </c>
      <c r="W69" s="2"/>
      <c r="X69" s="7">
        <f t="shared" si="58"/>
        <v>-30750</v>
      </c>
      <c r="Y69" s="2"/>
      <c r="Z69" s="6">
        <f t="shared" si="59"/>
        <v>-1</v>
      </c>
    </row>
    <row r="70" spans="1:26" s="24" customFormat="1" hidden="1" outlineLevel="2" x14ac:dyDescent="0.25">
      <c r="A70" s="25"/>
      <c r="B70" s="11" t="str">
        <f>CONCATENATE("          ", "6334", " - ", "LEGAL COUNCIL EXPENSE")</f>
        <v xml:space="preserve">          6334 - LEGAL COUNCIL EXPENSE</v>
      </c>
      <c r="C70" s="11"/>
      <c r="D70" s="7"/>
      <c r="E70" s="2"/>
      <c r="F70" s="6">
        <f t="shared" si="52"/>
        <v>0</v>
      </c>
      <c r="G70" s="2"/>
      <c r="H70" s="7">
        <v>1833</v>
      </c>
      <c r="I70" s="2"/>
      <c r="J70" s="6">
        <f t="shared" si="53"/>
        <v>0</v>
      </c>
      <c r="K70" s="2"/>
      <c r="L70" s="7">
        <f t="shared" si="54"/>
        <v>-1833</v>
      </c>
      <c r="M70" s="2"/>
      <c r="N70" s="6">
        <f t="shared" si="55"/>
        <v>-1</v>
      </c>
      <c r="O70" s="11"/>
      <c r="P70" s="7">
        <v>6979.24</v>
      </c>
      <c r="Q70" s="2"/>
      <c r="R70" s="6">
        <f t="shared" si="56"/>
        <v>0</v>
      </c>
      <c r="S70" s="2"/>
      <c r="T70" s="7">
        <v>14663</v>
      </c>
      <c r="U70" s="2"/>
      <c r="V70" s="6">
        <f t="shared" si="57"/>
        <v>0</v>
      </c>
      <c r="W70" s="2"/>
      <c r="X70" s="7">
        <f t="shared" si="58"/>
        <v>-7683.76</v>
      </c>
      <c r="Y70" s="2"/>
      <c r="Z70" s="6">
        <f t="shared" si="59"/>
        <v>-0.5240237332060288</v>
      </c>
    </row>
    <row r="71" spans="1:26" s="24" customFormat="1" hidden="1" outlineLevel="2" x14ac:dyDescent="0.25">
      <c r="A71" s="25"/>
      <c r="B71" s="11" t="str">
        <f>CONCATENATE("          ", "6336", " - ", "PROFESSIONAL SERVICES")</f>
        <v xml:space="preserve">          6336 - PROFESSIONAL SERVICES</v>
      </c>
      <c r="C71" s="11"/>
      <c r="D71" s="7"/>
      <c r="E71" s="2"/>
      <c r="F71" s="6">
        <f t="shared" si="52"/>
        <v>0</v>
      </c>
      <c r="G71" s="2"/>
      <c r="H71" s="7">
        <v>1250</v>
      </c>
      <c r="I71" s="2"/>
      <c r="J71" s="6">
        <f t="shared" si="53"/>
        <v>0</v>
      </c>
      <c r="K71" s="2"/>
      <c r="L71" s="7">
        <f t="shared" si="54"/>
        <v>-1250</v>
      </c>
      <c r="M71" s="2"/>
      <c r="N71" s="6">
        <f t="shared" si="55"/>
        <v>-1</v>
      </c>
      <c r="O71" s="11"/>
      <c r="P71" s="7">
        <v>8024.88</v>
      </c>
      <c r="Q71" s="2"/>
      <c r="R71" s="6">
        <f t="shared" si="56"/>
        <v>0</v>
      </c>
      <c r="S71" s="2"/>
      <c r="T71" s="7">
        <v>18750</v>
      </c>
      <c r="U71" s="2"/>
      <c r="V71" s="6">
        <f t="shared" si="57"/>
        <v>0</v>
      </c>
      <c r="W71" s="2"/>
      <c r="X71" s="7">
        <f t="shared" si="58"/>
        <v>-10725.119999999999</v>
      </c>
      <c r="Y71" s="2"/>
      <c r="Z71" s="6">
        <f t="shared" si="59"/>
        <v>-0.57200639999999991</v>
      </c>
    </row>
    <row r="72" spans="1:26" s="27" customFormat="1" outlineLevel="1" collapsed="1" x14ac:dyDescent="0.25">
      <c r="A72" s="26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SUM(OSRRefD22_13x_0)</f>
        <v>20988.28</v>
      </c>
      <c r="E72" s="1"/>
      <c r="F72" s="5">
        <f t="shared" ref="F72:F76" si="60">IF(D$12=0,0,D72/D$12)</f>
        <v>0</v>
      </c>
      <c r="G72" s="1"/>
      <c r="H72" s="1">
        <f>SUM(OSRRefH22_13x_0)</f>
        <v>26402</v>
      </c>
      <c r="I72" s="1"/>
      <c r="J72" s="5">
        <f t="shared" ref="J72:J76" si="61">IF(H$12=0,0,H72/H$12)</f>
        <v>0</v>
      </c>
      <c r="K72" s="1"/>
      <c r="L72" s="1">
        <f t="shared" ref="L72:L76" si="62">+D72-H72</f>
        <v>-5413.7200000000012</v>
      </c>
      <c r="M72" s="1"/>
      <c r="N72" s="5">
        <f t="shared" ref="N72:N76" si="63">IF(H72=0,0,L72/H72)</f>
        <v>-0.20504961745322328</v>
      </c>
      <c r="O72" s="13"/>
      <c r="P72" s="1">
        <f>SUM(OSRRefP22_13x_0)</f>
        <v>265313.91999999998</v>
      </c>
      <c r="Q72" s="1"/>
      <c r="R72" s="5">
        <f t="shared" ref="R72:R76" si="64">IF(P$12=0,0,P72/P$12)</f>
        <v>0</v>
      </c>
      <c r="S72" s="1"/>
      <c r="T72" s="1">
        <f>SUM(OSRRefT22_13x_0)</f>
        <v>313822</v>
      </c>
      <c r="U72" s="1"/>
      <c r="V72" s="5">
        <f t="shared" ref="V72:V76" si="65">IF(T$12=0,0,T72/T$12)</f>
        <v>0</v>
      </c>
      <c r="W72" s="1"/>
      <c r="X72" s="1">
        <f t="shared" ref="X72:X76" si="66">+P72-T72</f>
        <v>-48508.080000000016</v>
      </c>
      <c r="Y72" s="1"/>
      <c r="Z72" s="5">
        <f t="shared" ref="Z72:Z76" si="67">IF(T72=0,0,X72/T72)</f>
        <v>-0.15457195480240396</v>
      </c>
    </row>
    <row r="73" spans="1:26" s="24" customFormat="1" hidden="1" outlineLevel="2" x14ac:dyDescent="0.25">
      <c r="A73" s="25"/>
      <c r="B73" s="11" t="str">
        <f>CONCATENATE("          ", "6371", " - ", "COMPUTER SOFTWARE MAINTENANCE")</f>
        <v xml:space="preserve">          6371 - COMPUTER SOFTWARE MAINTENANCE</v>
      </c>
      <c r="C73" s="11"/>
      <c r="D73" s="7">
        <v>5652.02</v>
      </c>
      <c r="E73" s="2"/>
      <c r="F73" s="6">
        <f t="shared" si="60"/>
        <v>0</v>
      </c>
      <c r="G73" s="2"/>
      <c r="H73" s="7">
        <v>8470</v>
      </c>
      <c r="I73" s="2"/>
      <c r="J73" s="6">
        <f t="shared" si="61"/>
        <v>0</v>
      </c>
      <c r="K73" s="2"/>
      <c r="L73" s="7">
        <f t="shared" si="62"/>
        <v>-2817.9799999999996</v>
      </c>
      <c r="M73" s="2"/>
      <c r="N73" s="6">
        <f t="shared" si="63"/>
        <v>-0.33270129870129866</v>
      </c>
      <c r="O73" s="11"/>
      <c r="P73" s="7">
        <v>92818.74</v>
      </c>
      <c r="Q73" s="2"/>
      <c r="R73" s="6">
        <f t="shared" si="64"/>
        <v>0</v>
      </c>
      <c r="S73" s="2"/>
      <c r="T73" s="7">
        <v>124570</v>
      </c>
      <c r="U73" s="2"/>
      <c r="V73" s="6">
        <f t="shared" si="65"/>
        <v>0</v>
      </c>
      <c r="W73" s="2"/>
      <c r="X73" s="7">
        <f t="shared" si="66"/>
        <v>-31751.259999999995</v>
      </c>
      <c r="Y73" s="2"/>
      <c r="Z73" s="6">
        <f t="shared" si="67"/>
        <v>-0.25488689090471217</v>
      </c>
    </row>
    <row r="74" spans="1:26" s="24" customFormat="1" hidden="1" outlineLevel="2" x14ac:dyDescent="0.25">
      <c r="A74" s="25"/>
      <c r="B74" s="11" t="str">
        <f>CONCATENATE("          ", "6372", " - ", "COMPUTER HARDWARE MAINTENANCE")</f>
        <v xml:space="preserve">          6372 - COMPUTER HARDWARE MAINTENANCE</v>
      </c>
      <c r="C74" s="11"/>
      <c r="D74" s="7"/>
      <c r="E74" s="2"/>
      <c r="F74" s="6">
        <f t="shared" si="60"/>
        <v>0</v>
      </c>
      <c r="G74" s="2"/>
      <c r="H74" s="7">
        <v>1600</v>
      </c>
      <c r="I74" s="2"/>
      <c r="J74" s="6">
        <f t="shared" si="61"/>
        <v>0</v>
      </c>
      <c r="K74" s="2"/>
      <c r="L74" s="7">
        <f t="shared" si="62"/>
        <v>-1600</v>
      </c>
      <c r="M74" s="2"/>
      <c r="N74" s="6">
        <f t="shared" si="63"/>
        <v>-1</v>
      </c>
      <c r="O74" s="11"/>
      <c r="P74" s="7"/>
      <c r="Q74" s="2"/>
      <c r="R74" s="6">
        <f t="shared" si="64"/>
        <v>0</v>
      </c>
      <c r="S74" s="2"/>
      <c r="T74" s="7">
        <v>17600</v>
      </c>
      <c r="U74" s="2"/>
      <c r="V74" s="6">
        <f t="shared" si="65"/>
        <v>0</v>
      </c>
      <c r="W74" s="2"/>
      <c r="X74" s="7">
        <f t="shared" si="66"/>
        <v>-17600</v>
      </c>
      <c r="Y74" s="2"/>
      <c r="Z74" s="6">
        <f t="shared" si="67"/>
        <v>-1</v>
      </c>
    </row>
    <row r="75" spans="1:26" s="24" customFormat="1" hidden="1" outlineLevel="2" x14ac:dyDescent="0.25">
      <c r="A75" s="25"/>
      <c r="B75" s="11" t="str">
        <f>CONCATENATE("          ", "6373", " - ", "MAINTENANCE CONTRACTS")</f>
        <v xml:space="preserve">          6373 - MAINTENANCE CONTRACTS</v>
      </c>
      <c r="C75" s="11"/>
      <c r="D75" s="7">
        <v>15336.26</v>
      </c>
      <c r="E75" s="2"/>
      <c r="F75" s="6">
        <f t="shared" si="60"/>
        <v>0</v>
      </c>
      <c r="G75" s="2"/>
      <c r="H75" s="7">
        <v>16332</v>
      </c>
      <c r="I75" s="2"/>
      <c r="J75" s="6">
        <f t="shared" si="61"/>
        <v>0</v>
      </c>
      <c r="K75" s="2"/>
      <c r="L75" s="7">
        <f t="shared" si="62"/>
        <v>-995.73999999999978</v>
      </c>
      <c r="M75" s="2"/>
      <c r="N75" s="6">
        <f t="shared" si="63"/>
        <v>-6.0968650502081792E-2</v>
      </c>
      <c r="O75" s="11"/>
      <c r="P75" s="7">
        <v>170147.75</v>
      </c>
      <c r="Q75" s="2"/>
      <c r="R75" s="6">
        <f t="shared" si="64"/>
        <v>0</v>
      </c>
      <c r="S75" s="2"/>
      <c r="T75" s="7">
        <v>171652</v>
      </c>
      <c r="U75" s="2"/>
      <c r="V75" s="6">
        <f t="shared" si="65"/>
        <v>0</v>
      </c>
      <c r="W75" s="2"/>
      <c r="X75" s="7">
        <f t="shared" si="66"/>
        <v>-1504.25</v>
      </c>
      <c r="Y75" s="2"/>
      <c r="Z75" s="6">
        <f t="shared" si="67"/>
        <v>-8.7633700743364479E-3</v>
      </c>
    </row>
    <row r="76" spans="1:26" s="24" customFormat="1" hidden="1" outlineLevel="2" x14ac:dyDescent="0.25">
      <c r="A76" s="25"/>
      <c r="B76" s="11" t="str">
        <f>CONCATENATE("          ", "6375", " - ", "OUTSIDE REPAIRS &amp; MAINTENANCE")</f>
        <v xml:space="preserve">          6375 - OUTSIDE REPAIRS &amp; MAINTENANCE</v>
      </c>
      <c r="C76" s="11"/>
      <c r="D76" s="7"/>
      <c r="E76" s="2"/>
      <c r="F76" s="6">
        <f t="shared" si="60"/>
        <v>0</v>
      </c>
      <c r="G76" s="2"/>
      <c r="H76" s="7"/>
      <c r="I76" s="2"/>
      <c r="J76" s="6">
        <f t="shared" si="61"/>
        <v>0</v>
      </c>
      <c r="K76" s="2"/>
      <c r="L76" s="7">
        <f t="shared" si="62"/>
        <v>0</v>
      </c>
      <c r="M76" s="2"/>
      <c r="N76" s="6">
        <f t="shared" si="63"/>
        <v>0</v>
      </c>
      <c r="O76" s="11"/>
      <c r="P76" s="7">
        <v>2347.4299999999998</v>
      </c>
      <c r="Q76" s="2"/>
      <c r="R76" s="6">
        <f t="shared" si="64"/>
        <v>0</v>
      </c>
      <c r="S76" s="2"/>
      <c r="T76" s="7"/>
      <c r="U76" s="2"/>
      <c r="V76" s="6">
        <f t="shared" si="65"/>
        <v>0</v>
      </c>
      <c r="W76" s="2"/>
      <c r="X76" s="7">
        <f t="shared" si="66"/>
        <v>2347.4299999999998</v>
      </c>
      <c r="Y76" s="2"/>
      <c r="Z76" s="6">
        <f t="shared" si="67"/>
        <v>0</v>
      </c>
    </row>
    <row r="77" spans="1:26" s="27" customFormat="1" outlineLevel="1" collapsed="1" x14ac:dyDescent="0.25">
      <c r="A77" s="26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SUM(OSRRefD22_14x_0)</f>
        <v>621.34</v>
      </c>
      <c r="E77" s="1"/>
      <c r="F77" s="5">
        <f t="shared" ref="F77:F79" si="68">IF(D$12=0,0,D77/D$12)</f>
        <v>0</v>
      </c>
      <c r="G77" s="1"/>
      <c r="H77" s="1">
        <f>SUM(OSRRefH22_14x_0)</f>
        <v>525</v>
      </c>
      <c r="I77" s="1"/>
      <c r="J77" s="5">
        <f t="shared" ref="J77:J79" si="69">IF(H$12=0,0,H77/H$12)</f>
        <v>0</v>
      </c>
      <c r="K77" s="1"/>
      <c r="L77" s="1">
        <f t="shared" ref="L77:L79" si="70">+D77-H77</f>
        <v>96.340000000000032</v>
      </c>
      <c r="M77" s="1"/>
      <c r="N77" s="5">
        <f t="shared" ref="N77:N79" si="71">IF(H77=0,0,L77/H77)</f>
        <v>0.18350476190476198</v>
      </c>
      <c r="O77" s="13"/>
      <c r="P77" s="1">
        <f>SUM(OSRRefP22_14x_0)</f>
        <v>6201.68</v>
      </c>
      <c r="Q77" s="1"/>
      <c r="R77" s="5">
        <f t="shared" ref="R77:R79" si="72">IF(P$12=0,0,P77/P$12)</f>
        <v>0</v>
      </c>
      <c r="S77" s="1"/>
      <c r="T77" s="1">
        <f>SUM(OSRRefT22_14x_0)</f>
        <v>5775</v>
      </c>
      <c r="U77" s="1"/>
      <c r="V77" s="5">
        <f t="shared" ref="V77:V79" si="73">IF(T$12=0,0,T77/T$12)</f>
        <v>0</v>
      </c>
      <c r="W77" s="1"/>
      <c r="X77" s="1">
        <f t="shared" ref="X77:X79" si="74">+P77-T77</f>
        <v>426.68000000000029</v>
      </c>
      <c r="Y77" s="1"/>
      <c r="Z77" s="5">
        <f t="shared" ref="Z77:Z79" si="75">IF(T77=0,0,X77/T77)</f>
        <v>7.3883982683982732E-2</v>
      </c>
    </row>
    <row r="78" spans="1:26" s="24" customFormat="1" hidden="1" outlineLevel="2" x14ac:dyDescent="0.25">
      <c r="A78" s="25"/>
      <c r="B78" s="11" t="str">
        <f>CONCATENATE("          ", "6281", " - ", "STORAGE FEE")</f>
        <v xml:space="preserve">          6281 - STORAGE FEE</v>
      </c>
      <c r="C78" s="11"/>
      <c r="D78" s="7">
        <v>621.34</v>
      </c>
      <c r="E78" s="2"/>
      <c r="F78" s="6">
        <f t="shared" si="68"/>
        <v>0</v>
      </c>
      <c r="G78" s="2"/>
      <c r="H78" s="7">
        <v>500</v>
      </c>
      <c r="I78" s="2"/>
      <c r="J78" s="6">
        <f t="shared" si="69"/>
        <v>0</v>
      </c>
      <c r="K78" s="2"/>
      <c r="L78" s="7">
        <f t="shared" si="70"/>
        <v>121.34000000000003</v>
      </c>
      <c r="M78" s="2"/>
      <c r="N78" s="6">
        <f t="shared" si="71"/>
        <v>0.24268000000000006</v>
      </c>
      <c r="O78" s="11"/>
      <c r="P78" s="7">
        <v>6201.68</v>
      </c>
      <c r="Q78" s="2"/>
      <c r="R78" s="6">
        <f t="shared" si="72"/>
        <v>0</v>
      </c>
      <c r="S78" s="2"/>
      <c r="T78" s="7">
        <v>5500</v>
      </c>
      <c r="U78" s="2"/>
      <c r="V78" s="6">
        <f t="shared" si="73"/>
        <v>0</v>
      </c>
      <c r="W78" s="2"/>
      <c r="X78" s="7">
        <f t="shared" si="74"/>
        <v>701.68000000000029</v>
      </c>
      <c r="Y78" s="2"/>
      <c r="Z78" s="6">
        <f t="shared" si="75"/>
        <v>0.12757818181818187</v>
      </c>
    </row>
    <row r="79" spans="1:26" s="24" customFormat="1" hidden="1" outlineLevel="2" x14ac:dyDescent="0.25">
      <c r="A79" s="25"/>
      <c r="B79" s="11" t="str">
        <f>CONCATENATE("          ", "6286", " - ", "LAUNDRY EXPENSE")</f>
        <v xml:space="preserve">          6286 - LAUNDRY EXPENSE</v>
      </c>
      <c r="C79" s="11"/>
      <c r="D79" s="7"/>
      <c r="E79" s="2"/>
      <c r="F79" s="6">
        <f t="shared" si="68"/>
        <v>0</v>
      </c>
      <c r="G79" s="2"/>
      <c r="H79" s="7">
        <v>25</v>
      </c>
      <c r="I79" s="2"/>
      <c r="J79" s="6">
        <f t="shared" si="69"/>
        <v>0</v>
      </c>
      <c r="K79" s="2"/>
      <c r="L79" s="7">
        <f t="shared" si="70"/>
        <v>-25</v>
      </c>
      <c r="M79" s="2"/>
      <c r="N79" s="6">
        <f t="shared" si="71"/>
        <v>-1</v>
      </c>
      <c r="O79" s="11"/>
      <c r="P79" s="7"/>
      <c r="Q79" s="2"/>
      <c r="R79" s="6">
        <f t="shared" si="72"/>
        <v>0</v>
      </c>
      <c r="S79" s="2"/>
      <c r="T79" s="7">
        <v>275</v>
      </c>
      <c r="U79" s="2"/>
      <c r="V79" s="6">
        <f t="shared" si="73"/>
        <v>0</v>
      </c>
      <c r="W79" s="2"/>
      <c r="X79" s="7">
        <f t="shared" si="74"/>
        <v>-275</v>
      </c>
      <c r="Y79" s="2"/>
      <c r="Z79" s="6">
        <f t="shared" si="75"/>
        <v>-1</v>
      </c>
    </row>
    <row r="80" spans="1:26" s="27" customFormat="1" outlineLevel="1" collapsed="1" x14ac:dyDescent="0.25">
      <c r="A80" s="26"/>
      <c r="B80" s="13" t="str">
        <f>CONCATENATE("     ","Subscriptions &amp; Dues                              ")</f>
        <v xml:space="preserve">     Subscriptions &amp; Dues                              </v>
      </c>
      <c r="C80" s="13"/>
      <c r="D80" s="1">
        <f>SUM(OSRRefD22_15x_0)</f>
        <v>2400</v>
      </c>
      <c r="E80" s="1"/>
      <c r="F80" s="5">
        <f t="shared" ref="F80:F82" si="76">IF(D$12=0,0,D80/D$12)</f>
        <v>0</v>
      </c>
      <c r="G80" s="1"/>
      <c r="H80" s="1">
        <f>SUM(OSRRefH22_15x_0)</f>
        <v>1855</v>
      </c>
      <c r="I80" s="1"/>
      <c r="J80" s="5">
        <f t="shared" ref="J80:J82" si="77">IF(H$12=0,0,H80/H$12)</f>
        <v>0</v>
      </c>
      <c r="K80" s="1"/>
      <c r="L80" s="1">
        <f t="shared" ref="L80:L82" si="78">+D80-H80</f>
        <v>545</v>
      </c>
      <c r="M80" s="1"/>
      <c r="N80" s="5">
        <f t="shared" ref="N80:N82" si="79">IF(H80=0,0,L80/H80)</f>
        <v>0.29380053908355797</v>
      </c>
      <c r="O80" s="13"/>
      <c r="P80" s="1">
        <f>SUM(OSRRefP22_15x_0)</f>
        <v>10122.99</v>
      </c>
      <c r="Q80" s="1"/>
      <c r="R80" s="5">
        <f t="shared" ref="R80:R82" si="80">IF(P$12=0,0,P80/P$12)</f>
        <v>0</v>
      </c>
      <c r="S80" s="1"/>
      <c r="T80" s="1">
        <f>SUM(OSRRefT22_15x_0)</f>
        <v>10655</v>
      </c>
      <c r="U80" s="1"/>
      <c r="V80" s="5">
        <f t="shared" ref="V80:V82" si="81">IF(T$12=0,0,T80/T$12)</f>
        <v>0</v>
      </c>
      <c r="W80" s="1"/>
      <c r="X80" s="1">
        <f t="shared" ref="X80:X82" si="82">+P80-T80</f>
        <v>-532.01000000000022</v>
      </c>
      <c r="Y80" s="1"/>
      <c r="Z80" s="5">
        <f t="shared" ref="Z80:Z82" si="83">IF(T80=0,0,X80/T80)</f>
        <v>-4.9930549038010343E-2</v>
      </c>
    </row>
    <row r="81" spans="1:26" s="24" customFormat="1" hidden="1" outlineLevel="2" x14ac:dyDescent="0.25">
      <c r="A81" s="25"/>
      <c r="B81" s="11" t="str">
        <f>CONCATENATE("          ", "6258", " - ", "MEMBERSHIP DUES")</f>
        <v xml:space="preserve">          6258 - MEMBERSHIP DUES</v>
      </c>
      <c r="C81" s="11"/>
      <c r="D81" s="7">
        <v>2400</v>
      </c>
      <c r="E81" s="2"/>
      <c r="F81" s="6">
        <f t="shared" si="76"/>
        <v>0</v>
      </c>
      <c r="G81" s="2"/>
      <c r="H81" s="7">
        <v>1755</v>
      </c>
      <c r="I81" s="2"/>
      <c r="J81" s="6">
        <f t="shared" si="77"/>
        <v>0</v>
      </c>
      <c r="K81" s="2"/>
      <c r="L81" s="7">
        <f t="shared" si="78"/>
        <v>645</v>
      </c>
      <c r="M81" s="2"/>
      <c r="N81" s="6">
        <f t="shared" si="79"/>
        <v>0.36752136752136755</v>
      </c>
      <c r="O81" s="11"/>
      <c r="P81" s="7">
        <v>10122.99</v>
      </c>
      <c r="Q81" s="2"/>
      <c r="R81" s="6">
        <f t="shared" si="80"/>
        <v>0</v>
      </c>
      <c r="S81" s="2"/>
      <c r="T81" s="7">
        <v>9555</v>
      </c>
      <c r="U81" s="2"/>
      <c r="V81" s="6">
        <f t="shared" si="81"/>
        <v>0</v>
      </c>
      <c r="W81" s="2"/>
      <c r="X81" s="7">
        <f t="shared" si="82"/>
        <v>567.98999999999978</v>
      </c>
      <c r="Y81" s="2"/>
      <c r="Z81" s="6">
        <f t="shared" si="83"/>
        <v>5.9444270015698561E-2</v>
      </c>
    </row>
    <row r="82" spans="1:26" s="24" customFormat="1" hidden="1" outlineLevel="2" x14ac:dyDescent="0.25">
      <c r="A82" s="25"/>
      <c r="B82" s="11" t="str">
        <f>CONCATENATE("          ", "6275", " - ", "SUBSCRIPTIONS")</f>
        <v xml:space="preserve">          6275 - SUBSCRIPTIONS</v>
      </c>
      <c r="C82" s="11"/>
      <c r="D82" s="7"/>
      <c r="E82" s="2"/>
      <c r="F82" s="6">
        <f t="shared" si="76"/>
        <v>0</v>
      </c>
      <c r="G82" s="2"/>
      <c r="H82" s="7">
        <v>100</v>
      </c>
      <c r="I82" s="2"/>
      <c r="J82" s="6">
        <f t="shared" si="77"/>
        <v>0</v>
      </c>
      <c r="K82" s="2"/>
      <c r="L82" s="7">
        <f t="shared" si="78"/>
        <v>-100</v>
      </c>
      <c r="M82" s="2"/>
      <c r="N82" s="6">
        <f t="shared" si="79"/>
        <v>-1</v>
      </c>
      <c r="O82" s="11"/>
      <c r="P82" s="7"/>
      <c r="Q82" s="2"/>
      <c r="R82" s="6">
        <f t="shared" si="80"/>
        <v>0</v>
      </c>
      <c r="S82" s="2"/>
      <c r="T82" s="7">
        <v>1100</v>
      </c>
      <c r="U82" s="2"/>
      <c r="V82" s="6">
        <f t="shared" si="81"/>
        <v>0</v>
      </c>
      <c r="W82" s="2"/>
      <c r="X82" s="7">
        <f t="shared" si="82"/>
        <v>-1100</v>
      </c>
      <c r="Y82" s="2"/>
      <c r="Z82" s="6">
        <f t="shared" si="83"/>
        <v>-1</v>
      </c>
    </row>
    <row r="83" spans="1:26" s="27" customFormat="1" outlineLevel="1" collapsed="1" x14ac:dyDescent="0.25">
      <c r="A83" s="26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SUM(OSRRefD22_16x_0)</f>
        <v>5333.96</v>
      </c>
      <c r="E83" s="1"/>
      <c r="F83" s="5">
        <f t="shared" ref="F83:F88" si="84">IF(D$12=0,0,D83/D$12)</f>
        <v>0</v>
      </c>
      <c r="G83" s="1"/>
      <c r="H83" s="1">
        <f>SUM(OSRRefH22_16x_0)</f>
        <v>4417</v>
      </c>
      <c r="I83" s="1"/>
      <c r="J83" s="5">
        <f t="shared" ref="J83:J88" si="85">IF(H$12=0,0,H83/H$12)</f>
        <v>0</v>
      </c>
      <c r="K83" s="1"/>
      <c r="L83" s="1">
        <f t="shared" ref="L83:L88" si="86">+D83-H83</f>
        <v>916.96</v>
      </c>
      <c r="M83" s="1"/>
      <c r="N83" s="5">
        <f t="shared" ref="N83:N88" si="87">IF(H83=0,0,L83/H83)</f>
        <v>0.2075979171383292</v>
      </c>
      <c r="O83" s="13"/>
      <c r="P83" s="1">
        <f>SUM(OSRRefP22_16x_0)</f>
        <v>8940.2599999999984</v>
      </c>
      <c r="Q83" s="1"/>
      <c r="R83" s="5">
        <f t="shared" ref="R83:R88" si="88">IF(P$12=0,0,P83/P$12)</f>
        <v>0</v>
      </c>
      <c r="S83" s="1"/>
      <c r="T83" s="1">
        <f>SUM(OSRRefT22_16x_0)</f>
        <v>67171</v>
      </c>
      <c r="U83" s="1"/>
      <c r="V83" s="5">
        <f t="shared" ref="V83:V88" si="89">IF(T$12=0,0,T83/T$12)</f>
        <v>0</v>
      </c>
      <c r="W83" s="1"/>
      <c r="X83" s="1">
        <f t="shared" ref="X83:X88" si="90">+P83-T83</f>
        <v>-58230.740000000005</v>
      </c>
      <c r="Y83" s="1"/>
      <c r="Z83" s="5">
        <f t="shared" ref="Z83:Z88" si="91">IF(T83=0,0,X83/T83)</f>
        <v>-0.86690297896413637</v>
      </c>
    </row>
    <row r="84" spans="1:26" s="24" customFormat="1" hidden="1" outlineLevel="2" x14ac:dyDescent="0.25">
      <c r="A84" s="25"/>
      <c r="B84" s="11" t="str">
        <f>CONCATENATE("          ", "6234", " - ", "EXPENDABLE SUPPLIES &amp; EQUIPMEN")</f>
        <v xml:space="preserve">          6234 - EXPENDABLE SUPPLIES &amp; EQUIPMEN</v>
      </c>
      <c r="C84" s="11"/>
      <c r="D84" s="7"/>
      <c r="E84" s="2"/>
      <c r="F84" s="6">
        <f t="shared" si="84"/>
        <v>0</v>
      </c>
      <c r="G84" s="2"/>
      <c r="H84" s="7">
        <v>1000</v>
      </c>
      <c r="I84" s="2"/>
      <c r="J84" s="6">
        <f t="shared" si="85"/>
        <v>0</v>
      </c>
      <c r="K84" s="2"/>
      <c r="L84" s="7">
        <f t="shared" si="86"/>
        <v>-1000</v>
      </c>
      <c r="M84" s="2"/>
      <c r="N84" s="6">
        <f t="shared" si="87"/>
        <v>-1</v>
      </c>
      <c r="O84" s="11"/>
      <c r="P84" s="7"/>
      <c r="Q84" s="2"/>
      <c r="R84" s="6">
        <f t="shared" si="88"/>
        <v>0</v>
      </c>
      <c r="S84" s="2"/>
      <c r="T84" s="7">
        <v>20584</v>
      </c>
      <c r="U84" s="2"/>
      <c r="V84" s="6">
        <f t="shared" si="89"/>
        <v>0</v>
      </c>
      <c r="W84" s="2"/>
      <c r="X84" s="7">
        <f t="shared" si="90"/>
        <v>-20584</v>
      </c>
      <c r="Y84" s="2"/>
      <c r="Z84" s="6">
        <f t="shared" si="91"/>
        <v>-1</v>
      </c>
    </row>
    <row r="85" spans="1:26" s="24" customFormat="1" hidden="1" outlineLevel="2" x14ac:dyDescent="0.25">
      <c r="A85" s="25"/>
      <c r="B85" s="11" t="str">
        <f>CONCATENATE("          ", "6235", " - ", "COVID-19 EXPENSES")</f>
        <v xml:space="preserve">          6235 - COVID-19 EXPENSES</v>
      </c>
      <c r="C85" s="11"/>
      <c r="D85" s="7"/>
      <c r="E85" s="2"/>
      <c r="F85" s="6">
        <f t="shared" si="84"/>
        <v>0</v>
      </c>
      <c r="G85" s="2"/>
      <c r="H85" s="7">
        <v>417</v>
      </c>
      <c r="I85" s="2"/>
      <c r="J85" s="6">
        <f t="shared" si="85"/>
        <v>0</v>
      </c>
      <c r="K85" s="2"/>
      <c r="L85" s="7">
        <f t="shared" si="86"/>
        <v>-417</v>
      </c>
      <c r="M85" s="2"/>
      <c r="N85" s="6">
        <f t="shared" si="87"/>
        <v>-1</v>
      </c>
      <c r="O85" s="11"/>
      <c r="P85" s="7">
        <v>810.3</v>
      </c>
      <c r="Q85" s="2"/>
      <c r="R85" s="6">
        <f t="shared" si="88"/>
        <v>0</v>
      </c>
      <c r="S85" s="2"/>
      <c r="T85" s="7">
        <v>6087</v>
      </c>
      <c r="U85" s="2"/>
      <c r="V85" s="6">
        <f t="shared" si="89"/>
        <v>0</v>
      </c>
      <c r="W85" s="2"/>
      <c r="X85" s="7">
        <f t="shared" si="90"/>
        <v>-5276.7</v>
      </c>
      <c r="Y85" s="2"/>
      <c r="Z85" s="6">
        <f t="shared" si="91"/>
        <v>-0.86688023656973878</v>
      </c>
    </row>
    <row r="86" spans="1:26" s="24" customFormat="1" hidden="1" outlineLevel="2" x14ac:dyDescent="0.25">
      <c r="A86" s="25"/>
      <c r="B86" s="11" t="str">
        <f>CONCATENATE("          ", "6241", " - ", "OFFICE EXPENSE")</f>
        <v xml:space="preserve">          6241 - OFFICE EXPENSE</v>
      </c>
      <c r="C86" s="11"/>
      <c r="D86" s="7">
        <v>5333.96</v>
      </c>
      <c r="E86" s="2"/>
      <c r="F86" s="6">
        <f t="shared" si="84"/>
        <v>0</v>
      </c>
      <c r="G86" s="2"/>
      <c r="H86" s="7">
        <v>2583</v>
      </c>
      <c r="I86" s="2"/>
      <c r="J86" s="6">
        <f t="shared" si="85"/>
        <v>0</v>
      </c>
      <c r="K86" s="2"/>
      <c r="L86" s="7">
        <f t="shared" si="86"/>
        <v>2750.96</v>
      </c>
      <c r="M86" s="2"/>
      <c r="N86" s="6">
        <f t="shared" si="87"/>
        <v>1.0650251645373596</v>
      </c>
      <c r="O86" s="11"/>
      <c r="P86" s="7">
        <v>7907.25</v>
      </c>
      <c r="Q86" s="2"/>
      <c r="R86" s="6">
        <f t="shared" si="88"/>
        <v>0</v>
      </c>
      <c r="S86" s="2"/>
      <c r="T86" s="7">
        <v>30913</v>
      </c>
      <c r="U86" s="2"/>
      <c r="V86" s="6">
        <f t="shared" si="89"/>
        <v>0</v>
      </c>
      <c r="W86" s="2"/>
      <c r="X86" s="7">
        <f t="shared" si="90"/>
        <v>-23005.75</v>
      </c>
      <c r="Y86" s="2"/>
      <c r="Z86" s="6">
        <f t="shared" si="91"/>
        <v>-0.74420955585028947</v>
      </c>
    </row>
    <row r="87" spans="1:26" s="24" customFormat="1" hidden="1" outlineLevel="2" x14ac:dyDescent="0.25">
      <c r="A87" s="25"/>
      <c r="B87" s="11" t="str">
        <f>CONCATENATE("          ", "6244", " - ", "SAFETY SUPPLY EXPENSE")</f>
        <v xml:space="preserve">          6244 - SAFETY SUPPLY EXPENSE</v>
      </c>
      <c r="C87" s="11"/>
      <c r="D87" s="7"/>
      <c r="E87" s="2"/>
      <c r="F87" s="6">
        <f t="shared" si="84"/>
        <v>0</v>
      </c>
      <c r="G87" s="2"/>
      <c r="H87" s="7">
        <v>417</v>
      </c>
      <c r="I87" s="2"/>
      <c r="J87" s="6">
        <f t="shared" si="85"/>
        <v>0</v>
      </c>
      <c r="K87" s="2"/>
      <c r="L87" s="7">
        <f t="shared" si="86"/>
        <v>-417</v>
      </c>
      <c r="M87" s="2"/>
      <c r="N87" s="6">
        <f t="shared" si="87"/>
        <v>-1</v>
      </c>
      <c r="O87" s="11"/>
      <c r="P87" s="7">
        <v>222.71</v>
      </c>
      <c r="Q87" s="2"/>
      <c r="R87" s="6">
        <f t="shared" si="88"/>
        <v>0</v>
      </c>
      <c r="S87" s="2"/>
      <c r="T87" s="7">
        <v>4587</v>
      </c>
      <c r="U87" s="2"/>
      <c r="V87" s="6">
        <f t="shared" si="89"/>
        <v>0</v>
      </c>
      <c r="W87" s="2"/>
      <c r="X87" s="7">
        <f t="shared" si="90"/>
        <v>-4364.29</v>
      </c>
      <c r="Y87" s="2"/>
      <c r="Z87" s="6">
        <f t="shared" si="91"/>
        <v>-0.95144756921735341</v>
      </c>
    </row>
    <row r="88" spans="1:26" s="24" customFormat="1" hidden="1" outlineLevel="2" x14ac:dyDescent="0.25">
      <c r="A88" s="25"/>
      <c r="B88" s="11" t="str">
        <f>CONCATENATE("          ", "6247", " - ", "STORE SUPPLIES")</f>
        <v xml:space="preserve">          6247 - STORE SUPPLIES</v>
      </c>
      <c r="C88" s="11"/>
      <c r="D88" s="7"/>
      <c r="E88" s="2"/>
      <c r="F88" s="6">
        <f t="shared" si="84"/>
        <v>0</v>
      </c>
      <c r="G88" s="2"/>
      <c r="H88" s="7"/>
      <c r="I88" s="2"/>
      <c r="J88" s="6">
        <f t="shared" si="85"/>
        <v>0</v>
      </c>
      <c r="K88" s="2"/>
      <c r="L88" s="7">
        <f t="shared" si="86"/>
        <v>0</v>
      </c>
      <c r="M88" s="2"/>
      <c r="N88" s="6">
        <f t="shared" si="87"/>
        <v>0</v>
      </c>
      <c r="O88" s="11"/>
      <c r="P88" s="7"/>
      <c r="Q88" s="2"/>
      <c r="R88" s="6">
        <f t="shared" si="88"/>
        <v>0</v>
      </c>
      <c r="S88" s="2"/>
      <c r="T88" s="7">
        <v>5000</v>
      </c>
      <c r="U88" s="2"/>
      <c r="V88" s="6">
        <f t="shared" si="89"/>
        <v>0</v>
      </c>
      <c r="W88" s="2"/>
      <c r="X88" s="7">
        <f t="shared" si="90"/>
        <v>-5000</v>
      </c>
      <c r="Y88" s="2"/>
      <c r="Z88" s="6">
        <f t="shared" si="91"/>
        <v>-1</v>
      </c>
    </row>
    <row r="89" spans="1:26" s="27" customFormat="1" outlineLevel="1" collapsed="1" x14ac:dyDescent="0.25">
      <c r="A89" s="26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SUM(OSRRefD22_17x_0)</f>
        <v>1893.49</v>
      </c>
      <c r="E89" s="1"/>
      <c r="F89" s="5">
        <f t="shared" ref="F89:F91" si="92">IF(D$12=0,0,D89/D$12)</f>
        <v>0</v>
      </c>
      <c r="G89" s="1"/>
      <c r="H89" s="1">
        <f>SUM(OSRRefH22_17x_0)</f>
        <v>1435</v>
      </c>
      <c r="I89" s="1"/>
      <c r="J89" s="5">
        <f t="shared" ref="J89:J91" si="93">IF(H$12=0,0,H89/H$12)</f>
        <v>0</v>
      </c>
      <c r="K89" s="1"/>
      <c r="L89" s="1">
        <f t="shared" ref="L89:L91" si="94">+D89-H89</f>
        <v>458.49</v>
      </c>
      <c r="M89" s="1"/>
      <c r="N89" s="5">
        <f t="shared" ref="N89:N91" si="95">IF(H89=0,0,L89/H89)</f>
        <v>0.31950522648083624</v>
      </c>
      <c r="O89" s="13"/>
      <c r="P89" s="1">
        <f>SUM(OSRRefP22_17x_0)</f>
        <v>22182.560000000001</v>
      </c>
      <c r="Q89" s="1"/>
      <c r="R89" s="5">
        <f t="shared" ref="R89:R91" si="96">IF(P$12=0,0,P89/P$12)</f>
        <v>0</v>
      </c>
      <c r="S89" s="1"/>
      <c r="T89" s="1">
        <f>SUM(OSRRefT22_17x_0)</f>
        <v>18035</v>
      </c>
      <c r="U89" s="1"/>
      <c r="V89" s="5">
        <f t="shared" ref="V89:V91" si="97">IF(T$12=0,0,T89/T$12)</f>
        <v>0</v>
      </c>
      <c r="W89" s="1"/>
      <c r="X89" s="1">
        <f t="shared" ref="X89:X91" si="98">+P89-T89</f>
        <v>4147.5600000000013</v>
      </c>
      <c r="Y89" s="1"/>
      <c r="Z89" s="5">
        <f t="shared" ref="Z89:Z91" si="99">IF(T89=0,0,X89/T89)</f>
        <v>0.22997283060715284</v>
      </c>
    </row>
    <row r="90" spans="1:26" s="24" customFormat="1" hidden="1" outlineLevel="2" x14ac:dyDescent="0.25">
      <c r="A90" s="25"/>
      <c r="B90" s="11" t="str">
        <f>CONCATENATE("          ", "6303", " - ", "DATA PHONE LINES")</f>
        <v xml:space="preserve">          6303 - DATA PHONE LINES</v>
      </c>
      <c r="C90" s="11"/>
      <c r="D90" s="7">
        <v>81.99</v>
      </c>
      <c r="E90" s="2"/>
      <c r="F90" s="6">
        <f t="shared" si="92"/>
        <v>0</v>
      </c>
      <c r="G90" s="2"/>
      <c r="H90" s="7">
        <v>335</v>
      </c>
      <c r="I90" s="2"/>
      <c r="J90" s="6">
        <f t="shared" si="93"/>
        <v>0</v>
      </c>
      <c r="K90" s="2"/>
      <c r="L90" s="7">
        <f t="shared" si="94"/>
        <v>-253.01</v>
      </c>
      <c r="M90" s="2"/>
      <c r="N90" s="6">
        <f t="shared" si="95"/>
        <v>-0.75525373134328355</v>
      </c>
      <c r="O90" s="11"/>
      <c r="P90" s="7">
        <v>1485.81</v>
      </c>
      <c r="Q90" s="2"/>
      <c r="R90" s="6">
        <f t="shared" si="96"/>
        <v>0</v>
      </c>
      <c r="S90" s="2"/>
      <c r="T90" s="7">
        <v>5485</v>
      </c>
      <c r="U90" s="2"/>
      <c r="V90" s="6">
        <f t="shared" si="97"/>
        <v>0</v>
      </c>
      <c r="W90" s="2"/>
      <c r="X90" s="7">
        <f t="shared" si="98"/>
        <v>-3999.19</v>
      </c>
      <c r="Y90" s="2"/>
      <c r="Z90" s="6">
        <f t="shared" si="99"/>
        <v>-0.72911394712853239</v>
      </c>
    </row>
    <row r="91" spans="1:26" s="24" customFormat="1" hidden="1" outlineLevel="2" x14ac:dyDescent="0.25">
      <c r="A91" s="25"/>
      <c r="B91" s="11" t="str">
        <f>CONCATENATE("          ", "6309", " - ", "TELEPHONE")</f>
        <v xml:space="preserve">          6309 - TELEPHONE</v>
      </c>
      <c r="C91" s="11"/>
      <c r="D91" s="7">
        <v>1811.5</v>
      </c>
      <c r="E91" s="2"/>
      <c r="F91" s="6">
        <f t="shared" si="92"/>
        <v>0</v>
      </c>
      <c r="G91" s="2"/>
      <c r="H91" s="7">
        <v>1100</v>
      </c>
      <c r="I91" s="2"/>
      <c r="J91" s="6">
        <f t="shared" si="93"/>
        <v>0</v>
      </c>
      <c r="K91" s="2"/>
      <c r="L91" s="7">
        <f t="shared" si="94"/>
        <v>711.5</v>
      </c>
      <c r="M91" s="2"/>
      <c r="N91" s="6">
        <f t="shared" si="95"/>
        <v>0.64681818181818185</v>
      </c>
      <c r="O91" s="11"/>
      <c r="P91" s="7">
        <v>20696.75</v>
      </c>
      <c r="Q91" s="2"/>
      <c r="R91" s="6">
        <f t="shared" si="96"/>
        <v>0</v>
      </c>
      <c r="S91" s="2"/>
      <c r="T91" s="7">
        <v>12550</v>
      </c>
      <c r="U91" s="2"/>
      <c r="V91" s="6">
        <f t="shared" si="97"/>
        <v>0</v>
      </c>
      <c r="W91" s="2"/>
      <c r="X91" s="7">
        <f t="shared" si="98"/>
        <v>8146.75</v>
      </c>
      <c r="Y91" s="2"/>
      <c r="Z91" s="6">
        <f t="shared" si="99"/>
        <v>0.64914342629482069</v>
      </c>
    </row>
    <row r="92" spans="1:26" s="27" customFormat="1" outlineLevel="1" collapsed="1" x14ac:dyDescent="0.25">
      <c r="A92" s="26"/>
      <c r="B92" s="13" t="str">
        <f>CONCATENATE("     ","Training                                          ")</f>
        <v xml:space="preserve">     Training                                          </v>
      </c>
      <c r="C92" s="13"/>
      <c r="D92" s="1">
        <f>SUM(OSRRefD22_18x_0)</f>
        <v>0</v>
      </c>
      <c r="E92" s="1"/>
      <c r="F92" s="5">
        <f t="shared" ref="F92:F96" si="100">IF(D$12=0,0,D92/D$12)</f>
        <v>0</v>
      </c>
      <c r="G92" s="1"/>
      <c r="H92" s="1">
        <f>SUM(OSRRefH22_18x_0)</f>
        <v>1196</v>
      </c>
      <c r="I92" s="1"/>
      <c r="J92" s="5">
        <f t="shared" ref="J92:J96" si="101">IF(H$12=0,0,H92/H$12)</f>
        <v>0</v>
      </c>
      <c r="K92" s="1"/>
      <c r="L92" s="1">
        <f t="shared" ref="L92:L96" si="102">+D92-H92</f>
        <v>-1196</v>
      </c>
      <c r="M92" s="1"/>
      <c r="N92" s="5">
        <f t="shared" ref="N92:N96" si="103">IF(H92=0,0,L92/H92)</f>
        <v>-1</v>
      </c>
      <c r="O92" s="13"/>
      <c r="P92" s="1">
        <f>SUM(OSRRefP22_18x_0)</f>
        <v>5225.5</v>
      </c>
      <c r="Q92" s="1"/>
      <c r="R92" s="5">
        <f t="shared" ref="R92:R96" si="104">IF(P$12=0,0,P92/P$12)</f>
        <v>0</v>
      </c>
      <c r="S92" s="1"/>
      <c r="T92" s="1">
        <f>SUM(OSRRefT22_18x_0)</f>
        <v>20306</v>
      </c>
      <c r="U92" s="1"/>
      <c r="V92" s="5">
        <f t="shared" ref="V92:V96" si="105">IF(T$12=0,0,T92/T$12)</f>
        <v>0</v>
      </c>
      <c r="W92" s="1"/>
      <c r="X92" s="1">
        <f t="shared" ref="X92:X96" si="106">+P92-T92</f>
        <v>-15080.5</v>
      </c>
      <c r="Y92" s="1"/>
      <c r="Z92" s="5">
        <f t="shared" ref="Z92:Z96" si="107">IF(T92=0,0,X92/T92)</f>
        <v>-0.74266226731015461</v>
      </c>
    </row>
    <row r="93" spans="1:26" s="24" customFormat="1" hidden="1" outlineLevel="2" x14ac:dyDescent="0.25">
      <c r="A93" s="25"/>
      <c r="B93" s="11" t="str">
        <f>CONCATENATE("          ", "6376", " - ", "TRAINING")</f>
        <v xml:space="preserve">          6376 - TRAINING</v>
      </c>
      <c r="C93" s="11"/>
      <c r="D93" s="7"/>
      <c r="E93" s="2"/>
      <c r="F93" s="6">
        <f t="shared" si="100"/>
        <v>0</v>
      </c>
      <c r="G93" s="2"/>
      <c r="H93" s="7">
        <v>1196</v>
      </c>
      <c r="I93" s="2"/>
      <c r="J93" s="6">
        <f t="shared" si="101"/>
        <v>0</v>
      </c>
      <c r="K93" s="2"/>
      <c r="L93" s="7">
        <f t="shared" si="102"/>
        <v>-1196</v>
      </c>
      <c r="M93" s="2"/>
      <c r="N93" s="6">
        <f t="shared" si="103"/>
        <v>-1</v>
      </c>
      <c r="O93" s="11"/>
      <c r="P93" s="7">
        <v>5225.5</v>
      </c>
      <c r="Q93" s="2"/>
      <c r="R93" s="6">
        <f t="shared" si="104"/>
        <v>0</v>
      </c>
      <c r="S93" s="2"/>
      <c r="T93" s="7">
        <v>20306</v>
      </c>
      <c r="U93" s="2"/>
      <c r="V93" s="6">
        <f t="shared" si="105"/>
        <v>0</v>
      </c>
      <c r="W93" s="2"/>
      <c r="X93" s="7">
        <f t="shared" si="106"/>
        <v>-15080.5</v>
      </c>
      <c r="Y93" s="2"/>
      <c r="Z93" s="6">
        <f t="shared" si="107"/>
        <v>-0.74266226731015461</v>
      </c>
    </row>
    <row r="94" spans="1:26" s="27" customFormat="1" outlineLevel="1" collapsed="1" x14ac:dyDescent="0.25">
      <c r="A94" s="26"/>
      <c r="B94" s="13" t="str">
        <f>CONCATENATE("     ","Travel                                            ")</f>
        <v xml:space="preserve">     Travel                                            </v>
      </c>
      <c r="C94" s="13"/>
      <c r="D94" s="1">
        <f>SUM(OSRRefD22_19x_0)</f>
        <v>0</v>
      </c>
      <c r="E94" s="1"/>
      <c r="F94" s="5">
        <f t="shared" si="100"/>
        <v>0</v>
      </c>
      <c r="G94" s="1"/>
      <c r="H94" s="1">
        <f>SUM(OSRRefH22_19x_0)</f>
        <v>625</v>
      </c>
      <c r="I94" s="1"/>
      <c r="J94" s="5">
        <f t="shared" si="101"/>
        <v>0</v>
      </c>
      <c r="K94" s="1"/>
      <c r="L94" s="1">
        <f t="shared" si="102"/>
        <v>-625</v>
      </c>
      <c r="M94" s="1"/>
      <c r="N94" s="5">
        <f t="shared" si="103"/>
        <v>-1</v>
      </c>
      <c r="O94" s="13"/>
      <c r="P94" s="1">
        <f>SUM(OSRRefP22_19x_0)</f>
        <v>808.72</v>
      </c>
      <c r="Q94" s="1"/>
      <c r="R94" s="5">
        <f t="shared" si="104"/>
        <v>0</v>
      </c>
      <c r="S94" s="1"/>
      <c r="T94" s="1">
        <f>SUM(OSRRefT22_19x_0)</f>
        <v>10475</v>
      </c>
      <c r="U94" s="1"/>
      <c r="V94" s="5">
        <f t="shared" si="105"/>
        <v>0</v>
      </c>
      <c r="W94" s="1"/>
      <c r="X94" s="1">
        <f t="shared" si="106"/>
        <v>-9666.2800000000007</v>
      </c>
      <c r="Y94" s="1"/>
      <c r="Z94" s="5">
        <f t="shared" si="107"/>
        <v>-0.92279522673031034</v>
      </c>
    </row>
    <row r="95" spans="1:26" s="24" customFormat="1" hidden="1" outlineLevel="2" x14ac:dyDescent="0.25">
      <c r="A95" s="25"/>
      <c r="B95" s="11" t="str">
        <f>CONCATENATE("          ", "6292", " - ", "TRAVEL/CONFERENCE")</f>
        <v xml:space="preserve">          6292 - TRAVEL/CONFERENCE</v>
      </c>
      <c r="C95" s="11"/>
      <c r="D95" s="7"/>
      <c r="E95" s="2"/>
      <c r="F95" s="6">
        <f t="shared" si="100"/>
        <v>0</v>
      </c>
      <c r="G95" s="2"/>
      <c r="H95" s="7">
        <v>625</v>
      </c>
      <c r="I95" s="2"/>
      <c r="J95" s="6">
        <f t="shared" si="101"/>
        <v>0</v>
      </c>
      <c r="K95" s="2"/>
      <c r="L95" s="7">
        <f t="shared" si="102"/>
        <v>-625</v>
      </c>
      <c r="M95" s="2"/>
      <c r="N95" s="6">
        <f t="shared" si="103"/>
        <v>-1</v>
      </c>
      <c r="O95" s="11"/>
      <c r="P95" s="7">
        <v>720</v>
      </c>
      <c r="Q95" s="2"/>
      <c r="R95" s="6">
        <f t="shared" si="104"/>
        <v>0</v>
      </c>
      <c r="S95" s="2"/>
      <c r="T95" s="7">
        <v>6875</v>
      </c>
      <c r="U95" s="2"/>
      <c r="V95" s="6">
        <f t="shared" si="105"/>
        <v>0</v>
      </c>
      <c r="W95" s="2"/>
      <c r="X95" s="7">
        <f t="shared" si="106"/>
        <v>-6155</v>
      </c>
      <c r="Y95" s="2"/>
      <c r="Z95" s="6">
        <f t="shared" si="107"/>
        <v>-0.89527272727272722</v>
      </c>
    </row>
    <row r="96" spans="1:26" s="24" customFormat="1" hidden="1" outlineLevel="2" x14ac:dyDescent="0.25">
      <c r="A96" s="25"/>
      <c r="B96" s="11" t="str">
        <f>CONCATENATE("          ", "6294", " - ", "TRAVEL OPERATIONAL")</f>
        <v xml:space="preserve">          6294 - TRAVEL OPERATIONAL</v>
      </c>
      <c r="C96" s="11"/>
      <c r="D96" s="7"/>
      <c r="E96" s="2"/>
      <c r="F96" s="6">
        <f t="shared" si="100"/>
        <v>0</v>
      </c>
      <c r="G96" s="2"/>
      <c r="H96" s="7"/>
      <c r="I96" s="2"/>
      <c r="J96" s="6">
        <f t="shared" si="101"/>
        <v>0</v>
      </c>
      <c r="K96" s="2"/>
      <c r="L96" s="7">
        <f t="shared" si="102"/>
        <v>0</v>
      </c>
      <c r="M96" s="2"/>
      <c r="N96" s="6">
        <f t="shared" si="103"/>
        <v>0</v>
      </c>
      <c r="O96" s="11"/>
      <c r="P96" s="7">
        <v>88.72</v>
      </c>
      <c r="Q96" s="2"/>
      <c r="R96" s="6">
        <f t="shared" si="104"/>
        <v>0</v>
      </c>
      <c r="S96" s="2"/>
      <c r="T96" s="7">
        <v>3600</v>
      </c>
      <c r="U96" s="2"/>
      <c r="V96" s="6">
        <f t="shared" si="105"/>
        <v>0</v>
      </c>
      <c r="W96" s="2"/>
      <c r="X96" s="7">
        <f t="shared" si="106"/>
        <v>-3511.28</v>
      </c>
      <c r="Y96" s="2"/>
      <c r="Z96" s="6">
        <f t="shared" si="107"/>
        <v>-0.97535555555555564</v>
      </c>
    </row>
    <row r="97" spans="1:26" s="56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25">
      <c r="A98" s="10"/>
      <c r="B98" s="29" t="s">
        <v>293</v>
      </c>
      <c r="C98" s="10"/>
      <c r="D98" s="4">
        <f>SUM(OSRRefD25x_0)</f>
        <v>0</v>
      </c>
      <c r="E98" s="4"/>
      <c r="F98" s="12">
        <f t="shared" ref="F98:F101" si="108">IF(D$12=0,0,D98/D$12)</f>
        <v>0</v>
      </c>
      <c r="G98" s="4"/>
      <c r="H98" s="4">
        <f>SUM(OSRRefH25x_0)</f>
        <v>0</v>
      </c>
      <c r="I98" s="4"/>
      <c r="J98" s="12">
        <f t="shared" ref="J98:J101" si="109">IF(H$12=0,0,H98/H$12)</f>
        <v>0</v>
      </c>
      <c r="K98" s="4"/>
      <c r="L98" s="4">
        <f t="shared" ref="L98:L101" si="110">+D98-H98</f>
        <v>0</v>
      </c>
      <c r="M98" s="4"/>
      <c r="N98" s="12">
        <f t="shared" ref="N98:N101" si="111">IF(H98=0,0,L98/H98)</f>
        <v>0</v>
      </c>
      <c r="O98" s="10"/>
      <c r="P98" s="4">
        <f>SUM(OSRRefP25x_0)</f>
        <v>0</v>
      </c>
      <c r="Q98" s="4"/>
      <c r="R98" s="12">
        <f t="shared" ref="R98:R101" si="112">IF(P$12=0,0,P98/P$12)</f>
        <v>0</v>
      </c>
      <c r="S98" s="4"/>
      <c r="T98" s="4">
        <f>SUM(OSRRefT25x_0)</f>
        <v>0</v>
      </c>
      <c r="U98" s="4"/>
      <c r="V98" s="12">
        <f t="shared" ref="V98:V101" si="113">IF(T$12=0,0,T98/T$12)</f>
        <v>0</v>
      </c>
      <c r="W98" s="4"/>
      <c r="X98" s="4">
        <f t="shared" ref="X98:X101" si="114">+P98-T98</f>
        <v>0</v>
      </c>
      <c r="Y98" s="4"/>
      <c r="Z98" s="12">
        <f t="shared" ref="Z98:Z101" si="115">IF(T98=0,0,X98/T98)</f>
        <v>0</v>
      </c>
    </row>
    <row r="99" spans="1:26" s="24" customFormat="1" hidden="1" outlineLevel="1" x14ac:dyDescent="0.25">
      <c r="A99" s="44"/>
      <c r="B99" s="11" t="str">
        <f>CONCATENATE("          ", "9150", " - ", "MISC. INCOME")</f>
        <v xml:space="preserve">          9150 - MISC. INCOME</v>
      </c>
      <c r="C99" s="11"/>
      <c r="D99" s="2">
        <f t="shared" ref="D99:D101" si="116">0</f>
        <v>0</v>
      </c>
      <c r="E99" s="2"/>
      <c r="F99" s="19">
        <f t="shared" si="108"/>
        <v>0</v>
      </c>
      <c r="G99" s="2"/>
      <c r="H99" s="2"/>
      <c r="I99" s="2"/>
      <c r="J99" s="19">
        <f t="shared" si="109"/>
        <v>0</v>
      </c>
      <c r="K99" s="2"/>
      <c r="L99" s="2">
        <f t="shared" si="110"/>
        <v>0</v>
      </c>
      <c r="M99" s="2"/>
      <c r="N99" s="19">
        <f t="shared" si="111"/>
        <v>0</v>
      </c>
      <c r="O99" s="11"/>
      <c r="P99" s="2">
        <f t="shared" ref="P99:P101" si="117">0</f>
        <v>0</v>
      </c>
      <c r="Q99" s="2"/>
      <c r="R99" s="19">
        <f t="shared" si="112"/>
        <v>0</v>
      </c>
      <c r="S99" s="2"/>
      <c r="T99" s="2">
        <v>0</v>
      </c>
      <c r="U99" s="2"/>
      <c r="V99" s="19">
        <f t="shared" si="113"/>
        <v>0</v>
      </c>
      <c r="W99" s="2"/>
      <c r="X99" s="2">
        <f t="shared" si="114"/>
        <v>0</v>
      </c>
      <c r="Y99" s="2"/>
      <c r="Z99" s="19">
        <f t="shared" si="115"/>
        <v>0</v>
      </c>
    </row>
    <row r="100" spans="1:26" s="24" customFormat="1" hidden="1" outlineLevel="1" x14ac:dyDescent="0.25">
      <c r="A100" s="44"/>
      <c r="B100" s="11" t="str">
        <f>CONCATENATE("          ", "9151", " - ", "MISC. INCOME")</f>
        <v xml:space="preserve">          9151 - MISC. INCOME</v>
      </c>
      <c r="C100" s="11"/>
      <c r="D100" s="2">
        <f t="shared" si="116"/>
        <v>0</v>
      </c>
      <c r="E100" s="2"/>
      <c r="F100" s="19">
        <f t="shared" si="108"/>
        <v>0</v>
      </c>
      <c r="G100" s="2"/>
      <c r="H100" s="2"/>
      <c r="I100" s="2"/>
      <c r="J100" s="19">
        <f t="shared" si="109"/>
        <v>0</v>
      </c>
      <c r="K100" s="2"/>
      <c r="L100" s="2">
        <f t="shared" si="110"/>
        <v>0</v>
      </c>
      <c r="M100" s="2"/>
      <c r="N100" s="19">
        <f t="shared" si="111"/>
        <v>0</v>
      </c>
      <c r="O100" s="11"/>
      <c r="P100" s="2">
        <f t="shared" si="117"/>
        <v>0</v>
      </c>
      <c r="Q100" s="2"/>
      <c r="R100" s="19">
        <f t="shared" si="112"/>
        <v>0</v>
      </c>
      <c r="S100" s="2"/>
      <c r="T100" s="2">
        <v>0</v>
      </c>
      <c r="U100" s="2"/>
      <c r="V100" s="19">
        <f t="shared" si="113"/>
        <v>0</v>
      </c>
      <c r="W100" s="2"/>
      <c r="X100" s="2">
        <f t="shared" si="114"/>
        <v>0</v>
      </c>
      <c r="Y100" s="2"/>
      <c r="Z100" s="19">
        <f t="shared" si="115"/>
        <v>0</v>
      </c>
    </row>
    <row r="101" spans="1:26" s="24" customFormat="1" hidden="1" outlineLevel="1" x14ac:dyDescent="0.25">
      <c r="A101" s="44"/>
      <c r="B101" s="11" t="str">
        <f>CONCATENATE("          ", "9160", " - ", "MISC. INCOME")</f>
        <v xml:space="preserve">          9160 - MISC. INCOME</v>
      </c>
      <c r="C101" s="11"/>
      <c r="D101" s="2">
        <f t="shared" si="116"/>
        <v>0</v>
      </c>
      <c r="E101" s="2"/>
      <c r="F101" s="19">
        <f t="shared" si="108"/>
        <v>0</v>
      </c>
      <c r="G101" s="2"/>
      <c r="H101" s="2"/>
      <c r="I101" s="2"/>
      <c r="J101" s="19">
        <f t="shared" si="109"/>
        <v>0</v>
      </c>
      <c r="K101" s="2"/>
      <c r="L101" s="2">
        <f t="shared" si="110"/>
        <v>0</v>
      </c>
      <c r="M101" s="2"/>
      <c r="N101" s="19">
        <f t="shared" si="111"/>
        <v>0</v>
      </c>
      <c r="O101" s="11"/>
      <c r="P101" s="2">
        <f t="shared" si="117"/>
        <v>0</v>
      </c>
      <c r="Q101" s="2"/>
      <c r="R101" s="19">
        <f t="shared" si="112"/>
        <v>0</v>
      </c>
      <c r="S101" s="2"/>
      <c r="T101" s="2">
        <v>0</v>
      </c>
      <c r="U101" s="2"/>
      <c r="V101" s="19">
        <f t="shared" si="113"/>
        <v>0</v>
      </c>
      <c r="W101" s="2"/>
      <c r="X101" s="2">
        <f t="shared" si="114"/>
        <v>0</v>
      </c>
      <c r="Y101" s="2"/>
      <c r="Z101" s="19">
        <f t="shared" si="115"/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8" t="s">
        <v>277</v>
      </c>
      <c r="C103" s="28"/>
      <c r="D103" s="20">
        <f>+D17-D19+D98</f>
        <v>-213156.25999999998</v>
      </c>
      <c r="E103" s="14"/>
      <c r="F103" s="21">
        <f>IF(D$12=0,0,D103/D$12)</f>
        <v>0</v>
      </c>
      <c r="G103" s="14"/>
      <c r="H103" s="20">
        <f>+H17-H19+H98</f>
        <v>-249099.42888000008</v>
      </c>
      <c r="I103" s="14"/>
      <c r="J103" s="21">
        <f>IF(H$12=0,0,H103/H$12)</f>
        <v>0</v>
      </c>
      <c r="K103" s="15"/>
      <c r="L103" s="20">
        <f>+D103-H103</f>
        <v>35943.168880000099</v>
      </c>
      <c r="M103" s="15"/>
      <c r="N103" s="21">
        <f>IF(H103=0,0,L103/H103)</f>
        <v>-0.14429245800204216</v>
      </c>
      <c r="O103" s="29"/>
      <c r="P103" s="20">
        <f>+P17-P19+P98</f>
        <v>-2096793.0899999996</v>
      </c>
      <c r="Q103" s="14"/>
      <c r="R103" s="21">
        <f>IF(P$12=0,0,P103/P$12)</f>
        <v>0</v>
      </c>
      <c r="S103" s="14"/>
      <c r="T103" s="20">
        <f>+T17-T19+T98</f>
        <v>-2992949.5880246167</v>
      </c>
      <c r="U103" s="14"/>
      <c r="V103" s="21">
        <f>IF(T$12=0,0,T103/T$12)</f>
        <v>0</v>
      </c>
      <c r="W103" s="15"/>
      <c r="X103" s="20">
        <f>+P103-T103</f>
        <v>896156.49802461709</v>
      </c>
      <c r="Y103" s="15"/>
      <c r="Z103" s="21">
        <f>IF(T103=0,0,X103/T103)</f>
        <v>-0.29942251670737002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128</v>
      </c>
      <c r="C105" s="10"/>
      <c r="D105" s="4"/>
      <c r="E105" s="4"/>
      <c r="F105" s="12">
        <f>IF(D$12=0,0,D105/D$12)</f>
        <v>0</v>
      </c>
      <c r="G105" s="4"/>
      <c r="H105" s="4"/>
      <c r="I105" s="4"/>
      <c r="J105" s="12">
        <f>IF(H$12=0,0,H105/H$12)</f>
        <v>0</v>
      </c>
      <c r="K105" s="4"/>
      <c r="L105" s="4">
        <f>+D105-H105</f>
        <v>0</v>
      </c>
      <c r="M105" s="4"/>
      <c r="N105" s="12">
        <f>IF(H105=0,0,L105/H105)</f>
        <v>0</v>
      </c>
      <c r="O105" s="10"/>
      <c r="P105" s="4"/>
      <c r="Q105" s="4"/>
      <c r="R105" s="12">
        <f>IF(P$12=0,0,P105/P$12)</f>
        <v>0</v>
      </c>
      <c r="S105" s="4"/>
      <c r="T105" s="4"/>
      <c r="U105" s="4"/>
      <c r="V105" s="12">
        <f>IF(T$12=0,0,T105/T$12)</f>
        <v>0</v>
      </c>
      <c r="W105" s="4"/>
      <c r="X105" s="4">
        <f>+P105-T105</f>
        <v>0</v>
      </c>
      <c r="Y105" s="4"/>
      <c r="Z105" s="12">
        <f>IF(T105=0,0,X105/T105)</f>
        <v>0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126</v>
      </c>
      <c r="C107" s="28"/>
      <c r="D107" s="35">
        <f>+D103-D105</f>
        <v>-213156.25999999998</v>
      </c>
      <c r="E107" s="14"/>
      <c r="F107" s="34">
        <f>IF(D$12=0,0,D107/D$12)</f>
        <v>0</v>
      </c>
      <c r="G107" s="14"/>
      <c r="H107" s="35">
        <f>+H103-H105</f>
        <v>-249099.42888000008</v>
      </c>
      <c r="I107" s="14"/>
      <c r="J107" s="34">
        <f>IF(H$12=0,0,H107/H$12)</f>
        <v>0</v>
      </c>
      <c r="K107" s="15"/>
      <c r="L107" s="35">
        <f>D107-H107</f>
        <v>35943.168880000099</v>
      </c>
      <c r="M107" s="15"/>
      <c r="N107" s="34">
        <f>IF(H107=0,0,L107/H107)</f>
        <v>-0.14429245800204216</v>
      </c>
      <c r="O107" s="29"/>
      <c r="P107" s="35">
        <f>+P103-P105</f>
        <v>-2096793.0899999996</v>
      </c>
      <c r="Q107" s="14"/>
      <c r="R107" s="34">
        <f>IF(P$12=0,0,P107/P$12)</f>
        <v>0</v>
      </c>
      <c r="S107" s="14"/>
      <c r="T107" s="35">
        <f>+T103-T105</f>
        <v>-2992949.5880246167</v>
      </c>
      <c r="U107" s="14"/>
      <c r="V107" s="34">
        <f>IF(T$12=0,0,T107/T$12)</f>
        <v>0</v>
      </c>
      <c r="W107" s="15"/>
      <c r="X107" s="35">
        <f>P107-T107</f>
        <v>896156.49802461709</v>
      </c>
      <c r="Y107" s="15"/>
      <c r="Z107" s="34">
        <f>IF(T107=0,0,X107/T107)</f>
        <v>-0.29942251670737002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8" t="s">
        <v>294</v>
      </c>
      <c r="C110" s="28"/>
      <c r="D110" s="33">
        <f>SUM(D107:D109)</f>
        <v>-213156.25999999998</v>
      </c>
      <c r="E110" s="14"/>
      <c r="F110" s="32">
        <f>IF(D$12=0,0,D110/D$12)</f>
        <v>0</v>
      </c>
      <c r="G110" s="14"/>
      <c r="H110" s="33">
        <f>SUM(H107:H109)</f>
        <v>-249099.42888000008</v>
      </c>
      <c r="I110" s="14"/>
      <c r="J110" s="32">
        <f>IF(H$12=0,0,H110/H$12)</f>
        <v>0</v>
      </c>
      <c r="K110" s="15"/>
      <c r="L110" s="33">
        <f>+D110-H110</f>
        <v>35943.168880000099</v>
      </c>
      <c r="M110" s="15"/>
      <c r="N110" s="32">
        <f>IF(H110=0,0,L110/H110)</f>
        <v>-0.14429245800204216</v>
      </c>
      <c r="O110" s="29"/>
      <c r="P110" s="33">
        <f>SUM(P107:P109)</f>
        <v>-2096793.0899999996</v>
      </c>
      <c r="Q110" s="14"/>
      <c r="R110" s="32">
        <f>IF(P$12=0,0,P110/P$12)</f>
        <v>0</v>
      </c>
      <c r="S110" s="14"/>
      <c r="T110" s="33">
        <f>SUM(T107:T109)</f>
        <v>-2992949.5880246167</v>
      </c>
      <c r="U110" s="14"/>
      <c r="V110" s="32">
        <f>IF(T$12=0,0,T110/T$12)</f>
        <v>0</v>
      </c>
      <c r="W110" s="15"/>
      <c r="X110" s="33">
        <f>+P110-T110</f>
        <v>896156.49802461709</v>
      </c>
      <c r="Y110" s="15"/>
      <c r="Z110" s="32">
        <f>IF(T110=0,0,X110/T110)</f>
        <v>-0.29942251670737002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60">
        <v>44356.891789004629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5" t="s">
        <v>56</v>
      </c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63"/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","200", " - ", "Corporate Expense")</f>
        <v>Department 200 - Corporate Expense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29173.79</v>
      </c>
      <c r="E18" s="22"/>
      <c r="F18" s="31">
        <f t="shared" ref="F18:F29" si="0">IF(D$12=0,0,D18/D$12)</f>
        <v>0</v>
      </c>
      <c r="G18" s="22"/>
      <c r="H18" s="22">
        <f>SUM(OSRRefH22x_0)</f>
        <v>35337</v>
      </c>
      <c r="I18" s="22"/>
      <c r="J18" s="31">
        <f t="shared" ref="J18:J29" si="1">IF(H$12=0,0,H18/H$12)</f>
        <v>0</v>
      </c>
      <c r="K18" s="4"/>
      <c r="L18" s="22">
        <f t="shared" ref="L18:L29" si="2">+D18-H18</f>
        <v>-6163.2099999999991</v>
      </c>
      <c r="M18" s="4"/>
      <c r="N18" s="31">
        <f t="shared" ref="N18:N29" si="3">IF(H18=0,0,L18/H18)</f>
        <v>-0.17441237230098761</v>
      </c>
      <c r="O18" s="10"/>
      <c r="P18" s="22">
        <f>SUM(OSRRefP22x_0)</f>
        <v>-8931.7899999999936</v>
      </c>
      <c r="Q18" s="22"/>
      <c r="R18" s="31">
        <f t="shared" ref="R18:R29" si="4">IF(P$12=0,0,P18/P$12)</f>
        <v>0</v>
      </c>
      <c r="S18" s="22"/>
      <c r="T18" s="22">
        <f>SUM(OSRRefT22x_0)</f>
        <v>552607</v>
      </c>
      <c r="U18" s="22"/>
      <c r="V18" s="31">
        <f t="shared" ref="V18:V29" si="5">IF(T$12=0,0,T18/T$12)</f>
        <v>0</v>
      </c>
      <c r="W18" s="4"/>
      <c r="X18" s="22">
        <f t="shared" ref="X18:X29" si="6">+P18-T18</f>
        <v>-561538.79</v>
      </c>
      <c r="Y18" s="4"/>
      <c r="Z18" s="31">
        <f t="shared" ref="Z18:Z29" si="7">IF(T18=0,0,X18/T18)</f>
        <v>-1.0161630055355797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28124.68</v>
      </c>
      <c r="E19" s="1"/>
      <c r="F19" s="5">
        <f t="shared" si="0"/>
        <v>0</v>
      </c>
      <c r="G19" s="1"/>
      <c r="H19" s="1">
        <f>SUM(OSRRefH22_0x_0)</f>
        <v>32000</v>
      </c>
      <c r="I19" s="1"/>
      <c r="J19" s="5">
        <f t="shared" si="1"/>
        <v>0</v>
      </c>
      <c r="K19" s="1"/>
      <c r="L19" s="1">
        <f t="shared" si="2"/>
        <v>-3875.3199999999997</v>
      </c>
      <c r="M19" s="1"/>
      <c r="N19" s="5">
        <f t="shared" si="3"/>
        <v>-0.12110375</v>
      </c>
      <c r="O19" s="13"/>
      <c r="P19" s="1">
        <f>SUM(OSRRefP22_0x_0)</f>
        <v>-76693.88</v>
      </c>
      <c r="Q19" s="1"/>
      <c r="R19" s="5">
        <f t="shared" si="4"/>
        <v>0</v>
      </c>
      <c r="S19" s="1"/>
      <c r="T19" s="1">
        <f>SUM(OSRRefT22_0x_0)</f>
        <v>352000</v>
      </c>
      <c r="U19" s="1"/>
      <c r="V19" s="5">
        <f t="shared" si="5"/>
        <v>0</v>
      </c>
      <c r="W19" s="1"/>
      <c r="X19" s="1">
        <f t="shared" si="6"/>
        <v>-428693.88</v>
      </c>
      <c r="Y19" s="1"/>
      <c r="Z19" s="5">
        <f t="shared" si="7"/>
        <v>-1.217880340909091</v>
      </c>
    </row>
    <row r="20" spans="1:26" s="24" customFormat="1" hidden="1" outlineLevel="2" x14ac:dyDescent="0.25">
      <c r="A20" s="25"/>
      <c r="B20" s="11" t="str">
        <f>CONCATENATE("          ", "6120", " - ", "RETIREES HEALTH INSURANCE")</f>
        <v xml:space="preserve">          6120 - RETIREES HEALTH INSURANCE</v>
      </c>
      <c r="C20" s="11"/>
      <c r="D20" s="7">
        <v>28124.68</v>
      </c>
      <c r="E20" s="2"/>
      <c r="F20" s="6">
        <f t="shared" si="0"/>
        <v>0</v>
      </c>
      <c r="G20" s="2"/>
      <c r="H20" s="7">
        <v>32000</v>
      </c>
      <c r="I20" s="2"/>
      <c r="J20" s="6">
        <f t="shared" si="1"/>
        <v>0</v>
      </c>
      <c r="K20" s="2"/>
      <c r="L20" s="7">
        <f t="shared" si="2"/>
        <v>-3875.3199999999997</v>
      </c>
      <c r="M20" s="2"/>
      <c r="N20" s="6">
        <f t="shared" si="3"/>
        <v>-0.12110375</v>
      </c>
      <c r="O20" s="11"/>
      <c r="P20" s="7">
        <v>-76693.88</v>
      </c>
      <c r="Q20" s="2"/>
      <c r="R20" s="6">
        <f t="shared" si="4"/>
        <v>0</v>
      </c>
      <c r="S20" s="2"/>
      <c r="T20" s="7">
        <v>352000</v>
      </c>
      <c r="U20" s="2"/>
      <c r="V20" s="6">
        <f t="shared" si="5"/>
        <v>0</v>
      </c>
      <c r="W20" s="2"/>
      <c r="X20" s="7">
        <f t="shared" si="6"/>
        <v>-428693.88</v>
      </c>
      <c r="Y20" s="2"/>
      <c r="Z20" s="6">
        <f t="shared" si="7"/>
        <v>-1.217880340909091</v>
      </c>
    </row>
    <row r="21" spans="1:26" s="27" customFormat="1" outlineLevel="1" collapsed="1" x14ac:dyDescent="0.25">
      <c r="A21" s="26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7</v>
      </c>
      <c r="E21" s="1"/>
      <c r="F21" s="5">
        <f t="shared" si="0"/>
        <v>0</v>
      </c>
      <c r="G21" s="1"/>
      <c r="H21" s="1">
        <f>SUM(OSRRefH22_1x_0)</f>
        <v>1000</v>
      </c>
      <c r="I21" s="1"/>
      <c r="J21" s="5">
        <f t="shared" si="1"/>
        <v>0</v>
      </c>
      <c r="K21" s="1"/>
      <c r="L21" s="1">
        <f t="shared" si="2"/>
        <v>-993</v>
      </c>
      <c r="M21" s="1"/>
      <c r="N21" s="5">
        <f t="shared" si="3"/>
        <v>-0.99299999999999999</v>
      </c>
      <c r="O21" s="13"/>
      <c r="P21" s="1">
        <f>SUM(OSRRefP22_1x_0)</f>
        <v>6996.07</v>
      </c>
      <c r="Q21" s="1"/>
      <c r="R21" s="5">
        <f t="shared" si="4"/>
        <v>0</v>
      </c>
      <c r="S21" s="1"/>
      <c r="T21" s="1">
        <f>SUM(OSRRefT22_1x_0)</f>
        <v>70000</v>
      </c>
      <c r="U21" s="1"/>
      <c r="V21" s="5">
        <f t="shared" si="5"/>
        <v>0</v>
      </c>
      <c r="W21" s="1"/>
      <c r="X21" s="1">
        <f t="shared" si="6"/>
        <v>-63003.93</v>
      </c>
      <c r="Y21" s="1"/>
      <c r="Z21" s="5">
        <f t="shared" si="7"/>
        <v>-0.90005614285714286</v>
      </c>
    </row>
    <row r="22" spans="1:26" s="24" customFormat="1" hidden="1" outlineLevel="2" x14ac:dyDescent="0.25">
      <c r="A22" s="25"/>
      <c r="B22" s="11" t="str">
        <f>CONCATENATE("          ", "6381", " - ", "BANK/CREDIT CARD FEES")</f>
        <v xml:space="preserve">          6381 - BANK/CREDIT CARD FEES</v>
      </c>
      <c r="C22" s="11"/>
      <c r="D22" s="7">
        <v>7</v>
      </c>
      <c r="E22" s="2"/>
      <c r="F22" s="6">
        <f t="shared" si="0"/>
        <v>0</v>
      </c>
      <c r="G22" s="2"/>
      <c r="H22" s="7">
        <v>1000</v>
      </c>
      <c r="I22" s="2"/>
      <c r="J22" s="6">
        <f t="shared" si="1"/>
        <v>0</v>
      </c>
      <c r="K22" s="2"/>
      <c r="L22" s="7">
        <f t="shared" si="2"/>
        <v>-993</v>
      </c>
      <c r="M22" s="2"/>
      <c r="N22" s="6">
        <f t="shared" si="3"/>
        <v>-0.99299999999999999</v>
      </c>
      <c r="O22" s="11"/>
      <c r="P22" s="7">
        <v>6996.07</v>
      </c>
      <c r="Q22" s="2"/>
      <c r="R22" s="6">
        <f t="shared" si="4"/>
        <v>0</v>
      </c>
      <c r="S22" s="2"/>
      <c r="T22" s="7">
        <v>70000</v>
      </c>
      <c r="U22" s="2"/>
      <c r="V22" s="6">
        <f t="shared" si="5"/>
        <v>0</v>
      </c>
      <c r="W22" s="2"/>
      <c r="X22" s="7">
        <f t="shared" si="6"/>
        <v>-63003.93</v>
      </c>
      <c r="Y22" s="2"/>
      <c r="Z22" s="6">
        <f t="shared" si="7"/>
        <v>-0.90005614285714286</v>
      </c>
    </row>
    <row r="23" spans="1:26" s="27" customFormat="1" outlineLevel="1" collapsed="1" x14ac:dyDescent="0.25">
      <c r="A23" s="26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1042.1099999999999</v>
      </c>
      <c r="E23" s="1"/>
      <c r="F23" s="5">
        <f t="shared" si="0"/>
        <v>0</v>
      </c>
      <c r="G23" s="1"/>
      <c r="H23" s="1">
        <f>SUM(OSRRefH22_2x_0)</f>
        <v>2337</v>
      </c>
      <c r="I23" s="1"/>
      <c r="J23" s="5">
        <f t="shared" si="1"/>
        <v>0</v>
      </c>
      <c r="K23" s="1"/>
      <c r="L23" s="1">
        <f t="shared" si="2"/>
        <v>-1294.8900000000001</v>
      </c>
      <c r="M23" s="1"/>
      <c r="N23" s="5">
        <f t="shared" si="3"/>
        <v>-0.55408215661103988</v>
      </c>
      <c r="O23" s="13"/>
      <c r="P23" s="1">
        <f>SUM(OSRRefP22_2x_0)</f>
        <v>14198.02</v>
      </c>
      <c r="Q23" s="1"/>
      <c r="R23" s="5">
        <f t="shared" si="4"/>
        <v>0</v>
      </c>
      <c r="S23" s="1"/>
      <c r="T23" s="1">
        <f>SUM(OSRRefT22_2x_0)</f>
        <v>43607</v>
      </c>
      <c r="U23" s="1"/>
      <c r="V23" s="5">
        <f t="shared" si="5"/>
        <v>0</v>
      </c>
      <c r="W23" s="1"/>
      <c r="X23" s="1">
        <f t="shared" si="6"/>
        <v>-29408.98</v>
      </c>
      <c r="Y23" s="1"/>
      <c r="Z23" s="5">
        <f t="shared" si="7"/>
        <v>-0.67440961313550574</v>
      </c>
    </row>
    <row r="24" spans="1:26" s="24" customFormat="1" hidden="1" outlineLevel="2" x14ac:dyDescent="0.25">
      <c r="A24" s="25"/>
      <c r="B24" s="11" t="str">
        <f>CONCATENATE("          ", "6397", " - ", "BOARD EXPENSES")</f>
        <v xml:space="preserve">          6397 - BOARD EXPENSES</v>
      </c>
      <c r="C24" s="11"/>
      <c r="D24" s="7">
        <v>1042.1099999999999</v>
      </c>
      <c r="E24" s="2"/>
      <c r="F24" s="6">
        <f t="shared" si="0"/>
        <v>0</v>
      </c>
      <c r="G24" s="2"/>
      <c r="H24" s="7">
        <v>2337</v>
      </c>
      <c r="I24" s="2"/>
      <c r="J24" s="6">
        <f t="shared" si="1"/>
        <v>0</v>
      </c>
      <c r="K24" s="2"/>
      <c r="L24" s="7">
        <f t="shared" si="2"/>
        <v>-1294.8900000000001</v>
      </c>
      <c r="M24" s="2"/>
      <c r="N24" s="6">
        <f t="shared" si="3"/>
        <v>-0.55408215661103988</v>
      </c>
      <c r="O24" s="11"/>
      <c r="P24" s="7">
        <v>14198.02</v>
      </c>
      <c r="Q24" s="2"/>
      <c r="R24" s="6">
        <f t="shared" si="4"/>
        <v>0</v>
      </c>
      <c r="S24" s="2"/>
      <c r="T24" s="7">
        <v>43607</v>
      </c>
      <c r="U24" s="2"/>
      <c r="V24" s="6">
        <f t="shared" si="5"/>
        <v>0</v>
      </c>
      <c r="W24" s="2"/>
      <c r="X24" s="7">
        <f t="shared" si="6"/>
        <v>-29408.98</v>
      </c>
      <c r="Y24" s="2"/>
      <c r="Z24" s="6">
        <f t="shared" si="7"/>
        <v>-0.67440961313550574</v>
      </c>
    </row>
    <row r="25" spans="1:26" s="27" customFormat="1" outlineLevel="1" collapsed="1" x14ac:dyDescent="0.25">
      <c r="A25" s="26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5000</v>
      </c>
      <c r="U25" s="1"/>
      <c r="V25" s="5">
        <f t="shared" si="5"/>
        <v>0</v>
      </c>
      <c r="W25" s="1"/>
      <c r="X25" s="1">
        <f t="shared" si="6"/>
        <v>-5000</v>
      </c>
      <c r="Y25" s="1"/>
      <c r="Z25" s="5">
        <f t="shared" si="7"/>
        <v>-1</v>
      </c>
    </row>
    <row r="26" spans="1:26" s="24" customFormat="1" hidden="1" outlineLevel="2" x14ac:dyDescent="0.25">
      <c r="A26" s="25"/>
      <c r="B26" s="11" t="str">
        <f>CONCATENATE("          ", "6399", " - ", "DONATION-ON CAMPUS")</f>
        <v xml:space="preserve">          6399 - DONATION-ON CAMPUS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/>
      <c r="Q26" s="2"/>
      <c r="R26" s="6">
        <f t="shared" si="4"/>
        <v>0</v>
      </c>
      <c r="S26" s="2"/>
      <c r="T26" s="7">
        <v>5000</v>
      </c>
      <c r="U26" s="2"/>
      <c r="V26" s="6">
        <f t="shared" si="5"/>
        <v>0</v>
      </c>
      <c r="W26" s="2"/>
      <c r="X26" s="7">
        <f t="shared" si="6"/>
        <v>-5000</v>
      </c>
      <c r="Y26" s="2"/>
      <c r="Z26" s="6">
        <f t="shared" si="7"/>
        <v>-1</v>
      </c>
    </row>
    <row r="27" spans="1:26" s="27" customFormat="1" outlineLevel="1" collapsed="1" x14ac:dyDescent="0.25">
      <c r="A27" s="26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3"/>
      <c r="P27" s="1">
        <f>SUM(OSRRefP22_4x_0)</f>
        <v>46568</v>
      </c>
      <c r="Q27" s="1"/>
      <c r="R27" s="5">
        <f t="shared" si="4"/>
        <v>0</v>
      </c>
      <c r="S27" s="1"/>
      <c r="T27" s="1">
        <f>SUM(OSRRefT22_4x_0)</f>
        <v>82000</v>
      </c>
      <c r="U27" s="1"/>
      <c r="V27" s="5">
        <f t="shared" si="5"/>
        <v>0</v>
      </c>
      <c r="W27" s="1"/>
      <c r="X27" s="1">
        <f t="shared" si="6"/>
        <v>-35432</v>
      </c>
      <c r="Y27" s="1"/>
      <c r="Z27" s="5">
        <f t="shared" si="7"/>
        <v>-0.43209756097560975</v>
      </c>
    </row>
    <row r="28" spans="1:26" s="24" customFormat="1" hidden="1" outlineLevel="2" x14ac:dyDescent="0.25">
      <c r="A28" s="25"/>
      <c r="B28" s="11" t="str">
        <f>CONCATENATE("          ", "6331", " - ", "INDIRECT COSTS-AUXILIARY ORGAN")</f>
        <v xml:space="preserve">          6331 - INDIRECT COSTS-AUXILIARY ORGAN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46568</v>
      </c>
      <c r="Q28" s="2"/>
      <c r="R28" s="6">
        <f t="shared" si="4"/>
        <v>0</v>
      </c>
      <c r="S28" s="2"/>
      <c r="T28" s="7">
        <v>54000</v>
      </c>
      <c r="U28" s="2"/>
      <c r="V28" s="6">
        <f t="shared" si="5"/>
        <v>0</v>
      </c>
      <c r="W28" s="2"/>
      <c r="X28" s="7">
        <f t="shared" si="6"/>
        <v>-7432</v>
      </c>
      <c r="Y28" s="2"/>
      <c r="Z28" s="6">
        <f t="shared" si="7"/>
        <v>-0.13762962962962963</v>
      </c>
    </row>
    <row r="29" spans="1:26" s="24" customFormat="1" hidden="1" outlineLevel="2" x14ac:dyDescent="0.25">
      <c r="A29" s="25"/>
      <c r="B29" s="11" t="str">
        <f>CONCATENATE("          ", "6332", " - ", "CONSULTANT FEES")</f>
        <v xml:space="preserve">          6332 - CONSULTANT FEES</v>
      </c>
      <c r="C29" s="11"/>
      <c r="D29" s="7"/>
      <c r="E29" s="2"/>
      <c r="F29" s="6">
        <f t="shared" si="0"/>
        <v>0</v>
      </c>
      <c r="G29" s="2"/>
      <c r="H29" s="7">
        <v>0</v>
      </c>
      <c r="I29" s="2"/>
      <c r="J29" s="6">
        <f t="shared" si="1"/>
        <v>0</v>
      </c>
      <c r="K29" s="2"/>
      <c r="L29" s="7">
        <f t="shared" si="2"/>
        <v>0</v>
      </c>
      <c r="M29" s="2"/>
      <c r="N29" s="6">
        <f t="shared" si="3"/>
        <v>0</v>
      </c>
      <c r="O29" s="11"/>
      <c r="P29" s="7"/>
      <c r="Q29" s="2"/>
      <c r="R29" s="6">
        <f t="shared" si="4"/>
        <v>0</v>
      </c>
      <c r="S29" s="2"/>
      <c r="T29" s="7">
        <v>28000</v>
      </c>
      <c r="U29" s="2"/>
      <c r="V29" s="6">
        <f t="shared" si="5"/>
        <v>0</v>
      </c>
      <c r="W29" s="2"/>
      <c r="X29" s="7">
        <f t="shared" si="6"/>
        <v>-28000</v>
      </c>
      <c r="Y29" s="2"/>
      <c r="Z29" s="6">
        <f t="shared" si="7"/>
        <v>-1</v>
      </c>
    </row>
    <row r="30" spans="1:26" s="56" customFormat="1" x14ac:dyDescent="0.25">
      <c r="A30" s="36"/>
      <c r="B30" s="36"/>
      <c r="C30" s="36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293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8" t="s">
        <v>277</v>
      </c>
      <c r="C33" s="28"/>
      <c r="D33" s="20">
        <f>+D16-D18+D31</f>
        <v>-29173.79</v>
      </c>
      <c r="E33" s="14"/>
      <c r="F33" s="21">
        <f>IF(D$12=0,0,D33/D$12)</f>
        <v>0</v>
      </c>
      <c r="G33" s="14"/>
      <c r="H33" s="20">
        <f>+H16-H18+H31</f>
        <v>-35337</v>
      </c>
      <c r="I33" s="14"/>
      <c r="J33" s="21">
        <f>IF(H$12=0,0,H33/H$12)</f>
        <v>0</v>
      </c>
      <c r="K33" s="15"/>
      <c r="L33" s="20">
        <f>+D33-H33</f>
        <v>6163.2099999999991</v>
      </c>
      <c r="M33" s="15"/>
      <c r="N33" s="21">
        <f>IF(H33=0,0,L33/H33)</f>
        <v>-0.17441237230098761</v>
      </c>
      <c r="O33" s="29"/>
      <c r="P33" s="20">
        <f>+P16-P18+P31</f>
        <v>8931.7899999999936</v>
      </c>
      <c r="Q33" s="14"/>
      <c r="R33" s="21">
        <f>IF(P$12=0,0,P33/P$12)</f>
        <v>0</v>
      </c>
      <c r="S33" s="14"/>
      <c r="T33" s="20">
        <f>+T16-T18+T31</f>
        <v>-552607</v>
      </c>
      <c r="U33" s="14"/>
      <c r="V33" s="21">
        <f>IF(T$12=0,0,T33/T$12)</f>
        <v>0</v>
      </c>
      <c r="W33" s="15"/>
      <c r="X33" s="20">
        <f>+P33-T33</f>
        <v>561538.79</v>
      </c>
      <c r="Y33" s="15"/>
      <c r="Z33" s="21">
        <f>IF(T33=0,0,X33/T33)</f>
        <v>-1.0161630055355797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2"/>
      <c r="B35" s="10" t="s">
        <v>128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126</v>
      </c>
      <c r="C37" s="28"/>
      <c r="D37" s="35">
        <f>+D33-D35</f>
        <v>-29173.79</v>
      </c>
      <c r="E37" s="14"/>
      <c r="F37" s="34">
        <f>IF(D$12=0,0,D37/D$12)</f>
        <v>0</v>
      </c>
      <c r="G37" s="14"/>
      <c r="H37" s="35">
        <f>+H33-H35</f>
        <v>-35337</v>
      </c>
      <c r="I37" s="14"/>
      <c r="J37" s="34">
        <f>IF(H$12=0,0,H37/H$12)</f>
        <v>0</v>
      </c>
      <c r="K37" s="15"/>
      <c r="L37" s="35">
        <f>D37-H37</f>
        <v>6163.2099999999991</v>
      </c>
      <c r="M37" s="15"/>
      <c r="N37" s="34">
        <f>IF(H37=0,0,L37/H37)</f>
        <v>-0.17441237230098761</v>
      </c>
      <c r="O37" s="29"/>
      <c r="P37" s="35">
        <f>+P33-P35</f>
        <v>8931.7899999999936</v>
      </c>
      <c r="Q37" s="14"/>
      <c r="R37" s="34">
        <f>IF(P$12=0,0,P37/P$12)</f>
        <v>0</v>
      </c>
      <c r="S37" s="14"/>
      <c r="T37" s="35">
        <f>+T33-T35</f>
        <v>-552607</v>
      </c>
      <c r="U37" s="14"/>
      <c r="V37" s="34">
        <f>IF(T$12=0,0,T37/T$12)</f>
        <v>0</v>
      </c>
      <c r="W37" s="15"/>
      <c r="X37" s="35">
        <f>P37-T37</f>
        <v>561538.79</v>
      </c>
      <c r="Y37" s="15"/>
      <c r="Z37" s="34">
        <f>IF(T37=0,0,X37/T37)</f>
        <v>-1.0161630055355797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8" t="s">
        <v>294</v>
      </c>
      <c r="C40" s="28"/>
      <c r="D40" s="33">
        <f>SUM(D37:D39)</f>
        <v>-29173.79</v>
      </c>
      <c r="E40" s="14"/>
      <c r="F40" s="32">
        <f>IF(D$12=0,0,D40/D$12)</f>
        <v>0</v>
      </c>
      <c r="G40" s="14"/>
      <c r="H40" s="33">
        <f>SUM(H37:H39)</f>
        <v>-35337</v>
      </c>
      <c r="I40" s="14"/>
      <c r="J40" s="32">
        <f>IF(H$12=0,0,H40/H$12)</f>
        <v>0</v>
      </c>
      <c r="K40" s="15"/>
      <c r="L40" s="33">
        <f>+D40-H40</f>
        <v>6163.2099999999991</v>
      </c>
      <c r="M40" s="15"/>
      <c r="N40" s="32">
        <f>IF(H40=0,0,L40/H40)</f>
        <v>-0.17441237230098761</v>
      </c>
      <c r="O40" s="29"/>
      <c r="P40" s="33">
        <f>SUM(P37:P39)</f>
        <v>8931.7899999999936</v>
      </c>
      <c r="Q40" s="14"/>
      <c r="R40" s="32">
        <f>IF(P$12=0,0,P40/P$12)</f>
        <v>0</v>
      </c>
      <c r="S40" s="14"/>
      <c r="T40" s="33">
        <f>SUM(T37:T39)</f>
        <v>-552607</v>
      </c>
      <c r="U40" s="14"/>
      <c r="V40" s="32">
        <f>IF(T$12=0,0,T40/T$12)</f>
        <v>0</v>
      </c>
      <c r="W40" s="15"/>
      <c r="X40" s="33">
        <f>+P40-T40</f>
        <v>561538.79</v>
      </c>
      <c r="Y40" s="15"/>
      <c r="Z40" s="32">
        <f>IF(T40=0,0,X40/T40)</f>
        <v>-1.0161630055355797</v>
      </c>
    </row>
    <row r="41" spans="1:26" ht="15.75" thickTop="1" x14ac:dyDescent="0.25">
      <c r="A41" s="9"/>
      <c r="C41" s="9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60">
        <v>44356.891834571761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55" t="s">
        <v>56</v>
      </c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A44" s="9"/>
      <c r="B44" s="63"/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  <row r="45" spans="1:26" x14ac:dyDescent="0.25">
      <c r="D45" s="18"/>
      <c r="E45" s="18"/>
      <c r="G45" s="18"/>
      <c r="H45" s="18"/>
      <c r="I45" s="18"/>
      <c r="J45" s="42"/>
      <c r="K45" s="18"/>
      <c r="L45" s="18"/>
      <c r="M45" s="18"/>
      <c r="P45" s="18"/>
      <c r="Q45" s="18"/>
      <c r="R45" s="42"/>
      <c r="S45" s="18"/>
      <c r="T45" s="18"/>
      <c r="U45" s="18"/>
      <c r="V45" s="42"/>
      <c r="W45" s="18"/>
      <c r="X45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","201", " - ", "General Manager")</f>
        <v>Department 201 - General Manager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0">
        <f>D12-D15</f>
        <v>0</v>
      </c>
      <c r="E17" s="14"/>
      <c r="F17" s="21">
        <f>IF(D$12=0,0,D17/D$12)</f>
        <v>0</v>
      </c>
      <c r="G17" s="14"/>
      <c r="H17" s="20">
        <f>H12-H15</f>
        <v>0</v>
      </c>
      <c r="I17" s="14"/>
      <c r="J17" s="21">
        <f>IF(H$12=0,0,H17/H$12)</f>
        <v>0</v>
      </c>
      <c r="K17" s="15"/>
      <c r="L17" s="20">
        <f>+D17-H17</f>
        <v>0</v>
      </c>
      <c r="M17" s="15"/>
      <c r="N17" s="21">
        <f>IF(H17=0,0,L17/H17)</f>
        <v>0</v>
      </c>
      <c r="O17" s="29"/>
      <c r="P17" s="20">
        <f>P12-P15</f>
        <v>0</v>
      </c>
      <c r="Q17" s="14"/>
      <c r="R17" s="21">
        <f>IF(P$12=0,0,P17/P$12)</f>
        <v>0</v>
      </c>
      <c r="S17" s="14"/>
      <c r="T17" s="20">
        <f>T12-T15</f>
        <v>0</v>
      </c>
      <c r="U17" s="14"/>
      <c r="V17" s="21">
        <f>IF(T$12=0,0,T17/T$12)</f>
        <v>0</v>
      </c>
      <c r="W17" s="15"/>
      <c r="X17" s="20">
        <f>+P17-T17</f>
        <v>0</v>
      </c>
      <c r="Y17" s="15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2">
        <f>SUM(OSRRefD22x_0)</f>
        <v>34019.14</v>
      </c>
      <c r="E19" s="22"/>
      <c r="F19" s="31">
        <f t="shared" ref="F19:F29" si="4">IF(D$12=0,0,D19/D$12)</f>
        <v>0</v>
      </c>
      <c r="G19" s="22"/>
      <c r="H19" s="22">
        <f>SUM(OSRRefH22x_0)</f>
        <v>52757.01944615387</v>
      </c>
      <c r="I19" s="22"/>
      <c r="J19" s="31">
        <f t="shared" ref="J19:J29" si="5">IF(H$12=0,0,H19/H$12)</f>
        <v>0</v>
      </c>
      <c r="K19" s="4"/>
      <c r="L19" s="22">
        <f t="shared" ref="L19:L29" si="6">+D19-H19</f>
        <v>-18737.879446153871</v>
      </c>
      <c r="M19" s="4"/>
      <c r="N19" s="31">
        <f t="shared" ref="N19:N29" si="7">IF(H19=0,0,L19/H19)</f>
        <v>-0.35517320051180246</v>
      </c>
      <c r="O19" s="10"/>
      <c r="P19" s="22">
        <f>SUM(OSRRefP22x_0)</f>
        <v>413506.18</v>
      </c>
      <c r="Q19" s="22"/>
      <c r="R19" s="31">
        <f t="shared" ref="R19:R29" si="8">IF(P$12=0,0,P19/P$12)</f>
        <v>0</v>
      </c>
      <c r="S19" s="22"/>
      <c r="T19" s="22">
        <f>SUM(OSRRefT22x_0)</f>
        <v>510111.63523076911</v>
      </c>
      <c r="U19" s="22"/>
      <c r="V19" s="31">
        <f t="shared" ref="V19:V29" si="9">IF(T$12=0,0,T19/T$12)</f>
        <v>0</v>
      </c>
      <c r="W19" s="4"/>
      <c r="X19" s="22">
        <f t="shared" ref="X19:X29" si="10">+P19-T19</f>
        <v>-96605.455230769119</v>
      </c>
      <c r="Y19" s="4"/>
      <c r="Z19" s="31">
        <f t="shared" ref="Z19:Z29" si="11">IF(T19=0,0,X19/T19)</f>
        <v>-0.18938100713398909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10168.459999999999</v>
      </c>
      <c r="E20" s="1"/>
      <c r="F20" s="5">
        <f t="shared" si="4"/>
        <v>0</v>
      </c>
      <c r="G20" s="1"/>
      <c r="H20" s="1">
        <f>SUM(OSRRefH22_0x_0)</f>
        <v>13324.865599999999</v>
      </c>
      <c r="I20" s="1"/>
      <c r="J20" s="5">
        <f t="shared" si="5"/>
        <v>0</v>
      </c>
      <c r="K20" s="1"/>
      <c r="L20" s="1">
        <f t="shared" si="6"/>
        <v>-3156.4056</v>
      </c>
      <c r="M20" s="1"/>
      <c r="N20" s="5">
        <f t="shared" si="7"/>
        <v>-0.23688085829548633</v>
      </c>
      <c r="O20" s="13"/>
      <c r="P20" s="1">
        <f>SUM(OSRRefP22_0x_0)</f>
        <v>118587.72</v>
      </c>
      <c r="Q20" s="1"/>
      <c r="R20" s="5">
        <f t="shared" si="8"/>
        <v>0</v>
      </c>
      <c r="S20" s="1"/>
      <c r="T20" s="1">
        <f>SUM(OSRRefT22_0x_0)</f>
        <v>103274.86599999994</v>
      </c>
      <c r="U20" s="1"/>
      <c r="V20" s="5">
        <f t="shared" si="9"/>
        <v>0</v>
      </c>
      <c r="W20" s="1"/>
      <c r="X20" s="1">
        <f t="shared" si="10"/>
        <v>15312.854000000065</v>
      </c>
      <c r="Y20" s="1"/>
      <c r="Z20" s="5">
        <f t="shared" si="11"/>
        <v>0.148272804343315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7">
        <v>1454.4</v>
      </c>
      <c r="E21" s="2"/>
      <c r="F21" s="6">
        <f t="shared" si="4"/>
        <v>0</v>
      </c>
      <c r="G21" s="2"/>
      <c r="H21" s="7">
        <v>2581.7689846153798</v>
      </c>
      <c r="I21" s="2"/>
      <c r="J21" s="6">
        <f t="shared" si="5"/>
        <v>0</v>
      </c>
      <c r="K21" s="2"/>
      <c r="L21" s="7">
        <f t="shared" si="6"/>
        <v>-1127.3689846153798</v>
      </c>
      <c r="M21" s="2"/>
      <c r="N21" s="6">
        <f t="shared" si="7"/>
        <v>-0.43666532185230744</v>
      </c>
      <c r="O21" s="11"/>
      <c r="P21" s="7">
        <v>14835.78</v>
      </c>
      <c r="Q21" s="2"/>
      <c r="R21" s="6">
        <f t="shared" si="8"/>
        <v>0</v>
      </c>
      <c r="S21" s="2"/>
      <c r="T21" s="7">
        <v>19046.550923076898</v>
      </c>
      <c r="U21" s="2"/>
      <c r="V21" s="6">
        <f t="shared" si="9"/>
        <v>0</v>
      </c>
      <c r="W21" s="2"/>
      <c r="X21" s="7">
        <f t="shared" si="10"/>
        <v>-4210.7709230768978</v>
      </c>
      <c r="Y21" s="2"/>
      <c r="Z21" s="6">
        <f t="shared" si="11"/>
        <v>-0.22107787074325916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7">
        <v>94.23</v>
      </c>
      <c r="E22" s="2"/>
      <c r="F22" s="6">
        <f t="shared" si="4"/>
        <v>0</v>
      </c>
      <c r="G22" s="2"/>
      <c r="H22" s="7">
        <v>107.630769230769</v>
      </c>
      <c r="I22" s="2"/>
      <c r="J22" s="6">
        <f t="shared" si="5"/>
        <v>0</v>
      </c>
      <c r="K22" s="2"/>
      <c r="L22" s="7">
        <f t="shared" si="6"/>
        <v>-13.400769230769001</v>
      </c>
      <c r="M22" s="2"/>
      <c r="N22" s="6">
        <f t="shared" si="7"/>
        <v>-0.12450686106346297</v>
      </c>
      <c r="O22" s="11"/>
      <c r="P22" s="7">
        <v>851.04</v>
      </c>
      <c r="Q22" s="2"/>
      <c r="R22" s="6">
        <f t="shared" si="8"/>
        <v>0</v>
      </c>
      <c r="S22" s="2"/>
      <c r="T22" s="7">
        <v>788.95384615384603</v>
      </c>
      <c r="U22" s="2"/>
      <c r="V22" s="6">
        <f t="shared" si="9"/>
        <v>0</v>
      </c>
      <c r="W22" s="2"/>
      <c r="X22" s="7">
        <f t="shared" si="10"/>
        <v>62.086153846153934</v>
      </c>
      <c r="Y22" s="2"/>
      <c r="Z22" s="6">
        <f t="shared" si="11"/>
        <v>7.8694278694278821E-2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7">
        <v>3917.15</v>
      </c>
      <c r="E23" s="2"/>
      <c r="F23" s="6">
        <f t="shared" si="4"/>
        <v>0</v>
      </c>
      <c r="G23" s="2"/>
      <c r="H23" s="7">
        <v>4750</v>
      </c>
      <c r="I23" s="2"/>
      <c r="J23" s="6">
        <f t="shared" si="5"/>
        <v>0</v>
      </c>
      <c r="K23" s="2"/>
      <c r="L23" s="7">
        <f t="shared" si="6"/>
        <v>-832.84999999999991</v>
      </c>
      <c r="M23" s="2"/>
      <c r="N23" s="6">
        <f t="shared" si="7"/>
        <v>-0.17533684210526315</v>
      </c>
      <c r="O23" s="11"/>
      <c r="P23" s="7">
        <v>43799.67</v>
      </c>
      <c r="Q23" s="2"/>
      <c r="R23" s="6">
        <f t="shared" si="8"/>
        <v>0</v>
      </c>
      <c r="S23" s="2"/>
      <c r="T23" s="7">
        <v>38400</v>
      </c>
      <c r="U23" s="2"/>
      <c r="V23" s="6">
        <f t="shared" si="9"/>
        <v>0</v>
      </c>
      <c r="W23" s="2"/>
      <c r="X23" s="7">
        <f t="shared" si="10"/>
        <v>5399.6699999999983</v>
      </c>
      <c r="Y23" s="2"/>
      <c r="Z23" s="6">
        <f t="shared" si="11"/>
        <v>0.14061640624999996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7">
        <v>74.239999999999995</v>
      </c>
      <c r="E24" s="2"/>
      <c r="F24" s="6">
        <f t="shared" si="4"/>
        <v>0</v>
      </c>
      <c r="G24" s="2"/>
      <c r="H24" s="7">
        <v>87.712000000000003</v>
      </c>
      <c r="I24" s="2"/>
      <c r="J24" s="6">
        <f t="shared" si="5"/>
        <v>0</v>
      </c>
      <c r="K24" s="2"/>
      <c r="L24" s="7">
        <f t="shared" si="6"/>
        <v>-13.472000000000008</v>
      </c>
      <c r="M24" s="2"/>
      <c r="N24" s="6">
        <f t="shared" si="7"/>
        <v>-0.15359357898577169</v>
      </c>
      <c r="O24" s="11"/>
      <c r="P24" s="7">
        <v>670.52</v>
      </c>
      <c r="Q24" s="2"/>
      <c r="R24" s="6">
        <f t="shared" si="8"/>
        <v>0</v>
      </c>
      <c r="S24" s="2"/>
      <c r="T24" s="7">
        <v>649.99199999999996</v>
      </c>
      <c r="U24" s="2"/>
      <c r="V24" s="6">
        <f t="shared" si="9"/>
        <v>0</v>
      </c>
      <c r="W24" s="2"/>
      <c r="X24" s="7">
        <f t="shared" si="10"/>
        <v>20.52800000000002</v>
      </c>
      <c r="Y24" s="2"/>
      <c r="Z24" s="6">
        <f t="shared" si="11"/>
        <v>3.1581927162180487E-2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7">
        <v>2049.0300000000002</v>
      </c>
      <c r="E25" s="2"/>
      <c r="F25" s="6">
        <f t="shared" si="4"/>
        <v>0</v>
      </c>
      <c r="G25" s="2"/>
      <c r="H25" s="7">
        <v>2804.9230769230799</v>
      </c>
      <c r="I25" s="2"/>
      <c r="J25" s="6">
        <f t="shared" si="5"/>
        <v>0</v>
      </c>
      <c r="K25" s="2"/>
      <c r="L25" s="7">
        <f t="shared" si="6"/>
        <v>-755.89307692307966</v>
      </c>
      <c r="M25" s="2"/>
      <c r="N25" s="6">
        <f t="shared" si="7"/>
        <v>-0.26948798815269925</v>
      </c>
      <c r="O25" s="11"/>
      <c r="P25" s="7">
        <v>27763.68</v>
      </c>
      <c r="Q25" s="2"/>
      <c r="R25" s="6">
        <f t="shared" si="8"/>
        <v>0</v>
      </c>
      <c r="S25" s="2"/>
      <c r="T25" s="7">
        <v>20560.615384615401</v>
      </c>
      <c r="U25" s="2"/>
      <c r="V25" s="6">
        <f t="shared" si="9"/>
        <v>0</v>
      </c>
      <c r="W25" s="2"/>
      <c r="X25" s="7">
        <f t="shared" si="10"/>
        <v>7203.0646153845992</v>
      </c>
      <c r="Y25" s="2"/>
      <c r="Z25" s="6">
        <f t="shared" si="11"/>
        <v>0.35033312382149484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7">
        <v>1658.98</v>
      </c>
      <c r="E27" s="2"/>
      <c r="F27" s="6">
        <f t="shared" si="4"/>
        <v>0</v>
      </c>
      <c r="G27" s="2"/>
      <c r="H27" s="7">
        <v>1630.76923076923</v>
      </c>
      <c r="I27" s="2"/>
      <c r="J27" s="6">
        <f t="shared" si="5"/>
        <v>0</v>
      </c>
      <c r="K27" s="2"/>
      <c r="L27" s="7">
        <f t="shared" si="6"/>
        <v>28.210769230769984</v>
      </c>
      <c r="M27" s="2"/>
      <c r="N27" s="6">
        <f t="shared" si="7"/>
        <v>1.7299056603774055E-2</v>
      </c>
      <c r="O27" s="11"/>
      <c r="P27" s="7">
        <v>19907.759999999998</v>
      </c>
      <c r="Q27" s="2"/>
      <c r="R27" s="6">
        <f t="shared" si="8"/>
        <v>0</v>
      </c>
      <c r="S27" s="2"/>
      <c r="T27" s="7">
        <v>11953.8461538461</v>
      </c>
      <c r="U27" s="2"/>
      <c r="V27" s="6">
        <f t="shared" si="9"/>
        <v>0</v>
      </c>
      <c r="W27" s="2"/>
      <c r="X27" s="7">
        <f t="shared" si="10"/>
        <v>7953.9138461538987</v>
      </c>
      <c r="Y27" s="2"/>
      <c r="Z27" s="6">
        <f t="shared" si="11"/>
        <v>0.66538532818533558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7">
        <v>856.8</v>
      </c>
      <c r="E28" s="2"/>
      <c r="F28" s="6">
        <f t="shared" si="4"/>
        <v>0</v>
      </c>
      <c r="G28" s="2"/>
      <c r="H28" s="7">
        <v>1012.06153846154</v>
      </c>
      <c r="I28" s="2"/>
      <c r="J28" s="6">
        <f t="shared" si="5"/>
        <v>0</v>
      </c>
      <c r="K28" s="2"/>
      <c r="L28" s="7">
        <f t="shared" si="6"/>
        <v>-155.26153846154</v>
      </c>
      <c r="M28" s="2"/>
      <c r="N28" s="6">
        <f t="shared" si="7"/>
        <v>-0.15341116380883019</v>
      </c>
      <c r="O28" s="11"/>
      <c r="P28" s="7">
        <v>10281.6</v>
      </c>
      <c r="Q28" s="2"/>
      <c r="R28" s="6">
        <f t="shared" si="8"/>
        <v>0</v>
      </c>
      <c r="S28" s="2"/>
      <c r="T28" s="7">
        <v>7499.90769230769</v>
      </c>
      <c r="U28" s="2"/>
      <c r="V28" s="6">
        <f t="shared" si="9"/>
        <v>0</v>
      </c>
      <c r="W28" s="2"/>
      <c r="X28" s="7">
        <f t="shared" si="10"/>
        <v>2781.6923076923104</v>
      </c>
      <c r="Y28" s="2"/>
      <c r="Z28" s="6">
        <f t="shared" si="11"/>
        <v>0.37089687257689374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7">
        <v>63.63</v>
      </c>
      <c r="E29" s="2"/>
      <c r="F29" s="6">
        <f t="shared" si="4"/>
        <v>0</v>
      </c>
      <c r="G29" s="2"/>
      <c r="H29" s="7">
        <v>350</v>
      </c>
      <c r="I29" s="2"/>
      <c r="J29" s="6">
        <f t="shared" si="5"/>
        <v>0</v>
      </c>
      <c r="K29" s="2"/>
      <c r="L29" s="7">
        <f t="shared" si="6"/>
        <v>-286.37</v>
      </c>
      <c r="M29" s="2"/>
      <c r="N29" s="6">
        <f t="shared" si="7"/>
        <v>-0.81820000000000004</v>
      </c>
      <c r="O29" s="11"/>
      <c r="P29" s="7">
        <v>477.67</v>
      </c>
      <c r="Q29" s="2"/>
      <c r="R29" s="6">
        <f t="shared" si="8"/>
        <v>0</v>
      </c>
      <c r="S29" s="2"/>
      <c r="T29" s="7">
        <v>4375</v>
      </c>
      <c r="U29" s="2"/>
      <c r="V29" s="6">
        <f t="shared" si="9"/>
        <v>0</v>
      </c>
      <c r="W29" s="2"/>
      <c r="X29" s="7">
        <f t="shared" si="10"/>
        <v>-3897.33</v>
      </c>
      <c r="Y29" s="2"/>
      <c r="Z29" s="6">
        <f t="shared" si="11"/>
        <v>-0.89081828571428567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18352.82</v>
      </c>
      <c r="E30" s="1"/>
      <c r="F30" s="5">
        <f t="shared" ref="F30:F40" si="12">IF(D$12=0,0,D30/D$12)</f>
        <v>0</v>
      </c>
      <c r="G30" s="1"/>
      <c r="H30" s="1">
        <f>SUM(OSRRefH22_1x_0)</f>
        <v>31126.153846153869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-12773.33384615387</v>
      </c>
      <c r="M30" s="1"/>
      <c r="N30" s="5">
        <f t="shared" ref="N30:N40" si="15">IF(H30=0,0,L30/H30)</f>
        <v>-0.41037302293396644</v>
      </c>
      <c r="O30" s="13"/>
      <c r="P30" s="1">
        <f>SUM(OSRRefP22_1x_0)</f>
        <v>169321.31</v>
      </c>
      <c r="Q30" s="1"/>
      <c r="R30" s="5">
        <f t="shared" ref="R30:R40" si="16">IF(P$12=0,0,P30/P$12)</f>
        <v>0</v>
      </c>
      <c r="S30" s="1"/>
      <c r="T30" s="1">
        <f>SUM(OSRRefT22_1x_0)</f>
        <v>230870.76923076919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-61549.459230769193</v>
      </c>
      <c r="Y30" s="1"/>
      <c r="Z30" s="5">
        <f t="shared" ref="Z30:Z40" si="19">IF(T30=0,0,X30/T30)</f>
        <v>-0.26659702064424973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>
        <v>13456.34</v>
      </c>
      <c r="E31" s="2"/>
      <c r="F31" s="6">
        <f t="shared" si="12"/>
        <v>0</v>
      </c>
      <c r="G31" s="2"/>
      <c r="H31" s="7">
        <v>25476.9230769231</v>
      </c>
      <c r="I31" s="2"/>
      <c r="J31" s="6">
        <f t="shared" si="13"/>
        <v>0</v>
      </c>
      <c r="K31" s="2"/>
      <c r="L31" s="7">
        <f t="shared" si="14"/>
        <v>-12020.5830769231</v>
      </c>
      <c r="M31" s="2"/>
      <c r="N31" s="6">
        <f t="shared" si="15"/>
        <v>-0.471822403381643</v>
      </c>
      <c r="O31" s="11"/>
      <c r="P31" s="7">
        <v>163752.91</v>
      </c>
      <c r="Q31" s="2"/>
      <c r="R31" s="6">
        <f t="shared" si="16"/>
        <v>0</v>
      </c>
      <c r="S31" s="2"/>
      <c r="T31" s="7">
        <v>165600</v>
      </c>
      <c r="U31" s="2"/>
      <c r="V31" s="6">
        <f t="shared" si="17"/>
        <v>0</v>
      </c>
      <c r="W31" s="2"/>
      <c r="X31" s="7">
        <f t="shared" si="18"/>
        <v>-1847.0899999999965</v>
      </c>
      <c r="Y31" s="2"/>
      <c r="Z31" s="6">
        <f t="shared" si="19"/>
        <v>-1.1153925120772925E-2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>
        <v>4896.4799999999996</v>
      </c>
      <c r="E32" s="2"/>
      <c r="F32" s="6">
        <f t="shared" si="12"/>
        <v>0</v>
      </c>
      <c r="G32" s="2"/>
      <c r="H32" s="7">
        <v>4529.2307692307704</v>
      </c>
      <c r="I32" s="2"/>
      <c r="J32" s="6">
        <f t="shared" si="13"/>
        <v>0</v>
      </c>
      <c r="K32" s="2"/>
      <c r="L32" s="7">
        <f t="shared" si="14"/>
        <v>367.24923076922914</v>
      </c>
      <c r="M32" s="2"/>
      <c r="N32" s="6">
        <f t="shared" si="15"/>
        <v>8.1084239130434402E-2</v>
      </c>
      <c r="O32" s="11"/>
      <c r="P32" s="7">
        <v>50525.69</v>
      </c>
      <c r="Q32" s="2"/>
      <c r="R32" s="6">
        <f t="shared" si="16"/>
        <v>0</v>
      </c>
      <c r="S32" s="2"/>
      <c r="T32" s="7">
        <v>54350.769230769198</v>
      </c>
      <c r="U32" s="2"/>
      <c r="V32" s="6">
        <f t="shared" si="17"/>
        <v>0</v>
      </c>
      <c r="W32" s="2"/>
      <c r="X32" s="7">
        <f t="shared" si="18"/>
        <v>-3825.0792307691954</v>
      </c>
      <c r="Y32" s="2"/>
      <c r="Z32" s="6">
        <f t="shared" si="19"/>
        <v>-7.0377646625905191E-2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2"/>
        <v>0</v>
      </c>
      <c r="G37" s="2"/>
      <c r="H37" s="7">
        <v>1120</v>
      </c>
      <c r="I37" s="2"/>
      <c r="J37" s="6">
        <f t="shared" si="13"/>
        <v>0</v>
      </c>
      <c r="K37" s="2"/>
      <c r="L37" s="7">
        <f t="shared" si="14"/>
        <v>-1120</v>
      </c>
      <c r="M37" s="2"/>
      <c r="N37" s="6">
        <f t="shared" si="15"/>
        <v>-1</v>
      </c>
      <c r="O37" s="11"/>
      <c r="P37" s="7">
        <v>-44957.29</v>
      </c>
      <c r="Q37" s="2"/>
      <c r="R37" s="6">
        <f t="shared" si="16"/>
        <v>0</v>
      </c>
      <c r="S37" s="2"/>
      <c r="T37" s="7">
        <v>9800</v>
      </c>
      <c r="U37" s="2"/>
      <c r="V37" s="6">
        <f t="shared" si="17"/>
        <v>0</v>
      </c>
      <c r="W37" s="2"/>
      <c r="X37" s="7">
        <f t="shared" si="18"/>
        <v>-54757.29</v>
      </c>
      <c r="Y37" s="2"/>
      <c r="Z37" s="6">
        <f t="shared" si="19"/>
        <v>-5.587478571428572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1120</v>
      </c>
      <c r="U38" s="2"/>
      <c r="V38" s="6">
        <f t="shared" si="17"/>
        <v>0</v>
      </c>
      <c r="W38" s="2"/>
      <c r="X38" s="7">
        <f t="shared" si="18"/>
        <v>-1120</v>
      </c>
      <c r="Y38" s="2"/>
      <c r="Z38" s="6">
        <f t="shared" si="19"/>
        <v>-1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71.97</v>
      </c>
      <c r="E41" s="1"/>
      <c r="F41" s="5">
        <f t="shared" ref="F41:F47" si="20">IF(D$12=0,0,D41/D$12)</f>
        <v>0</v>
      </c>
      <c r="G41" s="1"/>
      <c r="H41" s="1">
        <f>SUM(OSRRefH22_2x_0)</f>
        <v>500</v>
      </c>
      <c r="I41" s="1"/>
      <c r="J41" s="5">
        <f t="shared" ref="J41:J47" si="21">IF(H$12=0,0,H41/H$12)</f>
        <v>0</v>
      </c>
      <c r="K41" s="1"/>
      <c r="L41" s="1">
        <f t="shared" ref="L41:L47" si="22">+D41-H41</f>
        <v>-428.03</v>
      </c>
      <c r="M41" s="1"/>
      <c r="N41" s="5">
        <f t="shared" ref="N41:N47" si="23">IF(H41=0,0,L41/H41)</f>
        <v>-0.85605999999999993</v>
      </c>
      <c r="O41" s="13"/>
      <c r="P41" s="1">
        <f>SUM(OSRRefP22_2x_0)</f>
        <v>245.07</v>
      </c>
      <c r="Q41" s="1"/>
      <c r="R41" s="5">
        <f t="shared" ref="R41:R47" si="24">IF(P$12=0,0,P41/P$12)</f>
        <v>0</v>
      </c>
      <c r="S41" s="1"/>
      <c r="T41" s="1">
        <f>SUM(OSRRefT22_2x_0)</f>
        <v>5500</v>
      </c>
      <c r="U41" s="1"/>
      <c r="V41" s="5">
        <f t="shared" ref="V41:V47" si="25">IF(T$12=0,0,T41/T$12)</f>
        <v>0</v>
      </c>
      <c r="W41" s="1"/>
      <c r="X41" s="1">
        <f t="shared" ref="X41:X47" si="26">+P41-T41</f>
        <v>-5254.93</v>
      </c>
      <c r="Y41" s="1"/>
      <c r="Z41" s="5">
        <f t="shared" ref="Z41:Z47" si="27">IF(T41=0,0,X41/T41)</f>
        <v>-0.95544181818181828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7">
        <v>71.97</v>
      </c>
      <c r="E42" s="2"/>
      <c r="F42" s="6">
        <f t="shared" si="20"/>
        <v>0</v>
      </c>
      <c r="G42" s="2"/>
      <c r="H42" s="7">
        <v>500</v>
      </c>
      <c r="I42" s="2"/>
      <c r="J42" s="6">
        <f t="shared" si="21"/>
        <v>0</v>
      </c>
      <c r="K42" s="2"/>
      <c r="L42" s="7">
        <f t="shared" si="22"/>
        <v>-428.03</v>
      </c>
      <c r="M42" s="2"/>
      <c r="N42" s="6">
        <f t="shared" si="23"/>
        <v>-0.85605999999999993</v>
      </c>
      <c r="O42" s="11"/>
      <c r="P42" s="7">
        <v>245.07</v>
      </c>
      <c r="Q42" s="2"/>
      <c r="R42" s="6">
        <f t="shared" si="24"/>
        <v>0</v>
      </c>
      <c r="S42" s="2"/>
      <c r="T42" s="7">
        <v>5500</v>
      </c>
      <c r="U42" s="2"/>
      <c r="V42" s="6">
        <f t="shared" si="25"/>
        <v>0</v>
      </c>
      <c r="W42" s="2"/>
      <c r="X42" s="7">
        <f t="shared" si="26"/>
        <v>-5254.93</v>
      </c>
      <c r="Y42" s="2"/>
      <c r="Z42" s="6">
        <f t="shared" si="27"/>
        <v>-0.95544181818181828</v>
      </c>
    </row>
    <row r="43" spans="1:26" s="27" customFormat="1" outlineLevel="1" collapsed="1" x14ac:dyDescent="0.25">
      <c r="A43" s="26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314.87</v>
      </c>
      <c r="E43" s="1"/>
      <c r="F43" s="5">
        <f t="shared" si="20"/>
        <v>0</v>
      </c>
      <c r="G43" s="1"/>
      <c r="H43" s="1">
        <f>SUM(OSRRefH22_3x_0)</f>
        <v>315</v>
      </c>
      <c r="I43" s="1"/>
      <c r="J43" s="5">
        <f t="shared" si="21"/>
        <v>0</v>
      </c>
      <c r="K43" s="1"/>
      <c r="L43" s="1">
        <f t="shared" si="22"/>
        <v>-0.12999999999999545</v>
      </c>
      <c r="M43" s="1"/>
      <c r="N43" s="5">
        <f t="shared" si="23"/>
        <v>-4.1269841269839827E-4</v>
      </c>
      <c r="O43" s="13"/>
      <c r="P43" s="1">
        <f>SUM(OSRRefP22_3x_0)</f>
        <v>3463.57</v>
      </c>
      <c r="Q43" s="1"/>
      <c r="R43" s="5">
        <f t="shared" si="24"/>
        <v>0</v>
      </c>
      <c r="S43" s="1"/>
      <c r="T43" s="1">
        <f>SUM(OSRRefT22_3x_0)</f>
        <v>3465</v>
      </c>
      <c r="U43" s="1"/>
      <c r="V43" s="5">
        <f t="shared" si="25"/>
        <v>0</v>
      </c>
      <c r="W43" s="1"/>
      <c r="X43" s="1">
        <f t="shared" si="26"/>
        <v>-1.4299999999998363</v>
      </c>
      <c r="Y43" s="1"/>
      <c r="Z43" s="5">
        <f t="shared" si="27"/>
        <v>-4.1269841269836547E-4</v>
      </c>
    </row>
    <row r="44" spans="1:26" s="24" customFormat="1" hidden="1" outlineLevel="2" x14ac:dyDescent="0.25">
      <c r="A44" s="25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314.87</v>
      </c>
      <c r="E44" s="2"/>
      <c r="F44" s="6">
        <f t="shared" si="20"/>
        <v>0</v>
      </c>
      <c r="G44" s="2"/>
      <c r="H44" s="7">
        <v>315</v>
      </c>
      <c r="I44" s="2"/>
      <c r="J44" s="6">
        <f t="shared" si="21"/>
        <v>0</v>
      </c>
      <c r="K44" s="2"/>
      <c r="L44" s="7">
        <f t="shared" si="22"/>
        <v>-0.12999999999999545</v>
      </c>
      <c r="M44" s="2"/>
      <c r="N44" s="6">
        <f t="shared" si="23"/>
        <v>-4.1269841269839827E-4</v>
      </c>
      <c r="O44" s="11"/>
      <c r="P44" s="7">
        <v>3463.57</v>
      </c>
      <c r="Q44" s="2"/>
      <c r="R44" s="6">
        <f t="shared" si="24"/>
        <v>0</v>
      </c>
      <c r="S44" s="2"/>
      <c r="T44" s="7">
        <v>3465</v>
      </c>
      <c r="U44" s="2"/>
      <c r="V44" s="6">
        <f t="shared" si="25"/>
        <v>0</v>
      </c>
      <c r="W44" s="2"/>
      <c r="X44" s="7">
        <f t="shared" si="26"/>
        <v>-1.4299999999998363</v>
      </c>
      <c r="Y44" s="2"/>
      <c r="Z44" s="6">
        <f t="shared" si="27"/>
        <v>-4.1269841269836547E-4</v>
      </c>
    </row>
    <row r="45" spans="1:26" s="27" customFormat="1" outlineLevel="1" collapsed="1" x14ac:dyDescent="0.25">
      <c r="A45" s="26"/>
      <c r="B45" s="13" t="str">
        <f>CONCATENATE("     ","Donations                                         ")</f>
        <v xml:space="preserve">     Donations              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1000</v>
      </c>
      <c r="I45" s="1"/>
      <c r="J45" s="5">
        <f t="shared" si="21"/>
        <v>0</v>
      </c>
      <c r="K45" s="1"/>
      <c r="L45" s="1">
        <f t="shared" si="22"/>
        <v>-1000</v>
      </c>
      <c r="M45" s="1"/>
      <c r="N45" s="5">
        <f t="shared" si="23"/>
        <v>-1</v>
      </c>
      <c r="O45" s="13"/>
      <c r="P45" s="1">
        <f>SUM(OSRRefP22_4x_0)</f>
        <v>26500</v>
      </c>
      <c r="Q45" s="1"/>
      <c r="R45" s="5">
        <f t="shared" si="24"/>
        <v>0</v>
      </c>
      <c r="S45" s="1"/>
      <c r="T45" s="1">
        <f>SUM(OSRRefT22_4x_0)</f>
        <v>40750</v>
      </c>
      <c r="U45" s="1"/>
      <c r="V45" s="5">
        <f t="shared" si="25"/>
        <v>0</v>
      </c>
      <c r="W45" s="1"/>
      <c r="X45" s="1">
        <f t="shared" si="26"/>
        <v>-14250</v>
      </c>
      <c r="Y45" s="1"/>
      <c r="Z45" s="5">
        <f t="shared" si="27"/>
        <v>-0.34969325153374231</v>
      </c>
    </row>
    <row r="46" spans="1:26" s="24" customFormat="1" hidden="1" outlineLevel="2" x14ac:dyDescent="0.25">
      <c r="A46" s="25"/>
      <c r="B46" s="11" t="str">
        <f>CONCATENATE("          ", "6395", " - ", "DONATION-OFF CAMPUS")</f>
        <v xml:space="preserve">          6395 - DONATION-OFF CAMPUS</v>
      </c>
      <c r="C46" s="11"/>
      <c r="D46" s="7"/>
      <c r="E46" s="2"/>
      <c r="F46" s="6">
        <f t="shared" si="20"/>
        <v>0</v>
      </c>
      <c r="G46" s="2"/>
      <c r="H46" s="7"/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1500</v>
      </c>
      <c r="U46" s="2"/>
      <c r="V46" s="6">
        <f t="shared" si="25"/>
        <v>0</v>
      </c>
      <c r="W46" s="2"/>
      <c r="X46" s="7">
        <f t="shared" si="26"/>
        <v>-1500</v>
      </c>
      <c r="Y46" s="2"/>
      <c r="Z46" s="6">
        <f t="shared" si="27"/>
        <v>-1</v>
      </c>
    </row>
    <row r="47" spans="1:26" s="24" customFormat="1" hidden="1" outlineLevel="2" x14ac:dyDescent="0.25">
      <c r="A47" s="25"/>
      <c r="B47" s="11" t="str">
        <f>CONCATENATE("          ", "6399", " - ", "DONATION-ON CAMPUS")</f>
        <v xml:space="preserve">          6399 - DONATION-ON CAMPUS</v>
      </c>
      <c r="C47" s="11"/>
      <c r="D47" s="7"/>
      <c r="E47" s="2"/>
      <c r="F47" s="6">
        <f t="shared" si="20"/>
        <v>0</v>
      </c>
      <c r="G47" s="2"/>
      <c r="H47" s="7">
        <v>1000</v>
      </c>
      <c r="I47" s="2"/>
      <c r="J47" s="6">
        <f t="shared" si="21"/>
        <v>0</v>
      </c>
      <c r="K47" s="2"/>
      <c r="L47" s="7">
        <f t="shared" si="22"/>
        <v>-1000</v>
      </c>
      <c r="M47" s="2"/>
      <c r="N47" s="6">
        <f t="shared" si="23"/>
        <v>-1</v>
      </c>
      <c r="O47" s="11"/>
      <c r="P47" s="7">
        <v>26500</v>
      </c>
      <c r="Q47" s="2"/>
      <c r="R47" s="6">
        <f t="shared" si="24"/>
        <v>0</v>
      </c>
      <c r="S47" s="2"/>
      <c r="T47" s="7">
        <v>39250</v>
      </c>
      <c r="U47" s="2"/>
      <c r="V47" s="6">
        <f t="shared" si="25"/>
        <v>0</v>
      </c>
      <c r="W47" s="2"/>
      <c r="X47" s="7">
        <f t="shared" si="26"/>
        <v>-12750</v>
      </c>
      <c r="Y47" s="2"/>
      <c r="Z47" s="6">
        <f t="shared" si="27"/>
        <v>-0.32484076433121017</v>
      </c>
    </row>
    <row r="48" spans="1:26" s="27" customFormat="1" outlineLevel="1" collapsed="1" x14ac:dyDescent="0.25">
      <c r="A48" s="26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SUM(OSRRefD22_5x_0)</f>
        <v>0</v>
      </c>
      <c r="E48" s="1"/>
      <c r="F48" s="5">
        <f t="shared" ref="F48:F61" si="28">IF(D$12=0,0,D48/D$12)</f>
        <v>0</v>
      </c>
      <c r="G48" s="1"/>
      <c r="H48" s="1">
        <f>SUM(OSRRefH22_5x_0)</f>
        <v>0</v>
      </c>
      <c r="I48" s="1"/>
      <c r="J48" s="5">
        <f t="shared" ref="J48:J61" si="29">IF(H$12=0,0,H48/H$12)</f>
        <v>0</v>
      </c>
      <c r="K48" s="1"/>
      <c r="L48" s="1">
        <f t="shared" ref="L48:L61" si="30">+D48-H48</f>
        <v>0</v>
      </c>
      <c r="M48" s="1"/>
      <c r="N48" s="5">
        <f t="shared" ref="N48:N61" si="31">IF(H48=0,0,L48/H48)</f>
        <v>0</v>
      </c>
      <c r="O48" s="13"/>
      <c r="P48" s="1">
        <f>SUM(OSRRefP22_5x_0)</f>
        <v>0</v>
      </c>
      <c r="Q48" s="1"/>
      <c r="R48" s="5">
        <f t="shared" ref="R48:R61" si="32">IF(P$12=0,0,P48/P$12)</f>
        <v>0</v>
      </c>
      <c r="S48" s="1"/>
      <c r="T48" s="1">
        <f>SUM(OSRRefT22_5x_0)</f>
        <v>3000</v>
      </c>
      <c r="U48" s="1"/>
      <c r="V48" s="5">
        <f t="shared" ref="V48:V61" si="33">IF(T$12=0,0,T48/T$12)</f>
        <v>0</v>
      </c>
      <c r="W48" s="1"/>
      <c r="X48" s="1">
        <f t="shared" ref="X48:X61" si="34">+P48-T48</f>
        <v>-3000</v>
      </c>
      <c r="Y48" s="1"/>
      <c r="Z48" s="5">
        <f t="shared" ref="Z48:Z61" si="35">IF(T48=0,0,X48/T48)</f>
        <v>-1</v>
      </c>
    </row>
    <row r="49" spans="1:26" s="24" customFormat="1" hidden="1" outlineLevel="2" x14ac:dyDescent="0.25">
      <c r="A49" s="25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/>
      <c r="Q49" s="2"/>
      <c r="R49" s="6">
        <f t="shared" si="32"/>
        <v>0</v>
      </c>
      <c r="S49" s="2"/>
      <c r="T49" s="7">
        <v>3000</v>
      </c>
      <c r="U49" s="2"/>
      <c r="V49" s="6">
        <f t="shared" si="33"/>
        <v>0</v>
      </c>
      <c r="W49" s="2"/>
      <c r="X49" s="7">
        <f t="shared" si="34"/>
        <v>-3000</v>
      </c>
      <c r="Y49" s="2"/>
      <c r="Z49" s="6">
        <f t="shared" si="35"/>
        <v>-1</v>
      </c>
    </row>
    <row r="50" spans="1:26" s="27" customFormat="1" outlineLevel="1" collapsed="1" x14ac:dyDescent="0.25">
      <c r="A50" s="26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SUM(OSRRefD22_6x_0)</f>
        <v>117.71</v>
      </c>
      <c r="E50" s="1"/>
      <c r="F50" s="5">
        <f t="shared" si="28"/>
        <v>0</v>
      </c>
      <c r="G50" s="1"/>
      <c r="H50" s="1">
        <f>SUM(OSRRefH22_6x_0)</f>
        <v>118</v>
      </c>
      <c r="I50" s="1"/>
      <c r="J50" s="5">
        <f t="shared" si="29"/>
        <v>0</v>
      </c>
      <c r="K50" s="1"/>
      <c r="L50" s="1">
        <f t="shared" si="30"/>
        <v>-0.29000000000000625</v>
      </c>
      <c r="M50" s="1"/>
      <c r="N50" s="5">
        <f t="shared" si="31"/>
        <v>-2.457627118644121E-3</v>
      </c>
      <c r="O50" s="13"/>
      <c r="P50" s="1">
        <f>SUM(OSRRefP22_6x_0)</f>
        <v>1386.07</v>
      </c>
      <c r="Q50" s="1"/>
      <c r="R50" s="5">
        <f t="shared" si="32"/>
        <v>0</v>
      </c>
      <c r="S50" s="1"/>
      <c r="T50" s="1">
        <f>SUM(OSRRefT22_6x_0)</f>
        <v>1298</v>
      </c>
      <c r="U50" s="1"/>
      <c r="V50" s="5">
        <f t="shared" si="33"/>
        <v>0</v>
      </c>
      <c r="W50" s="1"/>
      <c r="X50" s="1">
        <f t="shared" si="34"/>
        <v>88.069999999999936</v>
      </c>
      <c r="Y50" s="1"/>
      <c r="Z50" s="5">
        <f t="shared" si="35"/>
        <v>6.7850539291217205E-2</v>
      </c>
    </row>
    <row r="51" spans="1:26" s="24" customFormat="1" hidden="1" outlineLevel="2" x14ac:dyDescent="0.25">
      <c r="A51" s="25"/>
      <c r="B51" s="11" t="str">
        <f>CONCATENATE("          ", "6351", " - ", "EQUIPMENT RENTAL")</f>
        <v xml:space="preserve">          6351 - EQUIPMENT RENTAL</v>
      </c>
      <c r="C51" s="11"/>
      <c r="D51" s="7">
        <v>117.71</v>
      </c>
      <c r="E51" s="2"/>
      <c r="F51" s="6">
        <f t="shared" si="28"/>
        <v>0</v>
      </c>
      <c r="G51" s="2"/>
      <c r="H51" s="7">
        <v>118</v>
      </c>
      <c r="I51" s="2"/>
      <c r="J51" s="6">
        <f t="shared" si="29"/>
        <v>0</v>
      </c>
      <c r="K51" s="2"/>
      <c r="L51" s="7">
        <f t="shared" si="30"/>
        <v>-0.29000000000000625</v>
      </c>
      <c r="M51" s="2"/>
      <c r="N51" s="6">
        <f t="shared" si="31"/>
        <v>-2.457627118644121E-3</v>
      </c>
      <c r="O51" s="11"/>
      <c r="P51" s="7">
        <v>1386.07</v>
      </c>
      <c r="Q51" s="2"/>
      <c r="R51" s="6">
        <f t="shared" si="32"/>
        <v>0</v>
      </c>
      <c r="S51" s="2"/>
      <c r="T51" s="7">
        <v>1298</v>
      </c>
      <c r="U51" s="2"/>
      <c r="V51" s="6">
        <f t="shared" si="33"/>
        <v>0</v>
      </c>
      <c r="W51" s="2"/>
      <c r="X51" s="7">
        <f t="shared" si="34"/>
        <v>88.069999999999936</v>
      </c>
      <c r="Y51" s="2"/>
      <c r="Z51" s="6">
        <f t="shared" si="35"/>
        <v>6.7850539291217205E-2</v>
      </c>
    </row>
    <row r="52" spans="1:26" s="27" customFormat="1" outlineLevel="1" collapsed="1" x14ac:dyDescent="0.25">
      <c r="A52" s="26"/>
      <c r="B52" s="13" t="str">
        <f>CONCATENATE("     ","Freight out/Postage                               ")</f>
        <v xml:space="preserve">     Freight out/Postage                               </v>
      </c>
      <c r="C52" s="13"/>
      <c r="D52" s="1">
        <f>SUM(OSRRefD22_7x_0)</f>
        <v>4.09</v>
      </c>
      <c r="E52" s="1"/>
      <c r="F52" s="5">
        <f t="shared" si="28"/>
        <v>0</v>
      </c>
      <c r="G52" s="1"/>
      <c r="H52" s="1">
        <f>SUM(OSRRefH22_7x_0)</f>
        <v>15</v>
      </c>
      <c r="I52" s="1"/>
      <c r="J52" s="5">
        <f t="shared" si="29"/>
        <v>0</v>
      </c>
      <c r="K52" s="1"/>
      <c r="L52" s="1">
        <f t="shared" si="30"/>
        <v>-10.91</v>
      </c>
      <c r="M52" s="1"/>
      <c r="N52" s="5">
        <f t="shared" si="31"/>
        <v>-0.72733333333333339</v>
      </c>
      <c r="O52" s="13"/>
      <c r="P52" s="1">
        <f>SUM(OSRRefP22_7x_0)</f>
        <v>70.680000000000007</v>
      </c>
      <c r="Q52" s="1"/>
      <c r="R52" s="5">
        <f t="shared" si="32"/>
        <v>0</v>
      </c>
      <c r="S52" s="1"/>
      <c r="T52" s="1">
        <f>SUM(OSRRefT22_7x_0)</f>
        <v>165</v>
      </c>
      <c r="U52" s="1"/>
      <c r="V52" s="5">
        <f t="shared" si="33"/>
        <v>0</v>
      </c>
      <c r="W52" s="1"/>
      <c r="X52" s="1">
        <f t="shared" si="34"/>
        <v>-94.32</v>
      </c>
      <c r="Y52" s="1"/>
      <c r="Z52" s="5">
        <f t="shared" si="35"/>
        <v>-0.57163636363636361</v>
      </c>
    </row>
    <row r="53" spans="1:26" s="24" customFormat="1" hidden="1" outlineLevel="2" x14ac:dyDescent="0.25">
      <c r="A53" s="25"/>
      <c r="B53" s="11" t="str">
        <f>CONCATENATE("          ", "6307", " - ", "POSTAGE")</f>
        <v xml:space="preserve">          6307 - POSTAGE</v>
      </c>
      <c r="C53" s="11"/>
      <c r="D53" s="7">
        <v>4.09</v>
      </c>
      <c r="E53" s="2"/>
      <c r="F53" s="6">
        <f t="shared" si="28"/>
        <v>0</v>
      </c>
      <c r="G53" s="2"/>
      <c r="H53" s="7">
        <v>15</v>
      </c>
      <c r="I53" s="2"/>
      <c r="J53" s="6">
        <f t="shared" si="29"/>
        <v>0</v>
      </c>
      <c r="K53" s="2"/>
      <c r="L53" s="7">
        <f t="shared" si="30"/>
        <v>-10.91</v>
      </c>
      <c r="M53" s="2"/>
      <c r="N53" s="6">
        <f t="shared" si="31"/>
        <v>-0.72733333333333339</v>
      </c>
      <c r="O53" s="11"/>
      <c r="P53" s="7">
        <v>70.680000000000007</v>
      </c>
      <c r="Q53" s="2"/>
      <c r="R53" s="6">
        <f t="shared" si="32"/>
        <v>0</v>
      </c>
      <c r="S53" s="2"/>
      <c r="T53" s="7">
        <v>165</v>
      </c>
      <c r="U53" s="2"/>
      <c r="V53" s="6">
        <f t="shared" si="33"/>
        <v>0</v>
      </c>
      <c r="W53" s="2"/>
      <c r="X53" s="7">
        <f t="shared" si="34"/>
        <v>-94.32</v>
      </c>
      <c r="Y53" s="2"/>
      <c r="Z53" s="6">
        <f t="shared" si="35"/>
        <v>-0.57163636363636361</v>
      </c>
    </row>
    <row r="54" spans="1:26" s="27" customFormat="1" outlineLevel="1" collapsed="1" x14ac:dyDescent="0.25">
      <c r="A54" s="26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SUM(OSRRefD22_8x_0)</f>
        <v>0</v>
      </c>
      <c r="E54" s="1"/>
      <c r="F54" s="5">
        <f t="shared" si="28"/>
        <v>0</v>
      </c>
      <c r="G54" s="1"/>
      <c r="H54" s="1">
        <f>SUM(OSRRefH22_8x_0)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3"/>
      <c r="P54" s="1">
        <f>SUM(OSRRefP22_8x_0)</f>
        <v>0</v>
      </c>
      <c r="Q54" s="1"/>
      <c r="R54" s="5">
        <f t="shared" si="32"/>
        <v>0</v>
      </c>
      <c r="S54" s="1"/>
      <c r="T54" s="1">
        <f>SUM(OSRRefT22_8x_0)</f>
        <v>2000</v>
      </c>
      <c r="U54" s="1"/>
      <c r="V54" s="5">
        <f t="shared" si="33"/>
        <v>0</v>
      </c>
      <c r="W54" s="1"/>
      <c r="X54" s="1">
        <f t="shared" si="34"/>
        <v>-2000</v>
      </c>
      <c r="Y54" s="1"/>
      <c r="Z54" s="5">
        <f t="shared" si="35"/>
        <v>-1</v>
      </c>
    </row>
    <row r="55" spans="1:26" s="24" customFormat="1" hidden="1" outlineLevel="2" x14ac:dyDescent="0.25">
      <c r="A55" s="25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/>
      <c r="Q55" s="2"/>
      <c r="R55" s="6">
        <f t="shared" si="32"/>
        <v>0</v>
      </c>
      <c r="S55" s="2"/>
      <c r="T55" s="7">
        <v>2000</v>
      </c>
      <c r="U55" s="2"/>
      <c r="V55" s="6">
        <f t="shared" si="33"/>
        <v>0</v>
      </c>
      <c r="W55" s="2"/>
      <c r="X55" s="7">
        <f t="shared" si="34"/>
        <v>-2000</v>
      </c>
      <c r="Y55" s="2"/>
      <c r="Z55" s="6">
        <f t="shared" si="35"/>
        <v>-1</v>
      </c>
    </row>
    <row r="56" spans="1:26" s="27" customFormat="1" outlineLevel="1" collapsed="1" x14ac:dyDescent="0.25">
      <c r="A56" s="26"/>
      <c r="B56" s="13" t="str">
        <f>CONCATENATE("     ","Insurance                                         ")</f>
        <v xml:space="preserve">     Insurance                                         </v>
      </c>
      <c r="C56" s="13"/>
      <c r="D56" s="1">
        <f>SUM(OSRRefD22_9x_0)</f>
        <v>115.13</v>
      </c>
      <c r="E56" s="1"/>
      <c r="F56" s="5">
        <f t="shared" si="28"/>
        <v>0</v>
      </c>
      <c r="G56" s="1"/>
      <c r="H56" s="1">
        <f>SUM(OSRRefH22_9x_0)</f>
        <v>126</v>
      </c>
      <c r="I56" s="1"/>
      <c r="J56" s="5">
        <f t="shared" si="29"/>
        <v>0</v>
      </c>
      <c r="K56" s="1"/>
      <c r="L56" s="1">
        <f t="shared" si="30"/>
        <v>-10.870000000000005</v>
      </c>
      <c r="M56" s="1"/>
      <c r="N56" s="5">
        <f t="shared" si="31"/>
        <v>-8.6269841269841302E-2</v>
      </c>
      <c r="O56" s="13"/>
      <c r="P56" s="1">
        <f>SUM(OSRRefP22_9x_0)</f>
        <v>1266.43</v>
      </c>
      <c r="Q56" s="1"/>
      <c r="R56" s="5">
        <f t="shared" si="32"/>
        <v>0</v>
      </c>
      <c r="S56" s="1"/>
      <c r="T56" s="1">
        <f>SUM(OSRRefT22_9x_0)</f>
        <v>1386</v>
      </c>
      <c r="U56" s="1"/>
      <c r="V56" s="5">
        <f t="shared" si="33"/>
        <v>0</v>
      </c>
      <c r="W56" s="1"/>
      <c r="X56" s="1">
        <f t="shared" si="34"/>
        <v>-119.56999999999994</v>
      </c>
      <c r="Y56" s="1"/>
      <c r="Z56" s="5">
        <f t="shared" si="35"/>
        <v>-8.6269841269841219E-2</v>
      </c>
    </row>
    <row r="57" spans="1:26" s="24" customFormat="1" hidden="1" outlineLevel="2" x14ac:dyDescent="0.25">
      <c r="A57" s="25"/>
      <c r="B57" s="11" t="str">
        <f>CONCATENATE("          ", "6314", " - ", "LIABILITY INSURANCE")</f>
        <v xml:space="preserve">          6314 - LIABILITY INSURANCE</v>
      </c>
      <c r="C57" s="11"/>
      <c r="D57" s="7">
        <v>115.13</v>
      </c>
      <c r="E57" s="2"/>
      <c r="F57" s="6">
        <f t="shared" si="28"/>
        <v>0</v>
      </c>
      <c r="G57" s="2"/>
      <c r="H57" s="7">
        <v>126</v>
      </c>
      <c r="I57" s="2"/>
      <c r="J57" s="6">
        <f t="shared" si="29"/>
        <v>0</v>
      </c>
      <c r="K57" s="2"/>
      <c r="L57" s="7">
        <f t="shared" si="30"/>
        <v>-10.870000000000005</v>
      </c>
      <c r="M57" s="2"/>
      <c r="N57" s="6">
        <f t="shared" si="31"/>
        <v>-8.6269841269841302E-2</v>
      </c>
      <c r="O57" s="11"/>
      <c r="P57" s="7">
        <v>1266.43</v>
      </c>
      <c r="Q57" s="2"/>
      <c r="R57" s="6">
        <f t="shared" si="32"/>
        <v>0</v>
      </c>
      <c r="S57" s="2"/>
      <c r="T57" s="7">
        <v>1386</v>
      </c>
      <c r="U57" s="2"/>
      <c r="V57" s="6">
        <f t="shared" si="33"/>
        <v>0</v>
      </c>
      <c r="W57" s="2"/>
      <c r="X57" s="7">
        <f t="shared" si="34"/>
        <v>-119.56999999999994</v>
      </c>
      <c r="Y57" s="2"/>
      <c r="Z57" s="6">
        <f t="shared" si="35"/>
        <v>-8.6269841269841219E-2</v>
      </c>
    </row>
    <row r="58" spans="1:26" s="27" customFormat="1" outlineLevel="1" collapsed="1" x14ac:dyDescent="0.25">
      <c r="A58" s="26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SUM(OSRRefD22_10x_0)</f>
        <v>0</v>
      </c>
      <c r="E58" s="1"/>
      <c r="F58" s="5">
        <f t="shared" si="28"/>
        <v>0</v>
      </c>
      <c r="G58" s="1"/>
      <c r="H58" s="1">
        <f>SUM(OSRRefH22_10x_0)</f>
        <v>1000</v>
      </c>
      <c r="I58" s="1"/>
      <c r="J58" s="5">
        <f t="shared" si="29"/>
        <v>0</v>
      </c>
      <c r="K58" s="1"/>
      <c r="L58" s="1">
        <f t="shared" si="30"/>
        <v>-1000</v>
      </c>
      <c r="M58" s="1"/>
      <c r="N58" s="5">
        <f t="shared" si="31"/>
        <v>-1</v>
      </c>
      <c r="O58" s="13"/>
      <c r="P58" s="1">
        <f>SUM(OSRRefP22_10x_0)</f>
        <v>50379.24</v>
      </c>
      <c r="Q58" s="1"/>
      <c r="R58" s="5">
        <f t="shared" si="32"/>
        <v>0</v>
      </c>
      <c r="S58" s="1"/>
      <c r="T58" s="1">
        <f>SUM(OSRRefT22_10x_0)</f>
        <v>59500</v>
      </c>
      <c r="U58" s="1"/>
      <c r="V58" s="5">
        <f t="shared" si="33"/>
        <v>0</v>
      </c>
      <c r="W58" s="1"/>
      <c r="X58" s="1">
        <f t="shared" si="34"/>
        <v>-9120.760000000002</v>
      </c>
      <c r="Y58" s="1"/>
      <c r="Z58" s="5">
        <f t="shared" si="35"/>
        <v>-0.15329008403361347</v>
      </c>
    </row>
    <row r="59" spans="1:26" s="24" customFormat="1" hidden="1" outlineLevel="2" x14ac:dyDescent="0.25">
      <c r="A59" s="25"/>
      <c r="B59" s="11" t="str">
        <f>CONCATENATE("          ", "6331", " - ", "INDIRECT COSTS-AUXILIARY ORGAN")</f>
        <v xml:space="preserve">          6331 - INDIRECT COSTS-AUXILIARY ORGAN</v>
      </c>
      <c r="C59" s="11"/>
      <c r="D59" s="7"/>
      <c r="E59" s="2"/>
      <c r="F59" s="6">
        <f t="shared" si="28"/>
        <v>0</v>
      </c>
      <c r="G59" s="2"/>
      <c r="H59" s="7"/>
      <c r="I59" s="2"/>
      <c r="J59" s="6">
        <f t="shared" si="29"/>
        <v>0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45850</v>
      </c>
      <c r="Q59" s="2"/>
      <c r="R59" s="6">
        <f t="shared" si="32"/>
        <v>0</v>
      </c>
      <c r="S59" s="2"/>
      <c r="T59" s="7">
        <v>49000</v>
      </c>
      <c r="U59" s="2"/>
      <c r="V59" s="6">
        <f t="shared" si="33"/>
        <v>0</v>
      </c>
      <c r="W59" s="2"/>
      <c r="X59" s="7">
        <f t="shared" si="34"/>
        <v>-3150</v>
      </c>
      <c r="Y59" s="2"/>
      <c r="Z59" s="6">
        <f t="shared" si="35"/>
        <v>-6.4285714285714279E-2</v>
      </c>
    </row>
    <row r="60" spans="1:26" s="24" customFormat="1" hidden="1" outlineLevel="2" x14ac:dyDescent="0.25">
      <c r="A60" s="25"/>
      <c r="B60" s="11" t="str">
        <f>CONCATENATE("          ", "6334", " - ", "LEGAL COUNCIL EXPENSE")</f>
        <v xml:space="preserve">          6334 - LEGAL COUNCIL EXPENSE</v>
      </c>
      <c r="C60" s="11"/>
      <c r="D60" s="7"/>
      <c r="E60" s="2"/>
      <c r="F60" s="6">
        <f t="shared" si="28"/>
        <v>0</v>
      </c>
      <c r="G60" s="2"/>
      <c r="H60" s="7">
        <v>1000</v>
      </c>
      <c r="I60" s="2"/>
      <c r="J60" s="6">
        <f t="shared" si="29"/>
        <v>0</v>
      </c>
      <c r="K60" s="2"/>
      <c r="L60" s="7">
        <f t="shared" si="30"/>
        <v>-1000</v>
      </c>
      <c r="M60" s="2"/>
      <c r="N60" s="6">
        <f t="shared" si="31"/>
        <v>-1</v>
      </c>
      <c r="O60" s="11"/>
      <c r="P60" s="7">
        <v>4529.24</v>
      </c>
      <c r="Q60" s="2"/>
      <c r="R60" s="6">
        <f t="shared" si="32"/>
        <v>0</v>
      </c>
      <c r="S60" s="2"/>
      <c r="T60" s="7">
        <v>5500</v>
      </c>
      <c r="U60" s="2"/>
      <c r="V60" s="6">
        <f t="shared" si="33"/>
        <v>0</v>
      </c>
      <c r="W60" s="2"/>
      <c r="X60" s="7">
        <f t="shared" si="34"/>
        <v>-970.76000000000022</v>
      </c>
      <c r="Y60" s="2"/>
      <c r="Z60" s="6">
        <f t="shared" si="35"/>
        <v>-0.17650181818181823</v>
      </c>
    </row>
    <row r="61" spans="1:26" s="24" customFormat="1" hidden="1" outlineLevel="2" x14ac:dyDescent="0.25">
      <c r="A61" s="25"/>
      <c r="B61" s="11" t="str">
        <f>CONCATENATE("          ", "6336", " - ", "PROFESSIONAL SERVICES")</f>
        <v xml:space="preserve">          6336 - PROFESSIONAL SERVICES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/>
      <c r="Q61" s="2"/>
      <c r="R61" s="6">
        <f t="shared" si="32"/>
        <v>0</v>
      </c>
      <c r="S61" s="2"/>
      <c r="T61" s="7">
        <v>5000</v>
      </c>
      <c r="U61" s="2"/>
      <c r="V61" s="6">
        <f t="shared" si="33"/>
        <v>0</v>
      </c>
      <c r="W61" s="2"/>
      <c r="X61" s="7">
        <f t="shared" si="34"/>
        <v>-5000</v>
      </c>
      <c r="Y61" s="2"/>
      <c r="Z61" s="6">
        <f t="shared" si="35"/>
        <v>-1</v>
      </c>
    </row>
    <row r="62" spans="1:26" s="27" customFormat="1" outlineLevel="1" collapsed="1" x14ac:dyDescent="0.25">
      <c r="A62" s="26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SUM(OSRRefD22_11x_0)</f>
        <v>2210.09</v>
      </c>
      <c r="E62" s="1"/>
      <c r="F62" s="5">
        <f t="shared" ref="F62:F64" si="36">IF(D$12=0,0,D62/D$12)</f>
        <v>0</v>
      </c>
      <c r="G62" s="1"/>
      <c r="H62" s="1">
        <f>SUM(OSRRefH22_11x_0)</f>
        <v>2182</v>
      </c>
      <c r="I62" s="1"/>
      <c r="J62" s="5">
        <f t="shared" ref="J62:J64" si="37">IF(H$12=0,0,H62/H$12)</f>
        <v>0</v>
      </c>
      <c r="K62" s="1"/>
      <c r="L62" s="1">
        <f t="shared" ref="L62:L64" si="38">+D62-H62</f>
        <v>28.090000000000146</v>
      </c>
      <c r="M62" s="1"/>
      <c r="N62" s="5">
        <f t="shared" ref="N62:N64" si="39">IF(H62=0,0,L62/H62)</f>
        <v>1.2873510540788334E-2</v>
      </c>
      <c r="O62" s="13"/>
      <c r="P62" s="1">
        <f>SUM(OSRRefP22_11x_0)</f>
        <v>24339.279999999999</v>
      </c>
      <c r="Q62" s="1"/>
      <c r="R62" s="5">
        <f t="shared" ref="R62:R64" si="40">IF(P$12=0,0,P62/P$12)</f>
        <v>0</v>
      </c>
      <c r="S62" s="1"/>
      <c r="T62" s="1">
        <f>SUM(OSRRefT22_11x_0)</f>
        <v>24002</v>
      </c>
      <c r="U62" s="1"/>
      <c r="V62" s="5">
        <f t="shared" ref="V62:V64" si="41">IF(T$12=0,0,T62/T$12)</f>
        <v>0</v>
      </c>
      <c r="W62" s="1"/>
      <c r="X62" s="1">
        <f t="shared" ref="X62:X64" si="42">+P62-T62</f>
        <v>337.27999999999884</v>
      </c>
      <c r="Y62" s="1"/>
      <c r="Z62" s="5">
        <f t="shared" ref="Z62:Z64" si="43">IF(T62=0,0,X62/T62)</f>
        <v>1.4052162319806634E-2</v>
      </c>
    </row>
    <row r="63" spans="1:26" s="24" customFormat="1" hidden="1" outlineLevel="2" x14ac:dyDescent="0.25">
      <c r="A63" s="25"/>
      <c r="B63" s="11" t="str">
        <f>CONCATENATE("          ", "6371", " - ", "COMPUTER SOFTWARE MAINTENANCE")</f>
        <v xml:space="preserve">          6371 - COMPUTER SOFTWARE MAINTENANCE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1980</v>
      </c>
      <c r="Q63" s="2"/>
      <c r="R63" s="6">
        <f t="shared" si="40"/>
        <v>0</v>
      </c>
      <c r="S63" s="2"/>
      <c r="T63" s="7"/>
      <c r="U63" s="2"/>
      <c r="V63" s="6">
        <f t="shared" si="41"/>
        <v>0</v>
      </c>
      <c r="W63" s="2"/>
      <c r="X63" s="7">
        <f t="shared" si="42"/>
        <v>1980</v>
      </c>
      <c r="Y63" s="2"/>
      <c r="Z63" s="6">
        <f t="shared" si="43"/>
        <v>0</v>
      </c>
    </row>
    <row r="64" spans="1:26" s="24" customFormat="1" hidden="1" outlineLevel="2" x14ac:dyDescent="0.25">
      <c r="A64" s="25"/>
      <c r="B64" s="11" t="str">
        <f>CONCATENATE("          ", "6373", " - ", "MAINTENANCE CONTRACTS")</f>
        <v xml:space="preserve">          6373 - MAINTENANCE CONTRACTS</v>
      </c>
      <c r="C64" s="11"/>
      <c r="D64" s="7">
        <v>2210.09</v>
      </c>
      <c r="E64" s="2"/>
      <c r="F64" s="6">
        <f t="shared" si="36"/>
        <v>0</v>
      </c>
      <c r="G64" s="2"/>
      <c r="H64" s="7">
        <v>2182</v>
      </c>
      <c r="I64" s="2"/>
      <c r="J64" s="6">
        <f t="shared" si="37"/>
        <v>0</v>
      </c>
      <c r="K64" s="2"/>
      <c r="L64" s="7">
        <f t="shared" si="38"/>
        <v>28.090000000000146</v>
      </c>
      <c r="M64" s="2"/>
      <c r="N64" s="6">
        <f t="shared" si="39"/>
        <v>1.2873510540788334E-2</v>
      </c>
      <c r="O64" s="11"/>
      <c r="P64" s="7">
        <v>22359.279999999999</v>
      </c>
      <c r="Q64" s="2"/>
      <c r="R64" s="6">
        <f t="shared" si="40"/>
        <v>0</v>
      </c>
      <c r="S64" s="2"/>
      <c r="T64" s="7">
        <v>24002</v>
      </c>
      <c r="U64" s="2"/>
      <c r="V64" s="6">
        <f t="shared" si="41"/>
        <v>0</v>
      </c>
      <c r="W64" s="2"/>
      <c r="X64" s="7">
        <f t="shared" si="42"/>
        <v>-1642.7200000000012</v>
      </c>
      <c r="Y64" s="2"/>
      <c r="Z64" s="6">
        <f t="shared" si="43"/>
        <v>-6.8440963253062287E-2</v>
      </c>
    </row>
    <row r="65" spans="1:26" s="27" customFormat="1" outlineLevel="1" collapsed="1" x14ac:dyDescent="0.25">
      <c r="A65" s="26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SUM(OSRRefD22_12x_0)</f>
        <v>2400</v>
      </c>
      <c r="E65" s="1"/>
      <c r="F65" s="5">
        <f t="shared" ref="F65:F70" si="44">IF(D$12=0,0,D65/D$12)</f>
        <v>0</v>
      </c>
      <c r="G65" s="1"/>
      <c r="H65" s="1">
        <f>SUM(OSRRefH22_12x_0)</f>
        <v>1700</v>
      </c>
      <c r="I65" s="1"/>
      <c r="J65" s="5">
        <f t="shared" ref="J65:J70" si="45">IF(H$12=0,0,H65/H$12)</f>
        <v>0</v>
      </c>
      <c r="K65" s="1"/>
      <c r="L65" s="1">
        <f t="shared" ref="L65:L70" si="46">+D65-H65</f>
        <v>700</v>
      </c>
      <c r="M65" s="1"/>
      <c r="N65" s="5">
        <f t="shared" ref="N65:N70" si="47">IF(H65=0,0,L65/H65)</f>
        <v>0.41176470588235292</v>
      </c>
      <c r="O65" s="13"/>
      <c r="P65" s="1">
        <f>SUM(OSRRefP22_12x_0)</f>
        <v>8793</v>
      </c>
      <c r="Q65" s="1"/>
      <c r="R65" s="5">
        <f t="shared" ref="R65:R70" si="48">IF(P$12=0,0,P65/P$12)</f>
        <v>0</v>
      </c>
      <c r="S65" s="1"/>
      <c r="T65" s="1">
        <f>SUM(OSRRefT22_12x_0)</f>
        <v>7450</v>
      </c>
      <c r="U65" s="1"/>
      <c r="V65" s="5">
        <f t="shared" ref="V65:V70" si="49">IF(T$12=0,0,T65/T$12)</f>
        <v>0</v>
      </c>
      <c r="W65" s="1"/>
      <c r="X65" s="1">
        <f t="shared" ref="X65:X70" si="50">+P65-T65</f>
        <v>1343</v>
      </c>
      <c r="Y65" s="1"/>
      <c r="Z65" s="5">
        <f t="shared" ref="Z65:Z70" si="51">IF(T65=0,0,X65/T65)</f>
        <v>0.18026845637583894</v>
      </c>
    </row>
    <row r="66" spans="1:26" s="24" customFormat="1" hidden="1" outlineLevel="2" x14ac:dyDescent="0.25">
      <c r="A66" s="25"/>
      <c r="B66" s="11" t="str">
        <f>CONCATENATE("          ", "6258", " - ", "MEMBERSHIP DUES")</f>
        <v xml:space="preserve">          6258 - MEMBERSHIP DUES</v>
      </c>
      <c r="C66" s="11"/>
      <c r="D66" s="7">
        <v>2400</v>
      </c>
      <c r="E66" s="2"/>
      <c r="F66" s="6">
        <f t="shared" si="44"/>
        <v>0</v>
      </c>
      <c r="G66" s="2"/>
      <c r="H66" s="7">
        <v>1700</v>
      </c>
      <c r="I66" s="2"/>
      <c r="J66" s="6">
        <f t="shared" si="45"/>
        <v>0</v>
      </c>
      <c r="K66" s="2"/>
      <c r="L66" s="7">
        <f t="shared" si="46"/>
        <v>700</v>
      </c>
      <c r="M66" s="2"/>
      <c r="N66" s="6">
        <f t="shared" si="47"/>
        <v>0.41176470588235292</v>
      </c>
      <c r="O66" s="11"/>
      <c r="P66" s="7">
        <v>8793</v>
      </c>
      <c r="Q66" s="2"/>
      <c r="R66" s="6">
        <f t="shared" si="48"/>
        <v>0</v>
      </c>
      <c r="S66" s="2"/>
      <c r="T66" s="7">
        <v>7450</v>
      </c>
      <c r="U66" s="2"/>
      <c r="V66" s="6">
        <f t="shared" si="49"/>
        <v>0</v>
      </c>
      <c r="W66" s="2"/>
      <c r="X66" s="7">
        <f t="shared" si="50"/>
        <v>1343</v>
      </c>
      <c r="Y66" s="2"/>
      <c r="Z66" s="6">
        <f t="shared" si="51"/>
        <v>0.18026845637583894</v>
      </c>
    </row>
    <row r="67" spans="1:26" s="27" customFormat="1" outlineLevel="1" collapsed="1" x14ac:dyDescent="0.25">
      <c r="A67" s="26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0</v>
      </c>
      <c r="E67" s="1"/>
      <c r="F67" s="5">
        <f t="shared" si="44"/>
        <v>0</v>
      </c>
      <c r="G67" s="1"/>
      <c r="H67" s="1">
        <f>SUM(OSRRefH22_13x_0)</f>
        <v>1000</v>
      </c>
      <c r="I67" s="1"/>
      <c r="J67" s="5">
        <f t="shared" si="45"/>
        <v>0</v>
      </c>
      <c r="K67" s="1"/>
      <c r="L67" s="1">
        <f t="shared" si="46"/>
        <v>-1000</v>
      </c>
      <c r="M67" s="1"/>
      <c r="N67" s="5">
        <f t="shared" si="47"/>
        <v>-1</v>
      </c>
      <c r="O67" s="13"/>
      <c r="P67" s="1">
        <f>SUM(OSRRefP22_13x_0)</f>
        <v>643.69000000000005</v>
      </c>
      <c r="Q67" s="1"/>
      <c r="R67" s="5">
        <f t="shared" si="48"/>
        <v>0</v>
      </c>
      <c r="S67" s="1"/>
      <c r="T67" s="1">
        <f>SUM(OSRRefT22_13x_0)</f>
        <v>15000</v>
      </c>
      <c r="U67" s="1"/>
      <c r="V67" s="5">
        <f t="shared" si="49"/>
        <v>0</v>
      </c>
      <c r="W67" s="1"/>
      <c r="X67" s="1">
        <f t="shared" si="50"/>
        <v>-14356.31</v>
      </c>
      <c r="Y67" s="1"/>
      <c r="Z67" s="5">
        <f t="shared" si="51"/>
        <v>-0.95708733333333329</v>
      </c>
    </row>
    <row r="68" spans="1:26" s="24" customFormat="1" hidden="1" outlineLevel="2" x14ac:dyDescent="0.25">
      <c r="A68" s="25"/>
      <c r="B68" s="11" t="str">
        <f>CONCATENATE("          ", "6234", " - ", "EXPENDABLE SUPPLIES &amp; EQUIPMEN")</f>
        <v xml:space="preserve">          6234 - EXPENDABLE SUPPLIES &amp; EQUIPMEN</v>
      </c>
      <c r="C68" s="11"/>
      <c r="D68" s="7"/>
      <c r="E68" s="2"/>
      <c r="F68" s="6">
        <f t="shared" si="44"/>
        <v>0</v>
      </c>
      <c r="G68" s="2"/>
      <c r="H68" s="7">
        <v>1000</v>
      </c>
      <c r="I68" s="2"/>
      <c r="J68" s="6">
        <f t="shared" si="45"/>
        <v>0</v>
      </c>
      <c r="K68" s="2"/>
      <c r="L68" s="7">
        <f t="shared" si="46"/>
        <v>-1000</v>
      </c>
      <c r="M68" s="2"/>
      <c r="N68" s="6">
        <f t="shared" si="47"/>
        <v>-1</v>
      </c>
      <c r="O68" s="11"/>
      <c r="P68" s="7"/>
      <c r="Q68" s="2"/>
      <c r="R68" s="6">
        <f t="shared" si="48"/>
        <v>0</v>
      </c>
      <c r="S68" s="2"/>
      <c r="T68" s="7">
        <v>11000</v>
      </c>
      <c r="U68" s="2"/>
      <c r="V68" s="6">
        <f t="shared" si="49"/>
        <v>0</v>
      </c>
      <c r="W68" s="2"/>
      <c r="X68" s="7">
        <f t="shared" si="50"/>
        <v>-11000</v>
      </c>
      <c r="Y68" s="2"/>
      <c r="Z68" s="6">
        <f t="shared" si="51"/>
        <v>-1</v>
      </c>
    </row>
    <row r="69" spans="1:26" s="24" customFormat="1" hidden="1" outlineLevel="2" x14ac:dyDescent="0.25">
      <c r="A69" s="25"/>
      <c r="B69" s="11" t="str">
        <f>CONCATENATE("          ", "6235", " - ", "COVID-19 EXPENSES")</f>
        <v xml:space="preserve">          6235 - COVID-19 EXPENSES</v>
      </c>
      <c r="C69" s="11"/>
      <c r="D69" s="7"/>
      <c r="E69" s="2"/>
      <c r="F69" s="6">
        <f t="shared" si="44"/>
        <v>0</v>
      </c>
      <c r="G69" s="2"/>
      <c r="H69" s="7"/>
      <c r="I69" s="2"/>
      <c r="J69" s="6">
        <f t="shared" si="45"/>
        <v>0</v>
      </c>
      <c r="K69" s="2"/>
      <c r="L69" s="7">
        <f t="shared" si="46"/>
        <v>0</v>
      </c>
      <c r="M69" s="2"/>
      <c r="N69" s="6">
        <f t="shared" si="47"/>
        <v>0</v>
      </c>
      <c r="O69" s="11"/>
      <c r="P69" s="7">
        <v>106.94</v>
      </c>
      <c r="Q69" s="2"/>
      <c r="R69" s="6">
        <f t="shared" si="48"/>
        <v>0</v>
      </c>
      <c r="S69" s="2"/>
      <c r="T69" s="7">
        <v>1500</v>
      </c>
      <c r="U69" s="2"/>
      <c r="V69" s="6">
        <f t="shared" si="49"/>
        <v>0</v>
      </c>
      <c r="W69" s="2"/>
      <c r="X69" s="7">
        <f t="shared" si="50"/>
        <v>-1393.06</v>
      </c>
      <c r="Y69" s="2"/>
      <c r="Z69" s="6">
        <f t="shared" si="51"/>
        <v>-0.92870666666666668</v>
      </c>
    </row>
    <row r="70" spans="1:26" s="24" customFormat="1" hidden="1" outlineLevel="2" x14ac:dyDescent="0.25">
      <c r="A70" s="25"/>
      <c r="B70" s="11" t="str">
        <f>CONCATENATE("          ", "6241", " - ", "OFFICE EXPENSE")</f>
        <v xml:space="preserve">          6241 - OFFICE EXPENSE</v>
      </c>
      <c r="C70" s="11"/>
      <c r="D70" s="7"/>
      <c r="E70" s="2"/>
      <c r="F70" s="6">
        <f t="shared" si="44"/>
        <v>0</v>
      </c>
      <c r="G70" s="2"/>
      <c r="H70" s="7"/>
      <c r="I70" s="2"/>
      <c r="J70" s="6">
        <f t="shared" si="45"/>
        <v>0</v>
      </c>
      <c r="K70" s="2"/>
      <c r="L70" s="7">
        <f t="shared" si="46"/>
        <v>0</v>
      </c>
      <c r="M70" s="2"/>
      <c r="N70" s="6">
        <f t="shared" si="47"/>
        <v>0</v>
      </c>
      <c r="O70" s="11"/>
      <c r="P70" s="7">
        <v>536.75</v>
      </c>
      <c r="Q70" s="2"/>
      <c r="R70" s="6">
        <f t="shared" si="48"/>
        <v>0</v>
      </c>
      <c r="S70" s="2"/>
      <c r="T70" s="7">
        <v>2500</v>
      </c>
      <c r="U70" s="2"/>
      <c r="V70" s="6">
        <f t="shared" si="49"/>
        <v>0</v>
      </c>
      <c r="W70" s="2"/>
      <c r="X70" s="7">
        <f t="shared" si="50"/>
        <v>-1963.25</v>
      </c>
      <c r="Y70" s="2"/>
      <c r="Z70" s="6">
        <f t="shared" si="51"/>
        <v>-0.7853</v>
      </c>
    </row>
    <row r="71" spans="1:26" s="27" customFormat="1" outlineLevel="1" collapsed="1" x14ac:dyDescent="0.25">
      <c r="A71" s="26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SUM(OSRRefD22_14x_0)</f>
        <v>264</v>
      </c>
      <c r="E71" s="1"/>
      <c r="F71" s="5">
        <f t="shared" ref="F71:F76" si="52">IF(D$12=0,0,D71/D$12)</f>
        <v>0</v>
      </c>
      <c r="G71" s="1"/>
      <c r="H71" s="1">
        <f>SUM(OSRRefH22_14x_0)</f>
        <v>350</v>
      </c>
      <c r="I71" s="1"/>
      <c r="J71" s="5">
        <f t="shared" ref="J71:J76" si="53">IF(H$12=0,0,H71/H$12)</f>
        <v>0</v>
      </c>
      <c r="K71" s="1"/>
      <c r="L71" s="1">
        <f t="shared" ref="L71:L76" si="54">+D71-H71</f>
        <v>-86</v>
      </c>
      <c r="M71" s="1"/>
      <c r="N71" s="5">
        <f t="shared" ref="N71:N76" si="55">IF(H71=0,0,L71/H71)</f>
        <v>-0.24571428571428572</v>
      </c>
      <c r="O71" s="13"/>
      <c r="P71" s="1">
        <f>SUM(OSRRefP22_14x_0)</f>
        <v>4233.62</v>
      </c>
      <c r="Q71" s="1"/>
      <c r="R71" s="5">
        <f t="shared" ref="R71:R76" si="56">IF(P$12=0,0,P71/P$12)</f>
        <v>0</v>
      </c>
      <c r="S71" s="1"/>
      <c r="T71" s="1">
        <f>SUM(OSRRefT22_14x_0)</f>
        <v>3850</v>
      </c>
      <c r="U71" s="1"/>
      <c r="V71" s="5">
        <f t="shared" ref="V71:V76" si="57">IF(T$12=0,0,T71/T$12)</f>
        <v>0</v>
      </c>
      <c r="W71" s="1"/>
      <c r="X71" s="1">
        <f t="shared" ref="X71:X76" si="58">+P71-T71</f>
        <v>383.61999999999989</v>
      </c>
      <c r="Y71" s="1"/>
      <c r="Z71" s="5">
        <f t="shared" ref="Z71:Z76" si="59">IF(T71=0,0,X71/T71)</f>
        <v>9.964155844155842E-2</v>
      </c>
    </row>
    <row r="72" spans="1:26" s="24" customFormat="1" hidden="1" outlineLevel="2" x14ac:dyDescent="0.25">
      <c r="A72" s="25"/>
      <c r="B72" s="11" t="str">
        <f>CONCATENATE("          ", "6309", " - ", "TELEPHONE")</f>
        <v xml:space="preserve">          6309 - TELEPHONE</v>
      </c>
      <c r="C72" s="11"/>
      <c r="D72" s="7">
        <v>264</v>
      </c>
      <c r="E72" s="2"/>
      <c r="F72" s="6">
        <f t="shared" si="52"/>
        <v>0</v>
      </c>
      <c r="G72" s="2"/>
      <c r="H72" s="7">
        <v>350</v>
      </c>
      <c r="I72" s="2"/>
      <c r="J72" s="6">
        <f t="shared" si="53"/>
        <v>0</v>
      </c>
      <c r="K72" s="2"/>
      <c r="L72" s="7">
        <f t="shared" si="54"/>
        <v>-86</v>
      </c>
      <c r="M72" s="2"/>
      <c r="N72" s="6">
        <f t="shared" si="55"/>
        <v>-0.24571428571428572</v>
      </c>
      <c r="O72" s="11"/>
      <c r="P72" s="7">
        <v>4233.62</v>
      </c>
      <c r="Q72" s="2"/>
      <c r="R72" s="6">
        <f t="shared" si="56"/>
        <v>0</v>
      </c>
      <c r="S72" s="2"/>
      <c r="T72" s="7">
        <v>3850</v>
      </c>
      <c r="U72" s="2"/>
      <c r="V72" s="6">
        <f t="shared" si="57"/>
        <v>0</v>
      </c>
      <c r="W72" s="2"/>
      <c r="X72" s="7">
        <f t="shared" si="58"/>
        <v>383.61999999999989</v>
      </c>
      <c r="Y72" s="2"/>
      <c r="Z72" s="6">
        <f t="shared" si="59"/>
        <v>9.964155844155842E-2</v>
      </c>
    </row>
    <row r="73" spans="1:26" s="27" customFormat="1" outlineLevel="1" collapsed="1" x14ac:dyDescent="0.25">
      <c r="A73" s="26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SUM(OSRRefD22_15x_0)</f>
        <v>0</v>
      </c>
      <c r="E73" s="1"/>
      <c r="F73" s="5">
        <f t="shared" si="52"/>
        <v>0</v>
      </c>
      <c r="G73" s="1"/>
      <c r="H73" s="1">
        <f>SUM(OSRRefH22_15x_0)</f>
        <v>0</v>
      </c>
      <c r="I73" s="1"/>
      <c r="J73" s="5">
        <f t="shared" si="53"/>
        <v>0</v>
      </c>
      <c r="K73" s="1"/>
      <c r="L73" s="1">
        <f t="shared" si="54"/>
        <v>0</v>
      </c>
      <c r="M73" s="1"/>
      <c r="N73" s="5">
        <f t="shared" si="55"/>
        <v>0</v>
      </c>
      <c r="O73" s="13"/>
      <c r="P73" s="1">
        <f>SUM(OSRRefP22_15x_0)</f>
        <v>4276.5</v>
      </c>
      <c r="Q73" s="1"/>
      <c r="R73" s="5">
        <f t="shared" si="56"/>
        <v>0</v>
      </c>
      <c r="S73" s="1"/>
      <c r="T73" s="1">
        <f>SUM(OSRRefT22_15x_0)</f>
        <v>5000</v>
      </c>
      <c r="U73" s="1"/>
      <c r="V73" s="5">
        <f t="shared" si="57"/>
        <v>0</v>
      </c>
      <c r="W73" s="1"/>
      <c r="X73" s="1">
        <f t="shared" si="58"/>
        <v>-723.5</v>
      </c>
      <c r="Y73" s="1"/>
      <c r="Z73" s="5">
        <f t="shared" si="59"/>
        <v>-0.1447</v>
      </c>
    </row>
    <row r="74" spans="1:26" s="24" customFormat="1" hidden="1" outlineLevel="2" x14ac:dyDescent="0.25">
      <c r="A74" s="25"/>
      <c r="B74" s="11" t="str">
        <f>CONCATENATE("          ", "6376", " - ", "TRAINING")</f>
        <v xml:space="preserve">          6376 - TRAINING</v>
      </c>
      <c r="C74" s="11"/>
      <c r="D74" s="7"/>
      <c r="E74" s="2"/>
      <c r="F74" s="6">
        <f t="shared" si="52"/>
        <v>0</v>
      </c>
      <c r="G74" s="2"/>
      <c r="H74" s="7"/>
      <c r="I74" s="2"/>
      <c r="J74" s="6">
        <f t="shared" si="53"/>
        <v>0</v>
      </c>
      <c r="K74" s="2"/>
      <c r="L74" s="7">
        <f t="shared" si="54"/>
        <v>0</v>
      </c>
      <c r="M74" s="2"/>
      <c r="N74" s="6">
        <f t="shared" si="55"/>
        <v>0</v>
      </c>
      <c r="O74" s="11"/>
      <c r="P74" s="7">
        <v>4276.5</v>
      </c>
      <c r="Q74" s="2"/>
      <c r="R74" s="6">
        <f t="shared" si="56"/>
        <v>0</v>
      </c>
      <c r="S74" s="2"/>
      <c r="T74" s="7">
        <v>5000</v>
      </c>
      <c r="U74" s="2"/>
      <c r="V74" s="6">
        <f t="shared" si="57"/>
        <v>0</v>
      </c>
      <c r="W74" s="2"/>
      <c r="X74" s="7">
        <f t="shared" si="58"/>
        <v>-723.5</v>
      </c>
      <c r="Y74" s="2"/>
      <c r="Z74" s="6">
        <f t="shared" si="59"/>
        <v>-0.1447</v>
      </c>
    </row>
    <row r="75" spans="1:26" s="27" customFormat="1" outlineLevel="1" collapsed="1" x14ac:dyDescent="0.25">
      <c r="A75" s="26"/>
      <c r="B75" s="13" t="str">
        <f>CONCATENATE("     ","Travel                                            ")</f>
        <v xml:space="preserve">     Travel                                            </v>
      </c>
      <c r="C75" s="13"/>
      <c r="D75" s="1">
        <f>SUM(OSRRefD22_16x_0)</f>
        <v>0</v>
      </c>
      <c r="E75" s="1"/>
      <c r="F75" s="5">
        <f t="shared" si="52"/>
        <v>0</v>
      </c>
      <c r="G75" s="1"/>
      <c r="H75" s="1">
        <f>SUM(OSRRefH22_16x_0)</f>
        <v>0</v>
      </c>
      <c r="I75" s="1"/>
      <c r="J75" s="5">
        <f t="shared" si="53"/>
        <v>0</v>
      </c>
      <c r="K75" s="1"/>
      <c r="L75" s="1">
        <f t="shared" si="54"/>
        <v>0</v>
      </c>
      <c r="M75" s="1"/>
      <c r="N75" s="5">
        <f t="shared" si="55"/>
        <v>0</v>
      </c>
      <c r="O75" s="13"/>
      <c r="P75" s="1">
        <f>SUM(OSRRefP22_16x_0)</f>
        <v>0</v>
      </c>
      <c r="Q75" s="1"/>
      <c r="R75" s="5">
        <f t="shared" si="56"/>
        <v>0</v>
      </c>
      <c r="S75" s="1"/>
      <c r="T75" s="1">
        <f>SUM(OSRRefT22_16x_0)</f>
        <v>3600</v>
      </c>
      <c r="U75" s="1"/>
      <c r="V75" s="5">
        <f t="shared" si="57"/>
        <v>0</v>
      </c>
      <c r="W75" s="1"/>
      <c r="X75" s="1">
        <f t="shared" si="58"/>
        <v>-3600</v>
      </c>
      <c r="Y75" s="1"/>
      <c r="Z75" s="5">
        <f t="shared" si="59"/>
        <v>-1</v>
      </c>
    </row>
    <row r="76" spans="1:26" s="24" customFormat="1" hidden="1" outlineLevel="2" x14ac:dyDescent="0.25">
      <c r="A76" s="25"/>
      <c r="B76" s="11" t="str">
        <f>CONCATENATE("          ", "6294", " - ", "TRAVEL OPERATIONAL")</f>
        <v xml:space="preserve">          6294 - TRAVEL OPERATIONAL</v>
      </c>
      <c r="C76" s="11"/>
      <c r="D76" s="7"/>
      <c r="E76" s="2"/>
      <c r="F76" s="6">
        <f t="shared" si="52"/>
        <v>0</v>
      </c>
      <c r="G76" s="2"/>
      <c r="H76" s="7"/>
      <c r="I76" s="2"/>
      <c r="J76" s="6">
        <f t="shared" si="53"/>
        <v>0</v>
      </c>
      <c r="K76" s="2"/>
      <c r="L76" s="7">
        <f t="shared" si="54"/>
        <v>0</v>
      </c>
      <c r="M76" s="2"/>
      <c r="N76" s="6">
        <f t="shared" si="55"/>
        <v>0</v>
      </c>
      <c r="O76" s="11"/>
      <c r="P76" s="7"/>
      <c r="Q76" s="2"/>
      <c r="R76" s="6">
        <f t="shared" si="56"/>
        <v>0</v>
      </c>
      <c r="S76" s="2"/>
      <c r="T76" s="7">
        <v>3600</v>
      </c>
      <c r="U76" s="2"/>
      <c r="V76" s="6">
        <f t="shared" si="57"/>
        <v>0</v>
      </c>
      <c r="W76" s="2"/>
      <c r="X76" s="7">
        <f t="shared" si="58"/>
        <v>-3600</v>
      </c>
      <c r="Y76" s="2"/>
      <c r="Z76" s="6">
        <f t="shared" si="59"/>
        <v>-1</v>
      </c>
    </row>
    <row r="77" spans="1:26" s="56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9" t="s">
        <v>293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277</v>
      </c>
      <c r="C80" s="28"/>
      <c r="D80" s="20">
        <f>+D17-D19+D78</f>
        <v>-34019.14</v>
      </c>
      <c r="E80" s="14"/>
      <c r="F80" s="21">
        <f>IF(D$12=0,0,D80/D$12)</f>
        <v>0</v>
      </c>
      <c r="G80" s="14"/>
      <c r="H80" s="20">
        <f>+H17-H19+H78</f>
        <v>-52757.01944615387</v>
      </c>
      <c r="I80" s="14"/>
      <c r="J80" s="21">
        <f>IF(H$12=0,0,H80/H$12)</f>
        <v>0</v>
      </c>
      <c r="K80" s="15"/>
      <c r="L80" s="20">
        <f>+D80-H80</f>
        <v>18737.879446153871</v>
      </c>
      <c r="M80" s="15"/>
      <c r="N80" s="21">
        <f>IF(H80=0,0,L80/H80)</f>
        <v>-0.35517320051180246</v>
      </c>
      <c r="O80" s="29"/>
      <c r="P80" s="20">
        <f>+P17-P19+P78</f>
        <v>-413506.18</v>
      </c>
      <c r="Q80" s="14"/>
      <c r="R80" s="21">
        <f>IF(P$12=0,0,P80/P$12)</f>
        <v>0</v>
      </c>
      <c r="S80" s="14"/>
      <c r="T80" s="20">
        <f>+T17-T19+T78</f>
        <v>-510111.63523076911</v>
      </c>
      <c r="U80" s="14"/>
      <c r="V80" s="21">
        <f>IF(T$12=0,0,T80/T$12)</f>
        <v>0</v>
      </c>
      <c r="W80" s="15"/>
      <c r="X80" s="20">
        <f>+P80-T80</f>
        <v>96605.455230769119</v>
      </c>
      <c r="Y80" s="15"/>
      <c r="Z80" s="21">
        <f>IF(T80=0,0,X80/T80)</f>
        <v>-0.18938100713398909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128</v>
      </c>
      <c r="C82" s="10"/>
      <c r="D82" s="4"/>
      <c r="E82" s="4"/>
      <c r="F82" s="12">
        <f>IF(D$12=0,0,D82/D$12)</f>
        <v>0</v>
      </c>
      <c r="G82" s="4"/>
      <c r="H82" s="4"/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/>
      <c r="Q82" s="4"/>
      <c r="R82" s="12">
        <f>IF(P$12=0,0,P82/P$12)</f>
        <v>0</v>
      </c>
      <c r="S82" s="4"/>
      <c r="T82" s="4"/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126</v>
      </c>
      <c r="C84" s="28"/>
      <c r="D84" s="35">
        <f>+D80-D82</f>
        <v>-34019.14</v>
      </c>
      <c r="E84" s="14"/>
      <c r="F84" s="34">
        <f>IF(D$12=0,0,D84/D$12)</f>
        <v>0</v>
      </c>
      <c r="G84" s="14"/>
      <c r="H84" s="35">
        <f>+H80-H82</f>
        <v>-52757.01944615387</v>
      </c>
      <c r="I84" s="14"/>
      <c r="J84" s="34">
        <f>IF(H$12=0,0,H84/H$12)</f>
        <v>0</v>
      </c>
      <c r="K84" s="15"/>
      <c r="L84" s="35">
        <f>D84-H84</f>
        <v>18737.879446153871</v>
      </c>
      <c r="M84" s="15"/>
      <c r="N84" s="34">
        <f>IF(H84=0,0,L84/H84)</f>
        <v>-0.35517320051180246</v>
      </c>
      <c r="O84" s="29"/>
      <c r="P84" s="35">
        <f>+P80-P82</f>
        <v>-413506.18</v>
      </c>
      <c r="Q84" s="14"/>
      <c r="R84" s="34">
        <f>IF(P$12=0,0,P84/P$12)</f>
        <v>0</v>
      </c>
      <c r="S84" s="14"/>
      <c r="T84" s="35">
        <f>+T80-T82</f>
        <v>-510111.63523076911</v>
      </c>
      <c r="U84" s="14"/>
      <c r="V84" s="34">
        <f>IF(T$12=0,0,T84/T$12)</f>
        <v>0</v>
      </c>
      <c r="W84" s="15"/>
      <c r="X84" s="35">
        <f>P84-T84</f>
        <v>96605.455230769119</v>
      </c>
      <c r="Y84" s="15"/>
      <c r="Z84" s="34">
        <f>IF(T84=0,0,X84/T84)</f>
        <v>-0.18938100713398909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294</v>
      </c>
      <c r="C87" s="28"/>
      <c r="D87" s="33">
        <f>SUM(D84:D86)</f>
        <v>-34019.14</v>
      </c>
      <c r="E87" s="14"/>
      <c r="F87" s="32">
        <f>IF(D$12=0,0,D87/D$12)</f>
        <v>0</v>
      </c>
      <c r="G87" s="14"/>
      <c r="H87" s="33">
        <f>SUM(H84:H86)</f>
        <v>-52757.01944615387</v>
      </c>
      <c r="I87" s="14"/>
      <c r="J87" s="32">
        <f>IF(H$12=0,0,H87/H$12)</f>
        <v>0</v>
      </c>
      <c r="K87" s="15"/>
      <c r="L87" s="33">
        <f>+D87-H87</f>
        <v>18737.879446153871</v>
      </c>
      <c r="M87" s="15"/>
      <c r="N87" s="32">
        <f>IF(H87=0,0,L87/H87)</f>
        <v>-0.35517320051180246</v>
      </c>
      <c r="O87" s="29"/>
      <c r="P87" s="33">
        <f>SUM(P84:P86)</f>
        <v>-413506.18</v>
      </c>
      <c r="Q87" s="14"/>
      <c r="R87" s="32">
        <f>IF(P$12=0,0,P87/P$12)</f>
        <v>0</v>
      </c>
      <c r="S87" s="14"/>
      <c r="T87" s="33">
        <f>SUM(T84:T86)</f>
        <v>-510111.63523076911</v>
      </c>
      <c r="U87" s="14"/>
      <c r="V87" s="32">
        <f>IF(T$12=0,0,T87/T$12)</f>
        <v>0</v>
      </c>
      <c r="W87" s="15"/>
      <c r="X87" s="33">
        <f>+P87-T87</f>
        <v>96605.455230769119</v>
      </c>
      <c r="Y87" s="15"/>
      <c r="Z87" s="32">
        <f>IF(T87=0,0,X87/T87)</f>
        <v>-0.18938100713398909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60">
        <v>44356.891834571761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5" t="s">
        <v>56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63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","202", " - ", "Accounting")</f>
        <v>Department 202 - Accounting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0">
        <f>D12-D15</f>
        <v>0</v>
      </c>
      <c r="E17" s="14"/>
      <c r="F17" s="21">
        <f>IF(D$12=0,0,D17/D$12)</f>
        <v>0</v>
      </c>
      <c r="G17" s="14"/>
      <c r="H17" s="20">
        <f>H12-H15</f>
        <v>0</v>
      </c>
      <c r="I17" s="14"/>
      <c r="J17" s="21">
        <f>IF(H$12=0,0,H17/H$12)</f>
        <v>0</v>
      </c>
      <c r="K17" s="15"/>
      <c r="L17" s="20">
        <f>+D17-H17</f>
        <v>0</v>
      </c>
      <c r="M17" s="15"/>
      <c r="N17" s="21">
        <f>IF(H17=0,0,L17/H17)</f>
        <v>0</v>
      </c>
      <c r="O17" s="29"/>
      <c r="P17" s="20">
        <f>P12-P15</f>
        <v>0</v>
      </c>
      <c r="Q17" s="14"/>
      <c r="R17" s="21">
        <f>IF(P$12=0,0,P17/P$12)</f>
        <v>0</v>
      </c>
      <c r="S17" s="14"/>
      <c r="T17" s="20">
        <f>T12-T15</f>
        <v>0</v>
      </c>
      <c r="U17" s="14"/>
      <c r="V17" s="21">
        <f>IF(T$12=0,0,T17/T$12)</f>
        <v>0</v>
      </c>
      <c r="W17" s="15"/>
      <c r="X17" s="20">
        <f>+P17-T17</f>
        <v>0</v>
      </c>
      <c r="Y17" s="15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2">
        <f>SUM(OSRRefD22x_0)</f>
        <v>36932.669999999984</v>
      </c>
      <c r="E19" s="22"/>
      <c r="F19" s="31">
        <f t="shared" ref="F19:F29" si="4">IF(D$12=0,0,D19/D$12)</f>
        <v>0</v>
      </c>
      <c r="G19" s="22"/>
      <c r="H19" s="22">
        <f>SUM(OSRRefH22x_0)</f>
        <v>35590.482495384662</v>
      </c>
      <c r="I19" s="22"/>
      <c r="J19" s="31">
        <f t="shared" ref="J19:J29" si="5">IF(H$12=0,0,H19/H$12)</f>
        <v>0</v>
      </c>
      <c r="K19" s="4"/>
      <c r="L19" s="22">
        <f t="shared" ref="L19:L29" si="6">+D19-H19</f>
        <v>1342.1875046153218</v>
      </c>
      <c r="M19" s="4"/>
      <c r="N19" s="31">
        <f t="shared" ref="N19:N29" si="7">IF(H19=0,0,L19/H19)</f>
        <v>3.7711978329863199E-2</v>
      </c>
      <c r="O19" s="10"/>
      <c r="P19" s="22">
        <f>SUM(OSRRefP22x_0)</f>
        <v>453992.93999999994</v>
      </c>
      <c r="Q19" s="22"/>
      <c r="R19" s="31">
        <f t="shared" ref="R19:R29" si="8">IF(P$12=0,0,P19/P$12)</f>
        <v>0</v>
      </c>
      <c r="S19" s="22"/>
      <c r="T19" s="22">
        <f>SUM(OSRRefT22x_0)</f>
        <v>454693.12922461564</v>
      </c>
      <c r="U19" s="22"/>
      <c r="V19" s="31">
        <f t="shared" ref="V19:V29" si="9">IF(T$12=0,0,T19/T$12)</f>
        <v>0</v>
      </c>
      <c r="W19" s="4"/>
      <c r="X19" s="22">
        <f t="shared" ref="X19:X29" si="10">+P19-T19</f>
        <v>-700.18922461569309</v>
      </c>
      <c r="Y19" s="4"/>
      <c r="Z19" s="31">
        <f t="shared" ref="Z19:Z29" si="11">IF(T19=0,0,X19/T19)</f>
        <v>-1.5399159996319274E-3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12953.349999999999</v>
      </c>
      <c r="E20" s="1"/>
      <c r="F20" s="5">
        <f t="shared" si="4"/>
        <v>0</v>
      </c>
      <c r="G20" s="1"/>
      <c r="H20" s="1">
        <f>SUM(OSRRefH22_0x_0)</f>
        <v>11822.667110769233</v>
      </c>
      <c r="I20" s="1"/>
      <c r="J20" s="5">
        <f t="shared" si="5"/>
        <v>0</v>
      </c>
      <c r="K20" s="1"/>
      <c r="L20" s="1">
        <f t="shared" si="6"/>
        <v>1130.6828892307658</v>
      </c>
      <c r="M20" s="1"/>
      <c r="N20" s="5">
        <f t="shared" si="7"/>
        <v>9.56368709900349E-2</v>
      </c>
      <c r="O20" s="13"/>
      <c r="P20" s="1">
        <f>SUM(OSRRefP22_0x_0)</f>
        <v>147015.85</v>
      </c>
      <c r="Q20" s="1"/>
      <c r="R20" s="5">
        <f t="shared" si="8"/>
        <v>0</v>
      </c>
      <c r="S20" s="1"/>
      <c r="T20" s="1">
        <f>SUM(OSRRefT22_0x_0)</f>
        <v>134666.14460923086</v>
      </c>
      <c r="U20" s="1"/>
      <c r="V20" s="5">
        <f t="shared" si="9"/>
        <v>0</v>
      </c>
      <c r="W20" s="1"/>
      <c r="X20" s="1">
        <f t="shared" si="10"/>
        <v>12349.705390769144</v>
      </c>
      <c r="Y20" s="1"/>
      <c r="Z20" s="5">
        <f t="shared" si="11"/>
        <v>9.1706088613474859E-2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7">
        <v>1630.13</v>
      </c>
      <c r="E21" s="2"/>
      <c r="F21" s="6">
        <f t="shared" si="4"/>
        <v>0</v>
      </c>
      <c r="G21" s="2"/>
      <c r="H21" s="7">
        <v>1625.37946153846</v>
      </c>
      <c r="I21" s="2"/>
      <c r="J21" s="6">
        <f t="shared" si="5"/>
        <v>0</v>
      </c>
      <c r="K21" s="2"/>
      <c r="L21" s="7">
        <f t="shared" si="6"/>
        <v>4.7505384615401454</v>
      </c>
      <c r="M21" s="2"/>
      <c r="N21" s="6">
        <f t="shared" si="7"/>
        <v>2.922725784318481E-3</v>
      </c>
      <c r="O21" s="11"/>
      <c r="P21" s="7">
        <v>20769.900000000001</v>
      </c>
      <c r="Q21" s="2"/>
      <c r="R21" s="6">
        <f t="shared" si="8"/>
        <v>0</v>
      </c>
      <c r="S21" s="2"/>
      <c r="T21" s="7">
        <v>19504.5535384615</v>
      </c>
      <c r="U21" s="2"/>
      <c r="V21" s="6">
        <f t="shared" si="9"/>
        <v>0</v>
      </c>
      <c r="W21" s="2"/>
      <c r="X21" s="7">
        <f t="shared" si="10"/>
        <v>1265.3464615385019</v>
      </c>
      <c r="Y21" s="2"/>
      <c r="Z21" s="6">
        <f t="shared" si="11"/>
        <v>6.4874412995064704E-2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7">
        <v>105.6</v>
      </c>
      <c r="E22" s="2"/>
      <c r="F22" s="6">
        <f t="shared" si="4"/>
        <v>0</v>
      </c>
      <c r="G22" s="2"/>
      <c r="H22" s="7">
        <v>73.793483076923096</v>
      </c>
      <c r="I22" s="2"/>
      <c r="J22" s="6">
        <f t="shared" si="5"/>
        <v>0</v>
      </c>
      <c r="K22" s="2"/>
      <c r="L22" s="7">
        <f t="shared" si="6"/>
        <v>31.806516923076899</v>
      </c>
      <c r="M22" s="2"/>
      <c r="N22" s="6">
        <f t="shared" si="7"/>
        <v>0.43102067549679768</v>
      </c>
      <c r="O22" s="11"/>
      <c r="P22" s="7">
        <v>894.13</v>
      </c>
      <c r="Q22" s="2"/>
      <c r="R22" s="6">
        <f t="shared" si="8"/>
        <v>0</v>
      </c>
      <c r="S22" s="2"/>
      <c r="T22" s="7">
        <v>879.44715692307705</v>
      </c>
      <c r="U22" s="2"/>
      <c r="V22" s="6">
        <f t="shared" si="9"/>
        <v>0</v>
      </c>
      <c r="W22" s="2"/>
      <c r="X22" s="7">
        <f t="shared" si="10"/>
        <v>14.68284307692295</v>
      </c>
      <c r="Y22" s="2"/>
      <c r="Z22" s="6">
        <f t="shared" si="11"/>
        <v>1.6695537601478901E-2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7">
        <v>6236.66</v>
      </c>
      <c r="E23" s="2"/>
      <c r="F23" s="6">
        <f t="shared" si="4"/>
        <v>0</v>
      </c>
      <c r="G23" s="2"/>
      <c r="H23" s="7">
        <v>5415</v>
      </c>
      <c r="I23" s="2"/>
      <c r="J23" s="6">
        <f t="shared" si="5"/>
        <v>0</v>
      </c>
      <c r="K23" s="2"/>
      <c r="L23" s="7">
        <f t="shared" si="6"/>
        <v>821.65999999999985</v>
      </c>
      <c r="M23" s="2"/>
      <c r="N23" s="6">
        <f t="shared" si="7"/>
        <v>0.1517377654662973</v>
      </c>
      <c r="O23" s="11"/>
      <c r="P23" s="7">
        <v>66624.58</v>
      </c>
      <c r="Q23" s="2"/>
      <c r="R23" s="6">
        <f t="shared" si="8"/>
        <v>0</v>
      </c>
      <c r="S23" s="2"/>
      <c r="T23" s="7">
        <v>59565</v>
      </c>
      <c r="U23" s="2"/>
      <c r="V23" s="6">
        <f t="shared" si="9"/>
        <v>0</v>
      </c>
      <c r="W23" s="2"/>
      <c r="X23" s="7">
        <f t="shared" si="10"/>
        <v>7059.5800000000017</v>
      </c>
      <c r="Y23" s="2"/>
      <c r="Z23" s="6">
        <f t="shared" si="11"/>
        <v>0.1185189289012004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7">
        <v>83.2</v>
      </c>
      <c r="E24" s="2"/>
      <c r="F24" s="6">
        <f t="shared" si="4"/>
        <v>0</v>
      </c>
      <c r="G24" s="2"/>
      <c r="H24" s="7">
        <v>58.140320000000003</v>
      </c>
      <c r="I24" s="2"/>
      <c r="J24" s="6">
        <f t="shared" si="5"/>
        <v>0</v>
      </c>
      <c r="K24" s="2"/>
      <c r="L24" s="7">
        <f t="shared" si="6"/>
        <v>25.05968</v>
      </c>
      <c r="M24" s="2"/>
      <c r="N24" s="6">
        <f t="shared" si="7"/>
        <v>0.43102067549679807</v>
      </c>
      <c r="O24" s="11"/>
      <c r="P24" s="7">
        <v>704.43</v>
      </c>
      <c r="Q24" s="2"/>
      <c r="R24" s="6">
        <f t="shared" si="8"/>
        <v>0</v>
      </c>
      <c r="S24" s="2"/>
      <c r="T24" s="7">
        <v>692.89775999999995</v>
      </c>
      <c r="U24" s="2"/>
      <c r="V24" s="6">
        <f t="shared" si="9"/>
        <v>0</v>
      </c>
      <c r="W24" s="2"/>
      <c r="X24" s="7">
        <f t="shared" si="10"/>
        <v>11.532240000000002</v>
      </c>
      <c r="Y24" s="2"/>
      <c r="Z24" s="6">
        <f t="shared" si="11"/>
        <v>1.6643494416838645E-2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7">
        <v>1978.76</v>
      </c>
      <c r="E25" s="2"/>
      <c r="F25" s="6">
        <f t="shared" si="4"/>
        <v>0</v>
      </c>
      <c r="G25" s="2"/>
      <c r="H25" s="7">
        <v>1826.5076923076899</v>
      </c>
      <c r="I25" s="2"/>
      <c r="J25" s="6">
        <f t="shared" si="5"/>
        <v>0</v>
      </c>
      <c r="K25" s="2"/>
      <c r="L25" s="7">
        <f t="shared" si="6"/>
        <v>152.25230769231007</v>
      </c>
      <c r="M25" s="2"/>
      <c r="N25" s="6">
        <f t="shared" si="7"/>
        <v>8.3357058025826228E-2</v>
      </c>
      <c r="O25" s="11"/>
      <c r="P25" s="7">
        <v>24596.43</v>
      </c>
      <c r="Q25" s="2"/>
      <c r="R25" s="6">
        <f t="shared" si="8"/>
        <v>0</v>
      </c>
      <c r="S25" s="2"/>
      <c r="T25" s="7">
        <v>21918.092307692299</v>
      </c>
      <c r="U25" s="2"/>
      <c r="V25" s="6">
        <f t="shared" si="9"/>
        <v>0</v>
      </c>
      <c r="W25" s="2"/>
      <c r="X25" s="7">
        <f t="shared" si="10"/>
        <v>2678.3376923077012</v>
      </c>
      <c r="Y25" s="2"/>
      <c r="Z25" s="6">
        <f t="shared" si="11"/>
        <v>0.12219757334299212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7">
        <v>1606.1</v>
      </c>
      <c r="E27" s="2"/>
      <c r="F27" s="6">
        <f t="shared" si="4"/>
        <v>0</v>
      </c>
      <c r="G27" s="2"/>
      <c r="H27" s="7">
        <v>1061.9230769230801</v>
      </c>
      <c r="I27" s="2"/>
      <c r="J27" s="6">
        <f t="shared" si="5"/>
        <v>0</v>
      </c>
      <c r="K27" s="2"/>
      <c r="L27" s="7">
        <f t="shared" si="6"/>
        <v>544.17692307691982</v>
      </c>
      <c r="M27" s="2"/>
      <c r="N27" s="6">
        <f t="shared" si="7"/>
        <v>0.51244476638898495</v>
      </c>
      <c r="O27" s="11"/>
      <c r="P27" s="7">
        <v>18931.22</v>
      </c>
      <c r="Q27" s="2"/>
      <c r="R27" s="6">
        <f t="shared" si="8"/>
        <v>0</v>
      </c>
      <c r="S27" s="2"/>
      <c r="T27" s="7">
        <v>12743.076923077</v>
      </c>
      <c r="U27" s="2"/>
      <c r="V27" s="6">
        <f t="shared" si="9"/>
        <v>0</v>
      </c>
      <c r="W27" s="2"/>
      <c r="X27" s="7">
        <f t="shared" si="10"/>
        <v>6188.143076923001</v>
      </c>
      <c r="Y27" s="2"/>
      <c r="Z27" s="6">
        <f t="shared" si="11"/>
        <v>0.48560823373173079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7">
        <v>979.42</v>
      </c>
      <c r="E28" s="2"/>
      <c r="F28" s="6">
        <f t="shared" si="4"/>
        <v>0</v>
      </c>
      <c r="G28" s="2"/>
      <c r="H28" s="7">
        <v>1061.9230769230801</v>
      </c>
      <c r="I28" s="2"/>
      <c r="J28" s="6">
        <f t="shared" si="5"/>
        <v>0</v>
      </c>
      <c r="K28" s="2"/>
      <c r="L28" s="7">
        <f t="shared" si="6"/>
        <v>-82.50307692308013</v>
      </c>
      <c r="M28" s="2"/>
      <c r="N28" s="6">
        <f t="shared" si="7"/>
        <v>-7.7692140528796708E-2</v>
      </c>
      <c r="O28" s="11"/>
      <c r="P28" s="7">
        <v>11753.04</v>
      </c>
      <c r="Q28" s="2"/>
      <c r="R28" s="6">
        <f t="shared" si="8"/>
        <v>0</v>
      </c>
      <c r="S28" s="2"/>
      <c r="T28" s="7">
        <v>12743.076923077</v>
      </c>
      <c r="U28" s="2"/>
      <c r="V28" s="6">
        <f t="shared" si="9"/>
        <v>0</v>
      </c>
      <c r="W28" s="2"/>
      <c r="X28" s="7">
        <f t="shared" si="10"/>
        <v>-990.0369230769993</v>
      </c>
      <c r="Y28" s="2"/>
      <c r="Z28" s="6">
        <f t="shared" si="11"/>
        <v>-7.7692140528799428E-2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7">
        <v>333.48</v>
      </c>
      <c r="E29" s="2"/>
      <c r="F29" s="6">
        <f t="shared" si="4"/>
        <v>0</v>
      </c>
      <c r="G29" s="2"/>
      <c r="H29" s="7">
        <v>700</v>
      </c>
      <c r="I29" s="2"/>
      <c r="J29" s="6">
        <f t="shared" si="5"/>
        <v>0</v>
      </c>
      <c r="K29" s="2"/>
      <c r="L29" s="7">
        <f t="shared" si="6"/>
        <v>-366.52</v>
      </c>
      <c r="M29" s="2"/>
      <c r="N29" s="6">
        <f t="shared" si="7"/>
        <v>-0.52359999999999995</v>
      </c>
      <c r="O29" s="11"/>
      <c r="P29" s="7">
        <v>2742.12</v>
      </c>
      <c r="Q29" s="2"/>
      <c r="R29" s="6">
        <f t="shared" si="8"/>
        <v>0</v>
      </c>
      <c r="S29" s="2"/>
      <c r="T29" s="7">
        <v>6620</v>
      </c>
      <c r="U29" s="2"/>
      <c r="V29" s="6">
        <f t="shared" si="9"/>
        <v>0</v>
      </c>
      <c r="W29" s="2"/>
      <c r="X29" s="7">
        <f t="shared" si="10"/>
        <v>-3877.88</v>
      </c>
      <c r="Y29" s="2"/>
      <c r="Z29" s="6">
        <f t="shared" si="11"/>
        <v>-0.58578247734138977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20984.26</v>
      </c>
      <c r="E30" s="1"/>
      <c r="F30" s="5">
        <f t="shared" ref="F30:F40" si="12">IF(D$12=0,0,D30/D$12)</f>
        <v>0</v>
      </c>
      <c r="G30" s="1"/>
      <c r="H30" s="1">
        <f>SUM(OSRRefH22_1x_0)</f>
        <v>20237.815384615431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746.44461538456744</v>
      </c>
      <c r="M30" s="1"/>
      <c r="N30" s="5">
        <f t="shared" ref="N30:N40" si="15">IF(H30=0,0,L30/H30)</f>
        <v>3.6883655730549185E-2</v>
      </c>
      <c r="O30" s="13"/>
      <c r="P30" s="1">
        <f>SUM(OSRRefP22_1x_0)</f>
        <v>234179.02000000002</v>
      </c>
      <c r="Q30" s="1"/>
      <c r="R30" s="5">
        <f t="shared" ref="R30:R40" si="16">IF(P$12=0,0,P30/P$12)</f>
        <v>0</v>
      </c>
      <c r="S30" s="1"/>
      <c r="T30" s="1">
        <f>SUM(OSRRefT22_1x_0)</f>
        <v>241012.9846153848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-6833.9646153847862</v>
      </c>
      <c r="Y30" s="1"/>
      <c r="Z30" s="5">
        <f t="shared" ref="Z30:Z40" si="19">IF(T30=0,0,X30/T30)</f>
        <v>-2.835517192690102E-2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12"/>
        <v>0</v>
      </c>
      <c r="G31" s="2"/>
      <c r="H31" s="7">
        <v>5420.7692307692296</v>
      </c>
      <c r="I31" s="2"/>
      <c r="J31" s="6">
        <f t="shared" si="13"/>
        <v>0</v>
      </c>
      <c r="K31" s="2"/>
      <c r="L31" s="7">
        <f t="shared" si="14"/>
        <v>-5420.7692307692296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65049.230769230802</v>
      </c>
      <c r="U31" s="2"/>
      <c r="V31" s="6">
        <f t="shared" si="17"/>
        <v>0</v>
      </c>
      <c r="W31" s="2"/>
      <c r="X31" s="7">
        <f t="shared" si="18"/>
        <v>-65049.230769230802</v>
      </c>
      <c r="Y31" s="2"/>
      <c r="Z31" s="6">
        <f t="shared" si="19"/>
        <v>-1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>
        <v>20984.26</v>
      </c>
      <c r="E32" s="2"/>
      <c r="F32" s="6">
        <f t="shared" si="12"/>
        <v>0</v>
      </c>
      <c r="G32" s="2"/>
      <c r="H32" s="7">
        <v>13693.8461538462</v>
      </c>
      <c r="I32" s="2"/>
      <c r="J32" s="6">
        <f t="shared" si="13"/>
        <v>0</v>
      </c>
      <c r="K32" s="2"/>
      <c r="L32" s="7">
        <f t="shared" si="14"/>
        <v>7290.4138461537987</v>
      </c>
      <c r="M32" s="2"/>
      <c r="N32" s="6">
        <f t="shared" si="15"/>
        <v>0.53238613638916454</v>
      </c>
      <c r="O32" s="11"/>
      <c r="P32" s="7">
        <v>233797.26</v>
      </c>
      <c r="Q32" s="2"/>
      <c r="R32" s="6">
        <f t="shared" si="16"/>
        <v>0</v>
      </c>
      <c r="S32" s="2"/>
      <c r="T32" s="7">
        <v>164326.15384615399</v>
      </c>
      <c r="U32" s="2"/>
      <c r="V32" s="6">
        <f t="shared" si="17"/>
        <v>0</v>
      </c>
      <c r="W32" s="2"/>
      <c r="X32" s="7">
        <f t="shared" si="18"/>
        <v>69471.10615384602</v>
      </c>
      <c r="Y32" s="2"/>
      <c r="Z32" s="6">
        <f t="shared" si="19"/>
        <v>0.42276353780473985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>
        <v>265.48</v>
      </c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265.48</v>
      </c>
      <c r="Y35" s="2"/>
      <c r="Z35" s="6">
        <f t="shared" si="19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>
        <v>116.28</v>
      </c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116.28</v>
      </c>
      <c r="Y37" s="2"/>
      <c r="Z37" s="6">
        <f t="shared" si="19"/>
        <v>0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1123.2</v>
      </c>
      <c r="I38" s="2"/>
      <c r="J38" s="6">
        <f t="shared" si="13"/>
        <v>0</v>
      </c>
      <c r="K38" s="2"/>
      <c r="L38" s="7">
        <f t="shared" si="14"/>
        <v>-1123.2</v>
      </c>
      <c r="M38" s="2"/>
      <c r="N38" s="6">
        <f t="shared" si="15"/>
        <v>-1</v>
      </c>
      <c r="O38" s="11"/>
      <c r="P38" s="7"/>
      <c r="Q38" s="2"/>
      <c r="R38" s="6">
        <f t="shared" si="16"/>
        <v>0</v>
      </c>
      <c r="S38" s="2"/>
      <c r="T38" s="7">
        <v>11637.6</v>
      </c>
      <c r="U38" s="2"/>
      <c r="V38" s="6">
        <f t="shared" si="17"/>
        <v>0</v>
      </c>
      <c r="W38" s="2"/>
      <c r="X38" s="7">
        <f t="shared" si="18"/>
        <v>-11637.6</v>
      </c>
      <c r="Y38" s="2"/>
      <c r="Z38" s="6">
        <f t="shared" si="19"/>
        <v>-1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7" customFormat="1" outlineLevel="1" collapsed="1" x14ac:dyDescent="0.25">
      <c r="A41" s="26"/>
      <c r="B41" s="13" t="str">
        <f>CONCATENATE("     ","Depreciation                                      ")</f>
        <v xml:space="preserve">     Depreciation                                      </v>
      </c>
      <c r="C41" s="13"/>
      <c r="D41" s="1">
        <f>SUM(OSRRefD22_2x_0)</f>
        <v>1558.88</v>
      </c>
      <c r="E41" s="1"/>
      <c r="F41" s="5">
        <f t="shared" ref="F41:F47" si="20">IF(D$12=0,0,D41/D$12)</f>
        <v>0</v>
      </c>
      <c r="G41" s="1"/>
      <c r="H41" s="1">
        <f>SUM(OSRRefH22_2x_0)</f>
        <v>1559</v>
      </c>
      <c r="I41" s="1"/>
      <c r="J41" s="5">
        <f t="shared" ref="J41:J47" si="21">IF(H$12=0,0,H41/H$12)</f>
        <v>0</v>
      </c>
      <c r="K41" s="1"/>
      <c r="L41" s="1">
        <f t="shared" ref="L41:L47" si="22">+D41-H41</f>
        <v>-0.11999999999989086</v>
      </c>
      <c r="M41" s="1"/>
      <c r="N41" s="5">
        <f t="shared" ref="N41:N47" si="23">IF(H41=0,0,L41/H41)</f>
        <v>-7.6972418216735637E-5</v>
      </c>
      <c r="O41" s="13"/>
      <c r="P41" s="1">
        <f>SUM(OSRRefP22_2x_0)</f>
        <v>17147.68</v>
      </c>
      <c r="Q41" s="1"/>
      <c r="R41" s="5">
        <f t="shared" ref="R41:R47" si="24">IF(P$12=0,0,P41/P$12)</f>
        <v>0</v>
      </c>
      <c r="S41" s="1"/>
      <c r="T41" s="1">
        <f>SUM(OSRRefT22_2x_0)</f>
        <v>17149</v>
      </c>
      <c r="U41" s="1"/>
      <c r="V41" s="5">
        <f t="shared" ref="V41:V47" si="25">IF(T$12=0,0,T41/T$12)</f>
        <v>0</v>
      </c>
      <c r="W41" s="1"/>
      <c r="X41" s="1">
        <f t="shared" ref="X41:X47" si="26">+P41-T41</f>
        <v>-1.319999999999709</v>
      </c>
      <c r="Y41" s="1"/>
      <c r="Z41" s="5">
        <f t="shared" ref="Z41:Z47" si="27">IF(T41=0,0,X41/T41)</f>
        <v>-7.6972418216788668E-5</v>
      </c>
    </row>
    <row r="42" spans="1:26" s="24" customFormat="1" hidden="1" outlineLevel="2" x14ac:dyDescent="0.25">
      <c r="A42" s="25"/>
      <c r="B42" s="11" t="str">
        <f>CONCATENATE("          ", "6322", " - ", "EQUIPMENT DEPRECIATION EXPENSE")</f>
        <v xml:space="preserve">          6322 - EQUIPMENT DEPRECIATION EXPENSE</v>
      </c>
      <c r="C42" s="11"/>
      <c r="D42" s="7">
        <v>1558.88</v>
      </c>
      <c r="E42" s="2"/>
      <c r="F42" s="6">
        <f t="shared" si="20"/>
        <v>0</v>
      </c>
      <c r="G42" s="2"/>
      <c r="H42" s="7">
        <v>1559</v>
      </c>
      <c r="I42" s="2"/>
      <c r="J42" s="6">
        <f t="shared" si="21"/>
        <v>0</v>
      </c>
      <c r="K42" s="2"/>
      <c r="L42" s="7">
        <f t="shared" si="22"/>
        <v>-0.11999999999989086</v>
      </c>
      <c r="M42" s="2"/>
      <c r="N42" s="6">
        <f t="shared" si="23"/>
        <v>-7.6972418216735637E-5</v>
      </c>
      <c r="O42" s="11"/>
      <c r="P42" s="7">
        <v>17147.68</v>
      </c>
      <c r="Q42" s="2"/>
      <c r="R42" s="6">
        <f t="shared" si="24"/>
        <v>0</v>
      </c>
      <c r="S42" s="2"/>
      <c r="T42" s="7">
        <v>17149</v>
      </c>
      <c r="U42" s="2"/>
      <c r="V42" s="6">
        <f t="shared" si="25"/>
        <v>0</v>
      </c>
      <c r="W42" s="2"/>
      <c r="X42" s="7">
        <f t="shared" si="26"/>
        <v>-1.319999999999709</v>
      </c>
      <c r="Y42" s="2"/>
      <c r="Z42" s="6">
        <f t="shared" si="27"/>
        <v>-7.6972418216788668E-5</v>
      </c>
    </row>
    <row r="43" spans="1:26" s="27" customFormat="1" outlineLevel="1" collapsed="1" x14ac:dyDescent="0.25">
      <c r="A43" s="26"/>
      <c r="B43" s="13" t="str">
        <f>CONCATENATE("     ","Equipment Rental                                  ")</f>
        <v xml:space="preserve">     Equipment Rental                                  </v>
      </c>
      <c r="C43" s="13"/>
      <c r="D43" s="1">
        <f>SUM(OSRRefD22_3x_0)</f>
        <v>91.26</v>
      </c>
      <c r="E43" s="1"/>
      <c r="F43" s="5">
        <f t="shared" si="20"/>
        <v>0</v>
      </c>
      <c r="G43" s="1"/>
      <c r="H43" s="1">
        <f>SUM(OSRRefH22_3x_0)</f>
        <v>91</v>
      </c>
      <c r="I43" s="1"/>
      <c r="J43" s="5">
        <f t="shared" si="21"/>
        <v>0</v>
      </c>
      <c r="K43" s="1"/>
      <c r="L43" s="1">
        <f t="shared" si="22"/>
        <v>0.26000000000000512</v>
      </c>
      <c r="M43" s="1"/>
      <c r="N43" s="5">
        <f t="shared" si="23"/>
        <v>2.8571428571429135E-3</v>
      </c>
      <c r="O43" s="13"/>
      <c r="P43" s="1">
        <f>SUM(OSRRefP22_3x_0)</f>
        <v>1003.86</v>
      </c>
      <c r="Q43" s="1"/>
      <c r="R43" s="5">
        <f t="shared" si="24"/>
        <v>0</v>
      </c>
      <c r="S43" s="1"/>
      <c r="T43" s="1">
        <f>SUM(OSRRefT22_3x_0)</f>
        <v>1001</v>
      </c>
      <c r="U43" s="1"/>
      <c r="V43" s="5">
        <f t="shared" si="25"/>
        <v>0</v>
      </c>
      <c r="W43" s="1"/>
      <c r="X43" s="1">
        <f t="shared" si="26"/>
        <v>2.8600000000000136</v>
      </c>
      <c r="Y43" s="1"/>
      <c r="Z43" s="5">
        <f t="shared" si="27"/>
        <v>2.8571428571428706E-3</v>
      </c>
    </row>
    <row r="44" spans="1:26" s="24" customFormat="1" hidden="1" outlineLevel="2" x14ac:dyDescent="0.25">
      <c r="A44" s="25"/>
      <c r="B44" s="11" t="str">
        <f>CONCATENATE("          ", "6351", " - ", "EQUIPMENT RENTAL")</f>
        <v xml:space="preserve">          6351 - EQUIPMENT RENTAL</v>
      </c>
      <c r="C44" s="11"/>
      <c r="D44" s="7">
        <v>91.26</v>
      </c>
      <c r="E44" s="2"/>
      <c r="F44" s="6">
        <f t="shared" si="20"/>
        <v>0</v>
      </c>
      <c r="G44" s="2"/>
      <c r="H44" s="7">
        <v>91</v>
      </c>
      <c r="I44" s="2"/>
      <c r="J44" s="6">
        <f t="shared" si="21"/>
        <v>0</v>
      </c>
      <c r="K44" s="2"/>
      <c r="L44" s="7">
        <f t="shared" si="22"/>
        <v>0.26000000000000512</v>
      </c>
      <c r="M44" s="2"/>
      <c r="N44" s="6">
        <f t="shared" si="23"/>
        <v>2.8571428571429135E-3</v>
      </c>
      <c r="O44" s="11"/>
      <c r="P44" s="7">
        <v>1003.86</v>
      </c>
      <c r="Q44" s="2"/>
      <c r="R44" s="6">
        <f t="shared" si="24"/>
        <v>0</v>
      </c>
      <c r="S44" s="2"/>
      <c r="T44" s="7">
        <v>1001</v>
      </c>
      <c r="U44" s="2"/>
      <c r="V44" s="6">
        <f t="shared" si="25"/>
        <v>0</v>
      </c>
      <c r="W44" s="2"/>
      <c r="X44" s="7">
        <f t="shared" si="26"/>
        <v>2.8600000000000136</v>
      </c>
      <c r="Y44" s="2"/>
      <c r="Z44" s="6">
        <f t="shared" si="27"/>
        <v>2.8571428571428706E-3</v>
      </c>
    </row>
    <row r="45" spans="1:26" s="27" customFormat="1" outlineLevel="1" collapsed="1" x14ac:dyDescent="0.25">
      <c r="A45" s="26"/>
      <c r="B45" s="13" t="str">
        <f>CONCATENATE("     ","Freight out/Postage                               ")</f>
        <v xml:space="preserve">     Freight out/Postage                               </v>
      </c>
      <c r="C45" s="13"/>
      <c r="D45" s="1">
        <f>SUM(OSRRefD22_4x_0)</f>
        <v>84.52</v>
      </c>
      <c r="E45" s="1"/>
      <c r="F45" s="5">
        <f t="shared" si="20"/>
        <v>0</v>
      </c>
      <c r="G45" s="1"/>
      <c r="H45" s="1">
        <f>SUM(OSRRefH22_4x_0)</f>
        <v>100</v>
      </c>
      <c r="I45" s="1"/>
      <c r="J45" s="5">
        <f t="shared" si="21"/>
        <v>0</v>
      </c>
      <c r="K45" s="1"/>
      <c r="L45" s="1">
        <f t="shared" si="22"/>
        <v>-15.480000000000004</v>
      </c>
      <c r="M45" s="1"/>
      <c r="N45" s="5">
        <f t="shared" si="23"/>
        <v>-0.15480000000000005</v>
      </c>
      <c r="O45" s="13"/>
      <c r="P45" s="1">
        <f>SUM(OSRRefP22_4x_0)</f>
        <v>984.31</v>
      </c>
      <c r="Q45" s="1"/>
      <c r="R45" s="5">
        <f t="shared" si="24"/>
        <v>0</v>
      </c>
      <c r="S45" s="1"/>
      <c r="T45" s="1">
        <f>SUM(OSRRefT22_4x_0)</f>
        <v>1100</v>
      </c>
      <c r="U45" s="1"/>
      <c r="V45" s="5">
        <f t="shared" si="25"/>
        <v>0</v>
      </c>
      <c r="W45" s="1"/>
      <c r="X45" s="1">
        <f t="shared" si="26"/>
        <v>-115.69000000000005</v>
      </c>
      <c r="Y45" s="1"/>
      <c r="Z45" s="5">
        <f t="shared" si="27"/>
        <v>-0.10517272727272732</v>
      </c>
    </row>
    <row r="46" spans="1:26" s="24" customFormat="1" hidden="1" outlineLevel="2" x14ac:dyDescent="0.25">
      <c r="A46" s="25"/>
      <c r="B46" s="11" t="str">
        <f>CONCATENATE("          ", "6305", " - ", "FREIGHT OUT")</f>
        <v xml:space="preserve">          6305 - FREIGHT OUT</v>
      </c>
      <c r="C46" s="11"/>
      <c r="D46" s="7"/>
      <c r="E46" s="2"/>
      <c r="F46" s="6">
        <f t="shared" si="20"/>
        <v>0</v>
      </c>
      <c r="G46" s="2"/>
      <c r="H46" s="7"/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>
        <v>5.41</v>
      </c>
      <c r="Q46" s="2"/>
      <c r="R46" s="6">
        <f t="shared" si="24"/>
        <v>0</v>
      </c>
      <c r="S46" s="2"/>
      <c r="T46" s="7"/>
      <c r="U46" s="2"/>
      <c r="V46" s="6">
        <f t="shared" si="25"/>
        <v>0</v>
      </c>
      <c r="W46" s="2"/>
      <c r="X46" s="7">
        <f t="shared" si="26"/>
        <v>5.41</v>
      </c>
      <c r="Y46" s="2"/>
      <c r="Z46" s="6">
        <f t="shared" si="27"/>
        <v>0</v>
      </c>
    </row>
    <row r="47" spans="1:26" s="24" customFormat="1" hidden="1" outlineLevel="2" x14ac:dyDescent="0.25">
      <c r="A47" s="25"/>
      <c r="B47" s="11" t="str">
        <f>CONCATENATE("          ", "6307", " - ", "POSTAGE")</f>
        <v xml:space="preserve">          6307 - POSTAGE</v>
      </c>
      <c r="C47" s="11"/>
      <c r="D47" s="7">
        <v>84.52</v>
      </c>
      <c r="E47" s="2"/>
      <c r="F47" s="6">
        <f t="shared" si="20"/>
        <v>0</v>
      </c>
      <c r="G47" s="2"/>
      <c r="H47" s="7">
        <v>100</v>
      </c>
      <c r="I47" s="2"/>
      <c r="J47" s="6">
        <f t="shared" si="21"/>
        <v>0</v>
      </c>
      <c r="K47" s="2"/>
      <c r="L47" s="7">
        <f t="shared" si="22"/>
        <v>-15.480000000000004</v>
      </c>
      <c r="M47" s="2"/>
      <c r="N47" s="6">
        <f t="shared" si="23"/>
        <v>-0.15480000000000005</v>
      </c>
      <c r="O47" s="11"/>
      <c r="P47" s="7">
        <v>978.9</v>
      </c>
      <c r="Q47" s="2"/>
      <c r="R47" s="6">
        <f t="shared" si="24"/>
        <v>0</v>
      </c>
      <c r="S47" s="2"/>
      <c r="T47" s="7">
        <v>1100</v>
      </c>
      <c r="U47" s="2"/>
      <c r="V47" s="6">
        <f t="shared" si="25"/>
        <v>0</v>
      </c>
      <c r="W47" s="2"/>
      <c r="X47" s="7">
        <f t="shared" si="26"/>
        <v>-121.10000000000002</v>
      </c>
      <c r="Y47" s="2"/>
      <c r="Z47" s="6">
        <f t="shared" si="27"/>
        <v>-0.11009090909090911</v>
      </c>
    </row>
    <row r="48" spans="1:26" s="27" customFormat="1" outlineLevel="1" collapsed="1" x14ac:dyDescent="0.25">
      <c r="A48" s="26"/>
      <c r="B48" s="13" t="str">
        <f>CONCATENATE("     ","Insurance                                         ")</f>
        <v xml:space="preserve">     Insurance                                         </v>
      </c>
      <c r="C48" s="13"/>
      <c r="D48" s="1">
        <f>SUM(OSRRefD22_5x_0)</f>
        <v>132.16999999999999</v>
      </c>
      <c r="E48" s="1"/>
      <c r="F48" s="5">
        <f t="shared" ref="F48:F55" si="28">IF(D$12=0,0,D48/D$12)</f>
        <v>0</v>
      </c>
      <c r="G48" s="1"/>
      <c r="H48" s="1">
        <f>SUM(OSRRefH22_5x_0)</f>
        <v>145</v>
      </c>
      <c r="I48" s="1"/>
      <c r="J48" s="5">
        <f t="shared" ref="J48:J55" si="29">IF(H$12=0,0,H48/H$12)</f>
        <v>0</v>
      </c>
      <c r="K48" s="1"/>
      <c r="L48" s="1">
        <f t="shared" ref="L48:L55" si="30">+D48-H48</f>
        <v>-12.830000000000013</v>
      </c>
      <c r="M48" s="1"/>
      <c r="N48" s="5">
        <f t="shared" ref="N48:N55" si="31">IF(H48=0,0,L48/H48)</f>
        <v>-8.8482758620689744E-2</v>
      </c>
      <c r="O48" s="13"/>
      <c r="P48" s="1">
        <f>SUM(OSRRefP22_5x_0)</f>
        <v>1453.87</v>
      </c>
      <c r="Q48" s="1"/>
      <c r="R48" s="5">
        <f t="shared" ref="R48:R55" si="32">IF(P$12=0,0,P48/P$12)</f>
        <v>0</v>
      </c>
      <c r="S48" s="1"/>
      <c r="T48" s="1">
        <f>SUM(OSRRefT22_5x_0)</f>
        <v>1595</v>
      </c>
      <c r="U48" s="1"/>
      <c r="V48" s="5">
        <f t="shared" ref="V48:V55" si="33">IF(T$12=0,0,T48/T$12)</f>
        <v>0</v>
      </c>
      <c r="W48" s="1"/>
      <c r="X48" s="1">
        <f t="shared" ref="X48:X55" si="34">+P48-T48</f>
        <v>-141.13000000000011</v>
      </c>
      <c r="Y48" s="1"/>
      <c r="Z48" s="5">
        <f t="shared" ref="Z48:Z55" si="35">IF(T48=0,0,X48/T48)</f>
        <v>-8.848275862068973E-2</v>
      </c>
    </row>
    <row r="49" spans="1:26" s="24" customFormat="1" hidden="1" outlineLevel="2" x14ac:dyDescent="0.25">
      <c r="A49" s="25"/>
      <c r="B49" s="11" t="str">
        <f>CONCATENATE("          ", "6314", " - ", "LIABILITY INSURANCE")</f>
        <v xml:space="preserve">          6314 - LIABILITY INSURANCE</v>
      </c>
      <c r="C49" s="11"/>
      <c r="D49" s="7">
        <v>132.16999999999999</v>
      </c>
      <c r="E49" s="2"/>
      <c r="F49" s="6">
        <f t="shared" si="28"/>
        <v>0</v>
      </c>
      <c r="G49" s="2"/>
      <c r="H49" s="7">
        <v>145</v>
      </c>
      <c r="I49" s="2"/>
      <c r="J49" s="6">
        <f t="shared" si="29"/>
        <v>0</v>
      </c>
      <c r="K49" s="2"/>
      <c r="L49" s="7">
        <f t="shared" si="30"/>
        <v>-12.830000000000013</v>
      </c>
      <c r="M49" s="2"/>
      <c r="N49" s="6">
        <f t="shared" si="31"/>
        <v>-8.8482758620689744E-2</v>
      </c>
      <c r="O49" s="11"/>
      <c r="P49" s="7">
        <v>1453.87</v>
      </c>
      <c r="Q49" s="2"/>
      <c r="R49" s="6">
        <f t="shared" si="32"/>
        <v>0</v>
      </c>
      <c r="S49" s="2"/>
      <c r="T49" s="7">
        <v>1595</v>
      </c>
      <c r="U49" s="2"/>
      <c r="V49" s="6">
        <f t="shared" si="33"/>
        <v>0</v>
      </c>
      <c r="W49" s="2"/>
      <c r="X49" s="7">
        <f t="shared" si="34"/>
        <v>-141.13000000000011</v>
      </c>
      <c r="Y49" s="2"/>
      <c r="Z49" s="6">
        <f t="shared" si="35"/>
        <v>-8.848275862068973E-2</v>
      </c>
    </row>
    <row r="50" spans="1:26" s="27" customFormat="1" outlineLevel="1" collapsed="1" x14ac:dyDescent="0.25">
      <c r="A50" s="26"/>
      <c r="B50" s="13" t="str">
        <f>CONCATENATE("     ","Professional Services                             ")</f>
        <v xml:space="preserve">     Professional Services                             </v>
      </c>
      <c r="C50" s="13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250</v>
      </c>
      <c r="I50" s="1"/>
      <c r="J50" s="5">
        <f t="shared" si="29"/>
        <v>0</v>
      </c>
      <c r="K50" s="1"/>
      <c r="L50" s="1">
        <f t="shared" si="30"/>
        <v>-250</v>
      </c>
      <c r="M50" s="1"/>
      <c r="N50" s="5">
        <f t="shared" si="31"/>
        <v>-1</v>
      </c>
      <c r="O50" s="13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2750</v>
      </c>
      <c r="U50" s="1"/>
      <c r="V50" s="5">
        <f t="shared" si="33"/>
        <v>0</v>
      </c>
      <c r="W50" s="1"/>
      <c r="X50" s="1">
        <f t="shared" si="34"/>
        <v>-2750</v>
      </c>
      <c r="Y50" s="1"/>
      <c r="Z50" s="5">
        <f t="shared" si="35"/>
        <v>-1</v>
      </c>
    </row>
    <row r="51" spans="1:26" s="24" customFormat="1" hidden="1" outlineLevel="2" x14ac:dyDescent="0.25">
      <c r="A51" s="25"/>
      <c r="B51" s="11" t="str">
        <f>CONCATENATE("          ", "6332", " - ", "CONSULTANT FEES")</f>
        <v xml:space="preserve">          6332 - CONSULTANT FEES</v>
      </c>
      <c r="C51" s="11"/>
      <c r="D51" s="7"/>
      <c r="E51" s="2"/>
      <c r="F51" s="6">
        <f t="shared" si="28"/>
        <v>0</v>
      </c>
      <c r="G51" s="2"/>
      <c r="H51" s="7">
        <v>250</v>
      </c>
      <c r="I51" s="2"/>
      <c r="J51" s="6">
        <f t="shared" si="29"/>
        <v>0</v>
      </c>
      <c r="K51" s="2"/>
      <c r="L51" s="7">
        <f t="shared" si="30"/>
        <v>-250</v>
      </c>
      <c r="M51" s="2"/>
      <c r="N51" s="6">
        <f t="shared" si="31"/>
        <v>-1</v>
      </c>
      <c r="O51" s="11"/>
      <c r="P51" s="7"/>
      <c r="Q51" s="2"/>
      <c r="R51" s="6">
        <f t="shared" si="32"/>
        <v>0</v>
      </c>
      <c r="S51" s="2"/>
      <c r="T51" s="7">
        <v>2750</v>
      </c>
      <c r="U51" s="2"/>
      <c r="V51" s="6">
        <f t="shared" si="33"/>
        <v>0</v>
      </c>
      <c r="W51" s="2"/>
      <c r="X51" s="7">
        <f t="shared" si="34"/>
        <v>-2750</v>
      </c>
      <c r="Y51" s="2"/>
      <c r="Z51" s="6">
        <f t="shared" si="35"/>
        <v>-1</v>
      </c>
    </row>
    <row r="52" spans="1:26" s="27" customFormat="1" outlineLevel="1" collapsed="1" x14ac:dyDescent="0.25">
      <c r="A52" s="26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SUM(OSRRefD22_7x_0)</f>
        <v>69.010000000000005</v>
      </c>
      <c r="E52" s="1"/>
      <c r="F52" s="5">
        <f t="shared" si="28"/>
        <v>0</v>
      </c>
      <c r="G52" s="1"/>
      <c r="H52" s="1">
        <f>SUM(OSRRefH22_7x_0)</f>
        <v>60</v>
      </c>
      <c r="I52" s="1"/>
      <c r="J52" s="5">
        <f t="shared" si="29"/>
        <v>0</v>
      </c>
      <c r="K52" s="1"/>
      <c r="L52" s="1">
        <f t="shared" si="30"/>
        <v>9.0100000000000051</v>
      </c>
      <c r="M52" s="1"/>
      <c r="N52" s="5">
        <f t="shared" si="31"/>
        <v>0.15016666666666675</v>
      </c>
      <c r="O52" s="13"/>
      <c r="P52" s="1">
        <f>SUM(OSRRefP22_7x_0)</f>
        <v>37712.93</v>
      </c>
      <c r="Q52" s="1"/>
      <c r="R52" s="5">
        <f t="shared" si="32"/>
        <v>0</v>
      </c>
      <c r="S52" s="1"/>
      <c r="T52" s="1">
        <f>SUM(OSRRefT22_7x_0)</f>
        <v>31510</v>
      </c>
      <c r="U52" s="1"/>
      <c r="V52" s="5">
        <f t="shared" si="33"/>
        <v>0</v>
      </c>
      <c r="W52" s="1"/>
      <c r="X52" s="1">
        <f t="shared" si="34"/>
        <v>6202.93</v>
      </c>
      <c r="Y52" s="1"/>
      <c r="Z52" s="5">
        <f t="shared" si="35"/>
        <v>0.19685591875595049</v>
      </c>
    </row>
    <row r="53" spans="1:26" s="24" customFormat="1" hidden="1" outlineLevel="2" x14ac:dyDescent="0.25">
      <c r="A53" s="25"/>
      <c r="B53" s="11" t="str">
        <f>CONCATENATE("          ", "6371", " - ", "COMPUTER SOFTWARE MAINTENANCE")</f>
        <v xml:space="preserve">          6371 - COMPUTER SOFTWARE MAINTENANCE</v>
      </c>
      <c r="C53" s="11"/>
      <c r="D53" s="7">
        <v>59.95</v>
      </c>
      <c r="E53" s="2"/>
      <c r="F53" s="6">
        <f t="shared" si="28"/>
        <v>0</v>
      </c>
      <c r="G53" s="2"/>
      <c r="H53" s="7">
        <v>60</v>
      </c>
      <c r="I53" s="2"/>
      <c r="J53" s="6">
        <f t="shared" si="29"/>
        <v>0</v>
      </c>
      <c r="K53" s="2"/>
      <c r="L53" s="7">
        <f t="shared" si="30"/>
        <v>-4.9999999999997158E-2</v>
      </c>
      <c r="M53" s="2"/>
      <c r="N53" s="6">
        <f t="shared" si="31"/>
        <v>-8.3333333333328601E-4</v>
      </c>
      <c r="O53" s="11"/>
      <c r="P53" s="7">
        <v>32353.37</v>
      </c>
      <c r="Q53" s="2"/>
      <c r="R53" s="6">
        <f t="shared" si="32"/>
        <v>0</v>
      </c>
      <c r="S53" s="2"/>
      <c r="T53" s="7">
        <v>27060</v>
      </c>
      <c r="U53" s="2"/>
      <c r="V53" s="6">
        <f t="shared" si="33"/>
        <v>0</v>
      </c>
      <c r="W53" s="2"/>
      <c r="X53" s="7">
        <f t="shared" si="34"/>
        <v>5293.369999999999</v>
      </c>
      <c r="Y53" s="2"/>
      <c r="Z53" s="6">
        <f t="shared" si="35"/>
        <v>0.19561603843311157</v>
      </c>
    </row>
    <row r="54" spans="1:26" s="24" customFormat="1" hidden="1" outlineLevel="2" x14ac:dyDescent="0.25">
      <c r="A54" s="25"/>
      <c r="B54" s="11" t="str">
        <f>CONCATENATE("          ", "6373", " - ", "MAINTENANCE CONTRACTS")</f>
        <v xml:space="preserve">          6373 - MAINTENANCE CONTRACTS</v>
      </c>
      <c r="C54" s="11"/>
      <c r="D54" s="7">
        <v>9.06</v>
      </c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9.06</v>
      </c>
      <c r="M54" s="2"/>
      <c r="N54" s="6">
        <f t="shared" si="31"/>
        <v>0</v>
      </c>
      <c r="O54" s="11"/>
      <c r="P54" s="7">
        <v>5182.42</v>
      </c>
      <c r="Q54" s="2"/>
      <c r="R54" s="6">
        <f t="shared" si="32"/>
        <v>0</v>
      </c>
      <c r="S54" s="2"/>
      <c r="T54" s="7">
        <v>4450</v>
      </c>
      <c r="U54" s="2"/>
      <c r="V54" s="6">
        <f t="shared" si="33"/>
        <v>0</v>
      </c>
      <c r="W54" s="2"/>
      <c r="X54" s="7">
        <f t="shared" si="34"/>
        <v>732.42000000000007</v>
      </c>
      <c r="Y54" s="2"/>
      <c r="Z54" s="6">
        <f t="shared" si="35"/>
        <v>0.16458876404494382</v>
      </c>
    </row>
    <row r="55" spans="1:26" s="24" customFormat="1" hidden="1" outlineLevel="2" x14ac:dyDescent="0.25">
      <c r="A55" s="25"/>
      <c r="B55" s="11" t="str">
        <f>CONCATENATE("          ", "6375", " - ", "OUTSIDE REPAIRS &amp; MAINTENANCE")</f>
        <v xml:space="preserve">          6375 - OUTSIDE REPAIRS &amp; MAINTENANCE</v>
      </c>
      <c r="C55" s="11"/>
      <c r="D55" s="7"/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>
        <v>177.14</v>
      </c>
      <c r="Q55" s="2"/>
      <c r="R55" s="6">
        <f t="shared" si="32"/>
        <v>0</v>
      </c>
      <c r="S55" s="2"/>
      <c r="T55" s="7"/>
      <c r="U55" s="2"/>
      <c r="V55" s="6">
        <f t="shared" si="33"/>
        <v>0</v>
      </c>
      <c r="W55" s="2"/>
      <c r="X55" s="7">
        <f t="shared" si="34"/>
        <v>177.14</v>
      </c>
      <c r="Y55" s="2"/>
      <c r="Z55" s="6">
        <f t="shared" si="35"/>
        <v>0</v>
      </c>
    </row>
    <row r="56" spans="1:26" s="27" customFormat="1" outlineLevel="1" collapsed="1" x14ac:dyDescent="0.25">
      <c r="A56" s="26"/>
      <c r="B56" s="13" t="str">
        <f>CONCATENATE("     ","Services                                          ")</f>
        <v xml:space="preserve">     Services                                          </v>
      </c>
      <c r="C56" s="13"/>
      <c r="D56" s="1">
        <f>SUM(OSRRefD22_8x_0)</f>
        <v>621.34</v>
      </c>
      <c r="E56" s="1"/>
      <c r="F56" s="5">
        <f t="shared" ref="F56:F61" si="36">IF(D$12=0,0,D56/D$12)</f>
        <v>0</v>
      </c>
      <c r="G56" s="1"/>
      <c r="H56" s="1">
        <f>SUM(OSRRefH22_8x_0)</f>
        <v>500</v>
      </c>
      <c r="I56" s="1"/>
      <c r="J56" s="5">
        <f t="shared" ref="J56:J61" si="37">IF(H$12=0,0,H56/H$12)</f>
        <v>0</v>
      </c>
      <c r="K56" s="1"/>
      <c r="L56" s="1">
        <f t="shared" ref="L56:L61" si="38">+D56-H56</f>
        <v>121.34000000000003</v>
      </c>
      <c r="M56" s="1"/>
      <c r="N56" s="5">
        <f t="shared" ref="N56:N61" si="39">IF(H56=0,0,L56/H56)</f>
        <v>0.24268000000000006</v>
      </c>
      <c r="O56" s="13"/>
      <c r="P56" s="1">
        <f>SUM(OSRRefP22_8x_0)</f>
        <v>6201.68</v>
      </c>
      <c r="Q56" s="1"/>
      <c r="R56" s="5">
        <f t="shared" ref="R56:R61" si="40">IF(P$12=0,0,P56/P$12)</f>
        <v>0</v>
      </c>
      <c r="S56" s="1"/>
      <c r="T56" s="1">
        <f>SUM(OSRRefT22_8x_0)</f>
        <v>5500</v>
      </c>
      <c r="U56" s="1"/>
      <c r="V56" s="5">
        <f t="shared" ref="V56:V61" si="41">IF(T$12=0,0,T56/T$12)</f>
        <v>0</v>
      </c>
      <c r="W56" s="1"/>
      <c r="X56" s="1">
        <f t="shared" ref="X56:X61" si="42">+P56-T56</f>
        <v>701.68000000000029</v>
      </c>
      <c r="Y56" s="1"/>
      <c r="Z56" s="5">
        <f t="shared" ref="Z56:Z61" si="43">IF(T56=0,0,X56/T56)</f>
        <v>0.12757818181818187</v>
      </c>
    </row>
    <row r="57" spans="1:26" s="24" customFormat="1" hidden="1" outlineLevel="2" x14ac:dyDescent="0.25">
      <c r="A57" s="25"/>
      <c r="B57" s="11" t="str">
        <f>CONCATENATE("          ", "6281", " - ", "STORAGE FEE")</f>
        <v xml:space="preserve">          6281 - STORAGE FEE</v>
      </c>
      <c r="C57" s="11"/>
      <c r="D57" s="7">
        <v>621.34</v>
      </c>
      <c r="E57" s="2"/>
      <c r="F57" s="6">
        <f t="shared" si="36"/>
        <v>0</v>
      </c>
      <c r="G57" s="2"/>
      <c r="H57" s="7">
        <v>500</v>
      </c>
      <c r="I57" s="2"/>
      <c r="J57" s="6">
        <f t="shared" si="37"/>
        <v>0</v>
      </c>
      <c r="K57" s="2"/>
      <c r="L57" s="7">
        <f t="shared" si="38"/>
        <v>121.34000000000003</v>
      </c>
      <c r="M57" s="2"/>
      <c r="N57" s="6">
        <f t="shared" si="39"/>
        <v>0.24268000000000006</v>
      </c>
      <c r="O57" s="11"/>
      <c r="P57" s="7">
        <v>6201.68</v>
      </c>
      <c r="Q57" s="2"/>
      <c r="R57" s="6">
        <f t="shared" si="40"/>
        <v>0</v>
      </c>
      <c r="S57" s="2"/>
      <c r="T57" s="7">
        <v>5500</v>
      </c>
      <c r="U57" s="2"/>
      <c r="V57" s="6">
        <f t="shared" si="41"/>
        <v>0</v>
      </c>
      <c r="W57" s="2"/>
      <c r="X57" s="7">
        <f t="shared" si="42"/>
        <v>701.68000000000029</v>
      </c>
      <c r="Y57" s="2"/>
      <c r="Z57" s="6">
        <f t="shared" si="43"/>
        <v>0.12757818181818187</v>
      </c>
    </row>
    <row r="58" spans="1:26" s="27" customFormat="1" outlineLevel="1" collapsed="1" x14ac:dyDescent="0.25">
      <c r="A58" s="26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SUM(OSRRefD22_9x_0)</f>
        <v>16.53</v>
      </c>
      <c r="E58" s="1"/>
      <c r="F58" s="5">
        <f t="shared" si="36"/>
        <v>0</v>
      </c>
      <c r="G58" s="1"/>
      <c r="H58" s="1">
        <f>SUM(OSRRefH22_9x_0)</f>
        <v>200</v>
      </c>
      <c r="I58" s="1"/>
      <c r="J58" s="5">
        <f t="shared" si="37"/>
        <v>0</v>
      </c>
      <c r="K58" s="1"/>
      <c r="L58" s="1">
        <f t="shared" si="38"/>
        <v>-183.47</v>
      </c>
      <c r="M58" s="1"/>
      <c r="N58" s="5">
        <f t="shared" si="39"/>
        <v>-0.91735</v>
      </c>
      <c r="O58" s="13"/>
      <c r="P58" s="1">
        <f>SUM(OSRRefP22_9x_0)</f>
        <v>2083.69</v>
      </c>
      <c r="Q58" s="1"/>
      <c r="R58" s="5">
        <f t="shared" si="40"/>
        <v>0</v>
      </c>
      <c r="S58" s="1"/>
      <c r="T58" s="1">
        <f>SUM(OSRRefT22_9x_0)</f>
        <v>11784</v>
      </c>
      <c r="U58" s="1"/>
      <c r="V58" s="5">
        <f t="shared" si="41"/>
        <v>0</v>
      </c>
      <c r="W58" s="1"/>
      <c r="X58" s="1">
        <f t="shared" si="42"/>
        <v>-9700.31</v>
      </c>
      <c r="Y58" s="1"/>
      <c r="Z58" s="5">
        <f t="shared" si="43"/>
        <v>-0.82317634080108615</v>
      </c>
    </row>
    <row r="59" spans="1:26" s="24" customFormat="1" hidden="1" outlineLevel="2" x14ac:dyDescent="0.25">
      <c r="A59" s="25"/>
      <c r="B59" s="11" t="str">
        <f>CONCATENATE("          ", "6234", " - ", "EXPENDABLE SUPPLIES &amp; EQUIPMEN")</f>
        <v xml:space="preserve">          6234 - EXPENDABLE SUPPLIES &amp; EQUIPMEN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/>
      <c r="Q59" s="2"/>
      <c r="R59" s="6">
        <f t="shared" si="40"/>
        <v>0</v>
      </c>
      <c r="S59" s="2"/>
      <c r="T59" s="7">
        <v>9584</v>
      </c>
      <c r="U59" s="2"/>
      <c r="V59" s="6">
        <f t="shared" si="41"/>
        <v>0</v>
      </c>
      <c r="W59" s="2"/>
      <c r="X59" s="7">
        <f t="shared" si="42"/>
        <v>-9584</v>
      </c>
      <c r="Y59" s="2"/>
      <c r="Z59" s="6">
        <f t="shared" si="43"/>
        <v>-1</v>
      </c>
    </row>
    <row r="60" spans="1:26" s="24" customFormat="1" hidden="1" outlineLevel="2" x14ac:dyDescent="0.25">
      <c r="A60" s="25"/>
      <c r="B60" s="11" t="str">
        <f>CONCATENATE("          ", "6235", " - ", "COVID-19 EXPENSES")</f>
        <v xml:space="preserve">          6235 - COVID-19 EXPENSES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426.66</v>
      </c>
      <c r="Q60" s="2"/>
      <c r="R60" s="6">
        <f t="shared" si="40"/>
        <v>0</v>
      </c>
      <c r="S60" s="2"/>
      <c r="T60" s="7"/>
      <c r="U60" s="2"/>
      <c r="V60" s="6">
        <f t="shared" si="41"/>
        <v>0</v>
      </c>
      <c r="W60" s="2"/>
      <c r="X60" s="7">
        <f t="shared" si="42"/>
        <v>426.66</v>
      </c>
      <c r="Y60" s="2"/>
      <c r="Z60" s="6">
        <f t="shared" si="43"/>
        <v>0</v>
      </c>
    </row>
    <row r="61" spans="1:26" s="24" customFormat="1" hidden="1" outlineLevel="2" x14ac:dyDescent="0.25">
      <c r="A61" s="25"/>
      <c r="B61" s="11" t="str">
        <f>CONCATENATE("          ", "6241", " - ", "OFFICE EXPENSE")</f>
        <v xml:space="preserve">          6241 - OFFICE EXPENSE</v>
      </c>
      <c r="C61" s="11"/>
      <c r="D61" s="7">
        <v>16.53</v>
      </c>
      <c r="E61" s="2"/>
      <c r="F61" s="6">
        <f t="shared" si="36"/>
        <v>0</v>
      </c>
      <c r="G61" s="2"/>
      <c r="H61" s="7">
        <v>200</v>
      </c>
      <c r="I61" s="2"/>
      <c r="J61" s="6">
        <f t="shared" si="37"/>
        <v>0</v>
      </c>
      <c r="K61" s="2"/>
      <c r="L61" s="7">
        <f t="shared" si="38"/>
        <v>-183.47</v>
      </c>
      <c r="M61" s="2"/>
      <c r="N61" s="6">
        <f t="shared" si="39"/>
        <v>-0.91735</v>
      </c>
      <c r="O61" s="11"/>
      <c r="P61" s="7">
        <v>1657.03</v>
      </c>
      <c r="Q61" s="2"/>
      <c r="R61" s="6">
        <f t="shared" si="40"/>
        <v>0</v>
      </c>
      <c r="S61" s="2"/>
      <c r="T61" s="7">
        <v>2200</v>
      </c>
      <c r="U61" s="2"/>
      <c r="V61" s="6">
        <f t="shared" si="41"/>
        <v>0</v>
      </c>
      <c r="W61" s="2"/>
      <c r="X61" s="7">
        <f t="shared" si="42"/>
        <v>-542.97</v>
      </c>
      <c r="Y61" s="2"/>
      <c r="Z61" s="6">
        <f t="shared" si="43"/>
        <v>-0.24680454545454547</v>
      </c>
    </row>
    <row r="62" spans="1:26" s="27" customFormat="1" outlineLevel="1" collapsed="1" x14ac:dyDescent="0.25">
      <c r="A62" s="26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SUM(OSRRefD22_10x_0)</f>
        <v>421.35</v>
      </c>
      <c r="E62" s="1"/>
      <c r="F62" s="5">
        <f t="shared" ref="F62:F67" si="44">IF(D$12=0,0,D62/D$12)</f>
        <v>0</v>
      </c>
      <c r="G62" s="1"/>
      <c r="H62" s="1">
        <f>SUM(OSRRefH22_10x_0)</f>
        <v>375</v>
      </c>
      <c r="I62" s="1"/>
      <c r="J62" s="5">
        <f t="shared" ref="J62:J67" si="45">IF(H$12=0,0,H62/H$12)</f>
        <v>0</v>
      </c>
      <c r="K62" s="1"/>
      <c r="L62" s="1">
        <f t="shared" ref="L62:L67" si="46">+D62-H62</f>
        <v>46.350000000000023</v>
      </c>
      <c r="M62" s="1"/>
      <c r="N62" s="5">
        <f t="shared" ref="N62:N67" si="47">IF(H62=0,0,L62/H62)</f>
        <v>0.12360000000000006</v>
      </c>
      <c r="O62" s="13"/>
      <c r="P62" s="1">
        <f>SUM(OSRRefP22_10x_0)</f>
        <v>5573.33</v>
      </c>
      <c r="Q62" s="1"/>
      <c r="R62" s="5">
        <f t="shared" ref="R62:R67" si="48">IF(P$12=0,0,P62/P$12)</f>
        <v>0</v>
      </c>
      <c r="S62" s="1"/>
      <c r="T62" s="1">
        <f>SUM(OSRRefT22_10x_0)</f>
        <v>4125</v>
      </c>
      <c r="U62" s="1"/>
      <c r="V62" s="5">
        <f t="shared" ref="V62:V67" si="49">IF(T$12=0,0,T62/T$12)</f>
        <v>0</v>
      </c>
      <c r="W62" s="1"/>
      <c r="X62" s="1">
        <f t="shared" ref="X62:X67" si="50">+P62-T62</f>
        <v>1448.33</v>
      </c>
      <c r="Y62" s="1"/>
      <c r="Z62" s="5">
        <f t="shared" ref="Z62:Z67" si="51">IF(T62=0,0,X62/T62)</f>
        <v>0.35111030303030299</v>
      </c>
    </row>
    <row r="63" spans="1:26" s="24" customFormat="1" hidden="1" outlineLevel="2" x14ac:dyDescent="0.25">
      <c r="A63" s="25"/>
      <c r="B63" s="11" t="str">
        <f>CONCATENATE("          ", "6309", " - ", "TELEPHONE")</f>
        <v xml:space="preserve">          6309 - TELEPHONE</v>
      </c>
      <c r="C63" s="11"/>
      <c r="D63" s="7">
        <v>421.35</v>
      </c>
      <c r="E63" s="2"/>
      <c r="F63" s="6">
        <f t="shared" si="44"/>
        <v>0</v>
      </c>
      <c r="G63" s="2"/>
      <c r="H63" s="7">
        <v>375</v>
      </c>
      <c r="I63" s="2"/>
      <c r="J63" s="6">
        <f t="shared" si="45"/>
        <v>0</v>
      </c>
      <c r="K63" s="2"/>
      <c r="L63" s="7">
        <f t="shared" si="46"/>
        <v>46.350000000000023</v>
      </c>
      <c r="M63" s="2"/>
      <c r="N63" s="6">
        <f t="shared" si="47"/>
        <v>0.12360000000000006</v>
      </c>
      <c r="O63" s="11"/>
      <c r="P63" s="7">
        <v>5573.33</v>
      </c>
      <c r="Q63" s="2"/>
      <c r="R63" s="6">
        <f t="shared" si="48"/>
        <v>0</v>
      </c>
      <c r="S63" s="2"/>
      <c r="T63" s="7">
        <v>4125</v>
      </c>
      <c r="U63" s="2"/>
      <c r="V63" s="6">
        <f t="shared" si="49"/>
        <v>0</v>
      </c>
      <c r="W63" s="2"/>
      <c r="X63" s="7">
        <f t="shared" si="50"/>
        <v>1448.33</v>
      </c>
      <c r="Y63" s="2"/>
      <c r="Z63" s="6">
        <f t="shared" si="51"/>
        <v>0.35111030303030299</v>
      </c>
    </row>
    <row r="64" spans="1:26" s="27" customFormat="1" outlineLevel="1" collapsed="1" x14ac:dyDescent="0.25">
      <c r="A64" s="26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SUM(OSRRefD22_11x_0)</f>
        <v>0</v>
      </c>
      <c r="E64" s="1"/>
      <c r="F64" s="5">
        <f t="shared" si="44"/>
        <v>0</v>
      </c>
      <c r="G64" s="1"/>
      <c r="H64" s="1">
        <f>SUM(OSRRefH22_11x_0)</f>
        <v>250</v>
      </c>
      <c r="I64" s="1"/>
      <c r="J64" s="5">
        <f t="shared" si="45"/>
        <v>0</v>
      </c>
      <c r="K64" s="1"/>
      <c r="L64" s="1">
        <f t="shared" si="46"/>
        <v>-250</v>
      </c>
      <c r="M64" s="1"/>
      <c r="N64" s="5">
        <f t="shared" si="47"/>
        <v>-1</v>
      </c>
      <c r="O64" s="13"/>
      <c r="P64" s="1">
        <f>SUM(OSRRefP22_11x_0)</f>
        <v>548</v>
      </c>
      <c r="Q64" s="1"/>
      <c r="R64" s="5">
        <f t="shared" si="48"/>
        <v>0</v>
      </c>
      <c r="S64" s="1"/>
      <c r="T64" s="1">
        <f>SUM(OSRRefT22_11x_0)</f>
        <v>2500</v>
      </c>
      <c r="U64" s="1"/>
      <c r="V64" s="5">
        <f t="shared" si="49"/>
        <v>0</v>
      </c>
      <c r="W64" s="1"/>
      <c r="X64" s="1">
        <f t="shared" si="50"/>
        <v>-1952</v>
      </c>
      <c r="Y64" s="1"/>
      <c r="Z64" s="5">
        <f t="shared" si="51"/>
        <v>-0.78080000000000005</v>
      </c>
    </row>
    <row r="65" spans="1:26" s="24" customFormat="1" hidden="1" outlineLevel="2" x14ac:dyDescent="0.25">
      <c r="A65" s="25"/>
      <c r="B65" s="11" t="str">
        <f>CONCATENATE("          ", "6376", " - ", "TRAINING")</f>
        <v xml:space="preserve">          6376 - TRAINING</v>
      </c>
      <c r="C65" s="11"/>
      <c r="D65" s="7"/>
      <c r="E65" s="2"/>
      <c r="F65" s="6">
        <f t="shared" si="44"/>
        <v>0</v>
      </c>
      <c r="G65" s="2"/>
      <c r="H65" s="7">
        <v>250</v>
      </c>
      <c r="I65" s="2"/>
      <c r="J65" s="6">
        <f t="shared" si="45"/>
        <v>0</v>
      </c>
      <c r="K65" s="2"/>
      <c r="L65" s="7">
        <f t="shared" si="46"/>
        <v>-250</v>
      </c>
      <c r="M65" s="2"/>
      <c r="N65" s="6">
        <f t="shared" si="47"/>
        <v>-1</v>
      </c>
      <c r="O65" s="11"/>
      <c r="P65" s="7">
        <v>548</v>
      </c>
      <c r="Q65" s="2"/>
      <c r="R65" s="6">
        <f t="shared" si="48"/>
        <v>0</v>
      </c>
      <c r="S65" s="2"/>
      <c r="T65" s="7">
        <v>2500</v>
      </c>
      <c r="U65" s="2"/>
      <c r="V65" s="6">
        <f t="shared" si="49"/>
        <v>0</v>
      </c>
      <c r="W65" s="2"/>
      <c r="X65" s="7">
        <f t="shared" si="50"/>
        <v>-1952</v>
      </c>
      <c r="Y65" s="2"/>
      <c r="Z65" s="6">
        <f t="shared" si="51"/>
        <v>-0.78080000000000005</v>
      </c>
    </row>
    <row r="66" spans="1:26" s="27" customFormat="1" outlineLevel="1" collapsed="1" x14ac:dyDescent="0.25">
      <c r="A66" s="26"/>
      <c r="B66" s="13" t="str">
        <f>CONCATENATE("     ","Travel                                            ")</f>
        <v xml:space="preserve">     Travel                                            </v>
      </c>
      <c r="C66" s="13"/>
      <c r="D66" s="1">
        <f>SUM(OSRRefD22_12x_0)</f>
        <v>0</v>
      </c>
      <c r="E66" s="1"/>
      <c r="F66" s="5">
        <f t="shared" si="44"/>
        <v>0</v>
      </c>
      <c r="G66" s="1"/>
      <c r="H66" s="1">
        <f>SUM(OSRRefH22_12x_0)</f>
        <v>0</v>
      </c>
      <c r="I66" s="1"/>
      <c r="J66" s="5">
        <f t="shared" si="45"/>
        <v>0</v>
      </c>
      <c r="K66" s="1"/>
      <c r="L66" s="1">
        <f t="shared" si="46"/>
        <v>0</v>
      </c>
      <c r="M66" s="1"/>
      <c r="N66" s="5">
        <f t="shared" si="47"/>
        <v>0</v>
      </c>
      <c r="O66" s="13"/>
      <c r="P66" s="1">
        <f>SUM(OSRRefP22_12x_0)</f>
        <v>88.72</v>
      </c>
      <c r="Q66" s="1"/>
      <c r="R66" s="5">
        <f t="shared" si="48"/>
        <v>0</v>
      </c>
      <c r="S66" s="1"/>
      <c r="T66" s="1">
        <f>SUM(OSRRefT22_12x_0)</f>
        <v>0</v>
      </c>
      <c r="U66" s="1"/>
      <c r="V66" s="5">
        <f t="shared" si="49"/>
        <v>0</v>
      </c>
      <c r="W66" s="1"/>
      <c r="X66" s="1">
        <f t="shared" si="50"/>
        <v>88.72</v>
      </c>
      <c r="Y66" s="1"/>
      <c r="Z66" s="5">
        <f t="shared" si="51"/>
        <v>0</v>
      </c>
    </row>
    <row r="67" spans="1:26" s="24" customFormat="1" hidden="1" outlineLevel="2" x14ac:dyDescent="0.25">
      <c r="A67" s="25"/>
      <c r="B67" s="11" t="str">
        <f>CONCATENATE("          ", "6294", " - ", "TRAVEL OPERATIONAL")</f>
        <v xml:space="preserve">          6294 - TRAVEL OPERATIONAL</v>
      </c>
      <c r="C67" s="11"/>
      <c r="D67" s="7"/>
      <c r="E67" s="2"/>
      <c r="F67" s="6">
        <f t="shared" si="44"/>
        <v>0</v>
      </c>
      <c r="G67" s="2"/>
      <c r="H67" s="7"/>
      <c r="I67" s="2"/>
      <c r="J67" s="6">
        <f t="shared" si="45"/>
        <v>0</v>
      </c>
      <c r="K67" s="2"/>
      <c r="L67" s="7">
        <f t="shared" si="46"/>
        <v>0</v>
      </c>
      <c r="M67" s="2"/>
      <c r="N67" s="6">
        <f t="shared" si="47"/>
        <v>0</v>
      </c>
      <c r="O67" s="11"/>
      <c r="P67" s="7">
        <v>88.72</v>
      </c>
      <c r="Q67" s="2"/>
      <c r="R67" s="6">
        <f t="shared" si="48"/>
        <v>0</v>
      </c>
      <c r="S67" s="2"/>
      <c r="T67" s="7"/>
      <c r="U67" s="2"/>
      <c r="V67" s="6">
        <f t="shared" si="49"/>
        <v>0</v>
      </c>
      <c r="W67" s="2"/>
      <c r="X67" s="7">
        <f t="shared" si="50"/>
        <v>88.72</v>
      </c>
      <c r="Y67" s="2"/>
      <c r="Z67" s="6">
        <f t="shared" si="51"/>
        <v>0</v>
      </c>
    </row>
    <row r="68" spans="1:26" s="56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25">
      <c r="A69" s="10"/>
      <c r="B69" s="29" t="s">
        <v>293</v>
      </c>
      <c r="C69" s="10"/>
      <c r="D69" s="4">
        <f>SUM(OSRRefD25x_0)</f>
        <v>0</v>
      </c>
      <c r="E69" s="4"/>
      <c r="F69" s="12">
        <f t="shared" ref="F69:F72" si="52">IF(D$12=0,0,D69/D$12)</f>
        <v>0</v>
      </c>
      <c r="G69" s="4"/>
      <c r="H69" s="4">
        <f>SUM(OSRRefH25x_0)</f>
        <v>0</v>
      </c>
      <c r="I69" s="4"/>
      <c r="J69" s="12">
        <f t="shared" ref="J69:J72" si="53">IF(H$12=0,0,H69/H$12)</f>
        <v>0</v>
      </c>
      <c r="K69" s="4"/>
      <c r="L69" s="4">
        <f t="shared" ref="L69:L72" si="54">+D69-H69</f>
        <v>0</v>
      </c>
      <c r="M69" s="4"/>
      <c r="N69" s="12">
        <f t="shared" ref="N69:N72" si="55">IF(H69=0,0,L69/H69)</f>
        <v>0</v>
      </c>
      <c r="O69" s="10"/>
      <c r="P69" s="4">
        <f>SUM(OSRRefP25x_0)</f>
        <v>0</v>
      </c>
      <c r="Q69" s="4"/>
      <c r="R69" s="12">
        <f t="shared" ref="R69:R72" si="56">IF(P$12=0,0,P69/P$12)</f>
        <v>0</v>
      </c>
      <c r="S69" s="4"/>
      <c r="T69" s="4">
        <f>SUM(OSRRefT25x_0)</f>
        <v>0</v>
      </c>
      <c r="U69" s="4"/>
      <c r="V69" s="12">
        <f t="shared" ref="V69:V72" si="57">IF(T$12=0,0,T69/T$12)</f>
        <v>0</v>
      </c>
      <c r="W69" s="4"/>
      <c r="X69" s="4">
        <f t="shared" ref="X69:X72" si="58">+P69-T69</f>
        <v>0</v>
      </c>
      <c r="Y69" s="4"/>
      <c r="Z69" s="12">
        <f t="shared" ref="Z69:Z72" si="59">IF(T69=0,0,X69/T69)</f>
        <v>0</v>
      </c>
    </row>
    <row r="70" spans="1:26" s="24" customFormat="1" hidden="1" outlineLevel="1" x14ac:dyDescent="0.25">
      <c r="A70" s="44"/>
      <c r="B70" s="11" t="str">
        <f>CONCATENATE("          ", "9150", " - ", "MISC. INCOME")</f>
        <v xml:space="preserve">          9150 - MISC. INCOME</v>
      </c>
      <c r="C70" s="11"/>
      <c r="D70" s="2">
        <f t="shared" ref="D70:D72" si="60">0</f>
        <v>0</v>
      </c>
      <c r="E70" s="2"/>
      <c r="F70" s="19">
        <f t="shared" si="52"/>
        <v>0</v>
      </c>
      <c r="G70" s="2"/>
      <c r="H70" s="2"/>
      <c r="I70" s="2"/>
      <c r="J70" s="19">
        <f t="shared" si="53"/>
        <v>0</v>
      </c>
      <c r="K70" s="2"/>
      <c r="L70" s="2">
        <f t="shared" si="54"/>
        <v>0</v>
      </c>
      <c r="M70" s="2"/>
      <c r="N70" s="19">
        <f t="shared" si="55"/>
        <v>0</v>
      </c>
      <c r="O70" s="11"/>
      <c r="P70" s="2">
        <f t="shared" ref="P70:P72" si="61">0</f>
        <v>0</v>
      </c>
      <c r="Q70" s="2"/>
      <c r="R70" s="19">
        <f t="shared" si="56"/>
        <v>0</v>
      </c>
      <c r="S70" s="2"/>
      <c r="T70" s="2">
        <v>0</v>
      </c>
      <c r="U70" s="2"/>
      <c r="V70" s="19">
        <f t="shared" si="57"/>
        <v>0</v>
      </c>
      <c r="W70" s="2"/>
      <c r="X70" s="2">
        <f t="shared" si="58"/>
        <v>0</v>
      </c>
      <c r="Y70" s="2"/>
      <c r="Z70" s="19">
        <f t="shared" si="59"/>
        <v>0</v>
      </c>
    </row>
    <row r="71" spans="1:26" s="24" customFormat="1" hidden="1" outlineLevel="1" x14ac:dyDescent="0.25">
      <c r="A71" s="44"/>
      <c r="B71" s="11" t="str">
        <f>CONCATENATE("          ", "9151", " - ", "MISC. INCOME")</f>
        <v xml:space="preserve">          9151 - MISC. INCOME</v>
      </c>
      <c r="C71" s="11"/>
      <c r="D71" s="2">
        <f t="shared" si="60"/>
        <v>0</v>
      </c>
      <c r="E71" s="2"/>
      <c r="F71" s="19">
        <f t="shared" si="52"/>
        <v>0</v>
      </c>
      <c r="G71" s="2"/>
      <c r="H71" s="2"/>
      <c r="I71" s="2"/>
      <c r="J71" s="19">
        <f t="shared" si="53"/>
        <v>0</v>
      </c>
      <c r="K71" s="2"/>
      <c r="L71" s="2">
        <f t="shared" si="54"/>
        <v>0</v>
      </c>
      <c r="M71" s="2"/>
      <c r="N71" s="19">
        <f t="shared" si="55"/>
        <v>0</v>
      </c>
      <c r="O71" s="11"/>
      <c r="P71" s="2">
        <f t="shared" si="61"/>
        <v>0</v>
      </c>
      <c r="Q71" s="2"/>
      <c r="R71" s="19">
        <f t="shared" si="56"/>
        <v>0</v>
      </c>
      <c r="S71" s="2"/>
      <c r="T71" s="2">
        <v>0</v>
      </c>
      <c r="U71" s="2"/>
      <c r="V71" s="19">
        <f t="shared" si="57"/>
        <v>0</v>
      </c>
      <c r="W71" s="2"/>
      <c r="X71" s="2">
        <f t="shared" si="58"/>
        <v>0</v>
      </c>
      <c r="Y71" s="2"/>
      <c r="Z71" s="19">
        <f t="shared" si="59"/>
        <v>0</v>
      </c>
    </row>
    <row r="72" spans="1:26" s="24" customFormat="1" hidden="1" outlineLevel="1" x14ac:dyDescent="0.25">
      <c r="A72" s="44"/>
      <c r="B72" s="11" t="str">
        <f>CONCATENATE("          ", "9160", " - ", "MISC. INCOME")</f>
        <v xml:space="preserve">          9160 - MISC. INCOME</v>
      </c>
      <c r="C72" s="11"/>
      <c r="D72" s="2">
        <f t="shared" si="60"/>
        <v>0</v>
      </c>
      <c r="E72" s="2"/>
      <c r="F72" s="19">
        <f t="shared" si="52"/>
        <v>0</v>
      </c>
      <c r="G72" s="2"/>
      <c r="H72" s="2"/>
      <c r="I72" s="2"/>
      <c r="J72" s="19">
        <f t="shared" si="53"/>
        <v>0</v>
      </c>
      <c r="K72" s="2"/>
      <c r="L72" s="2">
        <f t="shared" si="54"/>
        <v>0</v>
      </c>
      <c r="M72" s="2"/>
      <c r="N72" s="19">
        <f t="shared" si="55"/>
        <v>0</v>
      </c>
      <c r="O72" s="11"/>
      <c r="P72" s="2">
        <f t="shared" si="61"/>
        <v>0</v>
      </c>
      <c r="Q72" s="2"/>
      <c r="R72" s="19">
        <f t="shared" si="56"/>
        <v>0</v>
      </c>
      <c r="S72" s="2"/>
      <c r="T72" s="2">
        <v>0</v>
      </c>
      <c r="U72" s="2"/>
      <c r="V72" s="19">
        <f t="shared" si="57"/>
        <v>0</v>
      </c>
      <c r="W72" s="2"/>
      <c r="X72" s="2">
        <f t="shared" si="58"/>
        <v>0</v>
      </c>
      <c r="Y72" s="2"/>
      <c r="Z72" s="19">
        <f t="shared" si="59"/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277</v>
      </c>
      <c r="C74" s="28"/>
      <c r="D74" s="20">
        <f>+D17-D19+D69</f>
        <v>-36932.669999999984</v>
      </c>
      <c r="E74" s="14"/>
      <c r="F74" s="21">
        <f>IF(D$12=0,0,D74/D$12)</f>
        <v>0</v>
      </c>
      <c r="G74" s="14"/>
      <c r="H74" s="20">
        <f>+H17-H19+H69</f>
        <v>-35590.482495384662</v>
      </c>
      <c r="I74" s="14"/>
      <c r="J74" s="21">
        <f>IF(H$12=0,0,H74/H$12)</f>
        <v>0</v>
      </c>
      <c r="K74" s="15"/>
      <c r="L74" s="20">
        <f>+D74-H74</f>
        <v>-1342.1875046153218</v>
      </c>
      <c r="M74" s="15"/>
      <c r="N74" s="21">
        <f>IF(H74=0,0,L74/H74)</f>
        <v>3.7711978329863199E-2</v>
      </c>
      <c r="O74" s="29"/>
      <c r="P74" s="20">
        <f>+P17-P19+P69</f>
        <v>-453992.93999999994</v>
      </c>
      <c r="Q74" s="14"/>
      <c r="R74" s="21">
        <f>IF(P$12=0,0,P74/P$12)</f>
        <v>0</v>
      </c>
      <c r="S74" s="14"/>
      <c r="T74" s="20">
        <f>+T17-T19+T69</f>
        <v>-454693.12922461564</v>
      </c>
      <c r="U74" s="14"/>
      <c r="V74" s="21">
        <f>IF(T$12=0,0,T74/T$12)</f>
        <v>0</v>
      </c>
      <c r="W74" s="15"/>
      <c r="X74" s="20">
        <f>+P74-T74</f>
        <v>700.18922461569309</v>
      </c>
      <c r="Y74" s="15"/>
      <c r="Z74" s="21">
        <f>IF(T74=0,0,X74/T74)</f>
        <v>-1.5399159996319274E-3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128</v>
      </c>
      <c r="C76" s="10"/>
      <c r="D76" s="4"/>
      <c r="E76" s="4"/>
      <c r="F76" s="12">
        <f>IF(D$12=0,0,D76/D$12)</f>
        <v>0</v>
      </c>
      <c r="G76" s="4"/>
      <c r="H76" s="4"/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/>
      <c r="Q76" s="4"/>
      <c r="R76" s="12">
        <f>IF(P$12=0,0,P76/P$12)</f>
        <v>0</v>
      </c>
      <c r="S76" s="4"/>
      <c r="T76" s="4"/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126</v>
      </c>
      <c r="C78" s="28"/>
      <c r="D78" s="35">
        <f>+D74-D76</f>
        <v>-36932.669999999984</v>
      </c>
      <c r="E78" s="14"/>
      <c r="F78" s="34">
        <f>IF(D$12=0,0,D78/D$12)</f>
        <v>0</v>
      </c>
      <c r="G78" s="14"/>
      <c r="H78" s="35">
        <f>+H74-H76</f>
        <v>-35590.482495384662</v>
      </c>
      <c r="I78" s="14"/>
      <c r="J78" s="34">
        <f>IF(H$12=0,0,H78/H$12)</f>
        <v>0</v>
      </c>
      <c r="K78" s="15"/>
      <c r="L78" s="35">
        <f>D78-H78</f>
        <v>-1342.1875046153218</v>
      </c>
      <c r="M78" s="15"/>
      <c r="N78" s="34">
        <f>IF(H78=0,0,L78/H78)</f>
        <v>3.7711978329863199E-2</v>
      </c>
      <c r="O78" s="29"/>
      <c r="P78" s="35">
        <f>+P74-P76</f>
        <v>-453992.93999999994</v>
      </c>
      <c r="Q78" s="14"/>
      <c r="R78" s="34">
        <f>IF(P$12=0,0,P78/P$12)</f>
        <v>0</v>
      </c>
      <c r="S78" s="14"/>
      <c r="T78" s="35">
        <f>+T74-T76</f>
        <v>-454693.12922461564</v>
      </c>
      <c r="U78" s="14"/>
      <c r="V78" s="34">
        <f>IF(T$12=0,0,T78/T$12)</f>
        <v>0</v>
      </c>
      <c r="W78" s="15"/>
      <c r="X78" s="35">
        <f>P78-T78</f>
        <v>700.18922461569309</v>
      </c>
      <c r="Y78" s="15"/>
      <c r="Z78" s="34">
        <f>IF(T78=0,0,X78/T78)</f>
        <v>-1.5399159996319274E-3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294</v>
      </c>
      <c r="C81" s="28"/>
      <c r="D81" s="33">
        <f>SUM(D78:D80)</f>
        <v>-36932.669999999984</v>
      </c>
      <c r="E81" s="14"/>
      <c r="F81" s="32">
        <f>IF(D$12=0,0,D81/D$12)</f>
        <v>0</v>
      </c>
      <c r="G81" s="14"/>
      <c r="H81" s="33">
        <f>SUM(H78:H80)</f>
        <v>-35590.482495384662</v>
      </c>
      <c r="I81" s="14"/>
      <c r="J81" s="32">
        <f>IF(H$12=0,0,H81/H$12)</f>
        <v>0</v>
      </c>
      <c r="K81" s="15"/>
      <c r="L81" s="33">
        <f>+D81-H81</f>
        <v>-1342.1875046153218</v>
      </c>
      <c r="M81" s="15"/>
      <c r="N81" s="32">
        <f>IF(H81=0,0,L81/H81)</f>
        <v>3.7711978329863199E-2</v>
      </c>
      <c r="O81" s="29"/>
      <c r="P81" s="33">
        <f>SUM(P78:P80)</f>
        <v>-453992.93999999994</v>
      </c>
      <c r="Q81" s="14"/>
      <c r="R81" s="32">
        <f>IF(P$12=0,0,P81/P$12)</f>
        <v>0</v>
      </c>
      <c r="S81" s="14"/>
      <c r="T81" s="33">
        <f>SUM(T78:T80)</f>
        <v>-454693.12922461564</v>
      </c>
      <c r="U81" s="14"/>
      <c r="V81" s="32">
        <f>IF(T$12=0,0,T81/T$12)</f>
        <v>0</v>
      </c>
      <c r="W81" s="15"/>
      <c r="X81" s="33">
        <f>+P81-T81</f>
        <v>700.18922461569309</v>
      </c>
      <c r="Y81" s="15"/>
      <c r="Z81" s="32">
        <f>IF(T81=0,0,X81/T81)</f>
        <v>-1.5399159996319274E-3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6" x14ac:dyDescent="0.25">
      <c r="A83" s="9"/>
      <c r="B83" s="60">
        <v>44356.891834571761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55" t="s">
        <v>56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63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","203", " - ", "Human Resources")</f>
        <v>Department 203 - Human Resources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44624.069999999992</v>
      </c>
      <c r="E18" s="22"/>
      <c r="F18" s="31">
        <f t="shared" ref="F18:F29" si="0">IF(D$12=0,0,D18/D$12)</f>
        <v>0</v>
      </c>
      <c r="G18" s="22"/>
      <c r="H18" s="22">
        <f>SUM(OSRRefH22x_0)</f>
        <v>49905.525784615398</v>
      </c>
      <c r="I18" s="22"/>
      <c r="J18" s="31">
        <f t="shared" ref="J18:J29" si="1">IF(H$12=0,0,H18/H$12)</f>
        <v>0</v>
      </c>
      <c r="K18" s="4"/>
      <c r="L18" s="22">
        <f t="shared" ref="L18:L29" si="2">+D18-H18</f>
        <v>-5281.4557846154057</v>
      </c>
      <c r="M18" s="4"/>
      <c r="N18" s="31">
        <f t="shared" ref="N18:N29" si="3">IF(H18=0,0,L18/H18)</f>
        <v>-0.10582907807462764</v>
      </c>
      <c r="O18" s="10"/>
      <c r="P18" s="22">
        <f>SUM(OSRRefP22x_0)</f>
        <v>494632.03000000009</v>
      </c>
      <c r="Q18" s="22"/>
      <c r="R18" s="31">
        <f t="shared" ref="R18:R29" si="4">IF(P$12=0,0,P18/P$12)</f>
        <v>0</v>
      </c>
      <c r="S18" s="22"/>
      <c r="T18" s="22">
        <f>SUM(OSRRefT22x_0)</f>
        <v>595247.30941538454</v>
      </c>
      <c r="U18" s="22"/>
      <c r="V18" s="31">
        <f t="shared" ref="V18:V29" si="5">IF(T$12=0,0,T18/T$12)</f>
        <v>0</v>
      </c>
      <c r="W18" s="4"/>
      <c r="X18" s="22">
        <f t="shared" ref="X18:X29" si="6">+P18-T18</f>
        <v>-100615.27941538446</v>
      </c>
      <c r="Y18" s="4"/>
      <c r="Z18" s="31">
        <f t="shared" ref="Z18:Z29" si="7">IF(T18=0,0,X18/T18)</f>
        <v>-0.16903105284793749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16907.740000000002</v>
      </c>
      <c r="E19" s="1"/>
      <c r="F19" s="5">
        <f t="shared" si="0"/>
        <v>0</v>
      </c>
      <c r="G19" s="1"/>
      <c r="H19" s="1">
        <f>SUM(OSRRefH22_0x_0)</f>
        <v>10515.895015384625</v>
      </c>
      <c r="I19" s="1"/>
      <c r="J19" s="5">
        <f t="shared" si="1"/>
        <v>0</v>
      </c>
      <c r="K19" s="1"/>
      <c r="L19" s="1">
        <f t="shared" si="2"/>
        <v>6391.8449846153762</v>
      </c>
      <c r="M19" s="1"/>
      <c r="N19" s="5">
        <f t="shared" si="3"/>
        <v>0.60782700619055108</v>
      </c>
      <c r="O19" s="13"/>
      <c r="P19" s="1">
        <f>SUM(OSRRefP22_0x_0)</f>
        <v>141079.64999999997</v>
      </c>
      <c r="Q19" s="1"/>
      <c r="R19" s="5">
        <f t="shared" si="4"/>
        <v>0</v>
      </c>
      <c r="S19" s="1"/>
      <c r="T19" s="1">
        <f>SUM(OSRRefT22_0x_0)</f>
        <v>123685.74018461554</v>
      </c>
      <c r="U19" s="1"/>
      <c r="V19" s="5">
        <f t="shared" si="5"/>
        <v>0</v>
      </c>
      <c r="W19" s="1"/>
      <c r="X19" s="1">
        <f t="shared" si="6"/>
        <v>17393.909815384424</v>
      </c>
      <c r="Y19" s="1"/>
      <c r="Z19" s="5">
        <f t="shared" si="7"/>
        <v>0.14062987204039823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1889.45</v>
      </c>
      <c r="E20" s="2"/>
      <c r="F20" s="6">
        <f t="shared" si="0"/>
        <v>0</v>
      </c>
      <c r="G20" s="2"/>
      <c r="H20" s="7">
        <v>1518.5906769230801</v>
      </c>
      <c r="I20" s="2"/>
      <c r="J20" s="6">
        <f t="shared" si="1"/>
        <v>0</v>
      </c>
      <c r="K20" s="2"/>
      <c r="L20" s="7">
        <f t="shared" si="2"/>
        <v>370.85932307691996</v>
      </c>
      <c r="M20" s="2"/>
      <c r="N20" s="6">
        <f t="shared" si="3"/>
        <v>0.24421282753318577</v>
      </c>
      <c r="O20" s="11"/>
      <c r="P20" s="7">
        <v>23455.62</v>
      </c>
      <c r="Q20" s="2"/>
      <c r="R20" s="6">
        <f t="shared" si="4"/>
        <v>0</v>
      </c>
      <c r="S20" s="2"/>
      <c r="T20" s="7">
        <v>18223.088123076999</v>
      </c>
      <c r="U20" s="2"/>
      <c r="V20" s="6">
        <f t="shared" si="5"/>
        <v>0</v>
      </c>
      <c r="W20" s="2"/>
      <c r="X20" s="7">
        <f t="shared" si="6"/>
        <v>5232.5318769229998</v>
      </c>
      <c r="Y20" s="2"/>
      <c r="Z20" s="6">
        <f t="shared" si="7"/>
        <v>0.28713749511515163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121.48</v>
      </c>
      <c r="E21" s="2"/>
      <c r="F21" s="6">
        <f t="shared" si="0"/>
        <v>0</v>
      </c>
      <c r="G21" s="2"/>
      <c r="H21" s="7">
        <v>91.129753846153903</v>
      </c>
      <c r="I21" s="2"/>
      <c r="J21" s="6">
        <f t="shared" si="1"/>
        <v>0</v>
      </c>
      <c r="K21" s="2"/>
      <c r="L21" s="7">
        <f t="shared" si="2"/>
        <v>30.350246153846101</v>
      </c>
      <c r="M21" s="2"/>
      <c r="N21" s="6">
        <f t="shared" si="3"/>
        <v>0.33304431179616339</v>
      </c>
      <c r="O21" s="11"/>
      <c r="P21" s="7">
        <v>1018.75</v>
      </c>
      <c r="Q21" s="2"/>
      <c r="R21" s="6">
        <f t="shared" si="4"/>
        <v>0</v>
      </c>
      <c r="S21" s="2"/>
      <c r="T21" s="7">
        <v>1093.55704615385</v>
      </c>
      <c r="U21" s="2"/>
      <c r="V21" s="6">
        <f t="shared" si="5"/>
        <v>0</v>
      </c>
      <c r="W21" s="2"/>
      <c r="X21" s="7">
        <f t="shared" si="6"/>
        <v>-74.807046153850024</v>
      </c>
      <c r="Y21" s="2"/>
      <c r="Z21" s="6">
        <f t="shared" si="7"/>
        <v>-6.840708165792897E-2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6028.29</v>
      </c>
      <c r="E22" s="2"/>
      <c r="F22" s="6">
        <f t="shared" si="0"/>
        <v>0</v>
      </c>
      <c r="G22" s="2"/>
      <c r="H22" s="7">
        <v>5635.3846153846198</v>
      </c>
      <c r="I22" s="2"/>
      <c r="J22" s="6">
        <f t="shared" si="1"/>
        <v>0</v>
      </c>
      <c r="K22" s="2"/>
      <c r="L22" s="7">
        <f t="shared" si="2"/>
        <v>392.90538461538017</v>
      </c>
      <c r="M22" s="2"/>
      <c r="N22" s="6">
        <f t="shared" si="3"/>
        <v>6.9721130221129385E-2</v>
      </c>
      <c r="O22" s="11"/>
      <c r="P22" s="7">
        <v>66691.47</v>
      </c>
      <c r="Q22" s="2"/>
      <c r="R22" s="6">
        <f t="shared" si="4"/>
        <v>0</v>
      </c>
      <c r="S22" s="2"/>
      <c r="T22" s="7">
        <v>65644.615384615405</v>
      </c>
      <c r="U22" s="2"/>
      <c r="V22" s="6">
        <f t="shared" si="5"/>
        <v>0</v>
      </c>
      <c r="W22" s="2"/>
      <c r="X22" s="7">
        <f t="shared" si="6"/>
        <v>1046.8546153845964</v>
      </c>
      <c r="Y22" s="2"/>
      <c r="Z22" s="6">
        <f t="shared" si="7"/>
        <v>1.5947303663080632E-2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95.71</v>
      </c>
      <c r="E23" s="2"/>
      <c r="F23" s="6">
        <f t="shared" si="0"/>
        <v>0</v>
      </c>
      <c r="G23" s="2"/>
      <c r="H23" s="7">
        <v>71.799199999999999</v>
      </c>
      <c r="I23" s="2"/>
      <c r="J23" s="6">
        <f t="shared" si="1"/>
        <v>0</v>
      </c>
      <c r="K23" s="2"/>
      <c r="L23" s="7">
        <f t="shared" si="2"/>
        <v>23.910799999999995</v>
      </c>
      <c r="M23" s="2"/>
      <c r="N23" s="6">
        <f t="shared" si="3"/>
        <v>0.33302320917224698</v>
      </c>
      <c r="O23" s="11"/>
      <c r="P23" s="7">
        <v>802.65</v>
      </c>
      <c r="Q23" s="2"/>
      <c r="R23" s="6">
        <f t="shared" si="4"/>
        <v>0</v>
      </c>
      <c r="S23" s="2"/>
      <c r="T23" s="7">
        <v>861.59040000000005</v>
      </c>
      <c r="U23" s="2"/>
      <c r="V23" s="6">
        <f t="shared" si="5"/>
        <v>0</v>
      </c>
      <c r="W23" s="2"/>
      <c r="X23" s="7">
        <f t="shared" si="6"/>
        <v>-58.940400000000068</v>
      </c>
      <c r="Y23" s="2"/>
      <c r="Z23" s="6">
        <f t="shared" si="7"/>
        <v>-6.8408840209918845E-2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1091.48</v>
      </c>
      <c r="E24" s="2"/>
      <c r="F24" s="6">
        <f t="shared" si="0"/>
        <v>0</v>
      </c>
      <c r="G24" s="2"/>
      <c r="H24" s="7">
        <v>853.38461538461502</v>
      </c>
      <c r="I24" s="2"/>
      <c r="J24" s="6">
        <f t="shared" si="1"/>
        <v>0</v>
      </c>
      <c r="K24" s="2"/>
      <c r="L24" s="7">
        <f t="shared" si="2"/>
        <v>238.095384615385</v>
      </c>
      <c r="M24" s="2"/>
      <c r="N24" s="6">
        <f t="shared" si="3"/>
        <v>0.27900126194339342</v>
      </c>
      <c r="O24" s="11"/>
      <c r="P24" s="7">
        <v>14374.8</v>
      </c>
      <c r="Q24" s="2"/>
      <c r="R24" s="6">
        <f t="shared" si="4"/>
        <v>0</v>
      </c>
      <c r="S24" s="2"/>
      <c r="T24" s="7">
        <v>10240.615384615399</v>
      </c>
      <c r="U24" s="2"/>
      <c r="V24" s="6">
        <f t="shared" si="5"/>
        <v>0</v>
      </c>
      <c r="W24" s="2"/>
      <c r="X24" s="7">
        <f t="shared" si="6"/>
        <v>4134.1846153846</v>
      </c>
      <c r="Y24" s="2"/>
      <c r="Z24" s="6">
        <f t="shared" si="7"/>
        <v>0.40370470524607688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>
        <v>4846</v>
      </c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4846</v>
      </c>
      <c r="M25" s="2"/>
      <c r="N25" s="6">
        <f t="shared" si="3"/>
        <v>0</v>
      </c>
      <c r="O25" s="11"/>
      <c r="P25" s="7">
        <v>4846</v>
      </c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4846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7">
        <v>534.51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534.51</v>
      </c>
      <c r="M26" s="2"/>
      <c r="N26" s="6">
        <f t="shared" si="3"/>
        <v>0</v>
      </c>
      <c r="O26" s="11"/>
      <c r="P26" s="7">
        <v>6666.01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6666.01</v>
      </c>
      <c r="Y26" s="2"/>
      <c r="Z26" s="6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7">
        <v>1392.7</v>
      </c>
      <c r="E27" s="2"/>
      <c r="F27" s="6">
        <f t="shared" si="0"/>
        <v>0</v>
      </c>
      <c r="G27" s="2"/>
      <c r="H27" s="7">
        <v>992.15384615384596</v>
      </c>
      <c r="I27" s="2"/>
      <c r="J27" s="6">
        <f t="shared" si="1"/>
        <v>0</v>
      </c>
      <c r="K27" s="2"/>
      <c r="L27" s="7">
        <f t="shared" si="2"/>
        <v>400.54615384615408</v>
      </c>
      <c r="M27" s="2"/>
      <c r="N27" s="6">
        <f t="shared" si="3"/>
        <v>0.40371375407039883</v>
      </c>
      <c r="O27" s="11"/>
      <c r="P27" s="7">
        <v>11987.08</v>
      </c>
      <c r="Q27" s="2"/>
      <c r="R27" s="6">
        <f t="shared" si="4"/>
        <v>0</v>
      </c>
      <c r="S27" s="2"/>
      <c r="T27" s="7">
        <v>11905.8461538462</v>
      </c>
      <c r="U27" s="2"/>
      <c r="V27" s="6">
        <f t="shared" si="5"/>
        <v>0</v>
      </c>
      <c r="W27" s="2"/>
      <c r="X27" s="7">
        <f t="shared" si="6"/>
        <v>81.233846153800187</v>
      </c>
      <c r="Y27" s="2"/>
      <c r="Z27" s="6">
        <f t="shared" si="7"/>
        <v>6.823021657100573E-3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7">
        <v>908.12</v>
      </c>
      <c r="E28" s="2"/>
      <c r="F28" s="6">
        <f t="shared" si="0"/>
        <v>0</v>
      </c>
      <c r="G28" s="2"/>
      <c r="H28" s="7">
        <v>828.45230769230795</v>
      </c>
      <c r="I28" s="2"/>
      <c r="J28" s="6">
        <f t="shared" si="1"/>
        <v>0</v>
      </c>
      <c r="K28" s="2"/>
      <c r="L28" s="7">
        <f t="shared" si="2"/>
        <v>79.66769230769205</v>
      </c>
      <c r="M28" s="2"/>
      <c r="N28" s="6">
        <f t="shared" si="3"/>
        <v>9.6164488369415102E-2</v>
      </c>
      <c r="O28" s="11"/>
      <c r="P28" s="7">
        <v>10897.44</v>
      </c>
      <c r="Q28" s="2"/>
      <c r="R28" s="6">
        <f t="shared" si="4"/>
        <v>0</v>
      </c>
      <c r="S28" s="2"/>
      <c r="T28" s="7">
        <v>9941.4276923076795</v>
      </c>
      <c r="U28" s="2"/>
      <c r="V28" s="6">
        <f t="shared" si="5"/>
        <v>0</v>
      </c>
      <c r="W28" s="2"/>
      <c r="X28" s="7">
        <f t="shared" si="6"/>
        <v>956.01230769232097</v>
      </c>
      <c r="Y28" s="2"/>
      <c r="Z28" s="6">
        <f t="shared" si="7"/>
        <v>9.6164488369416906E-2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7"/>
      <c r="E29" s="2"/>
      <c r="F29" s="6">
        <f t="shared" si="0"/>
        <v>0</v>
      </c>
      <c r="G29" s="2"/>
      <c r="H29" s="7">
        <v>525</v>
      </c>
      <c r="I29" s="2"/>
      <c r="J29" s="6">
        <f t="shared" si="1"/>
        <v>0</v>
      </c>
      <c r="K29" s="2"/>
      <c r="L29" s="7">
        <f t="shared" si="2"/>
        <v>-525</v>
      </c>
      <c r="M29" s="2"/>
      <c r="N29" s="6">
        <f t="shared" si="3"/>
        <v>-1</v>
      </c>
      <c r="O29" s="11"/>
      <c r="P29" s="7">
        <v>339.83</v>
      </c>
      <c r="Q29" s="2"/>
      <c r="R29" s="6">
        <f t="shared" si="4"/>
        <v>0</v>
      </c>
      <c r="S29" s="2"/>
      <c r="T29" s="7">
        <v>5775</v>
      </c>
      <c r="U29" s="2"/>
      <c r="V29" s="6">
        <f t="shared" si="5"/>
        <v>0</v>
      </c>
      <c r="W29" s="2"/>
      <c r="X29" s="7">
        <f t="shared" si="6"/>
        <v>-5435.17</v>
      </c>
      <c r="Y29" s="2"/>
      <c r="Z29" s="6">
        <f t="shared" si="7"/>
        <v>-0.94115497835497841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22992.420000000002</v>
      </c>
      <c r="E30" s="1"/>
      <c r="F30" s="5">
        <f t="shared" ref="F30:F40" si="8">IF(D$12=0,0,D30/D$12)</f>
        <v>0</v>
      </c>
      <c r="G30" s="1"/>
      <c r="H30" s="1">
        <f>SUM(OSRRefH22_1x_0)</f>
        <v>26027.630769230767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-3035.2107692307654</v>
      </c>
      <c r="M30" s="1"/>
      <c r="N30" s="5">
        <f t="shared" ref="N30:N40" si="11">IF(H30=0,0,L30/H30)</f>
        <v>-0.11661494648290915</v>
      </c>
      <c r="O30" s="13"/>
      <c r="P30" s="1">
        <f>SUM(OSRRefP22_1x_0)</f>
        <v>282719.46999999997</v>
      </c>
      <c r="Q30" s="1"/>
      <c r="R30" s="5">
        <f t="shared" ref="R30:R40" si="12">IF(P$12=0,0,P30/P$12)</f>
        <v>0</v>
      </c>
      <c r="S30" s="1"/>
      <c r="T30" s="1">
        <f>SUM(OSRRefT22_1x_0)</f>
        <v>312331.569230769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-29612.099230769032</v>
      </c>
      <c r="Y30" s="1"/>
      <c r="Z30" s="5">
        <f t="shared" ref="Z30:Z40" si="15">IF(T30=0,0,X30/T30)</f>
        <v>-9.4809817988299044E-2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>
        <v>8410.48</v>
      </c>
      <c r="E31" s="2"/>
      <c r="F31" s="6">
        <f t="shared" si="8"/>
        <v>0</v>
      </c>
      <c r="G31" s="2"/>
      <c r="H31" s="7">
        <v>9129.2307692307695</v>
      </c>
      <c r="I31" s="2"/>
      <c r="J31" s="6">
        <f t="shared" si="9"/>
        <v>0</v>
      </c>
      <c r="K31" s="2"/>
      <c r="L31" s="7">
        <f t="shared" si="10"/>
        <v>-718.75076923076995</v>
      </c>
      <c r="M31" s="2"/>
      <c r="N31" s="6">
        <f t="shared" si="11"/>
        <v>-7.8730704415234318E-2</v>
      </c>
      <c r="O31" s="11"/>
      <c r="P31" s="7">
        <v>108571.76</v>
      </c>
      <c r="Q31" s="2"/>
      <c r="R31" s="6">
        <f t="shared" si="12"/>
        <v>0</v>
      </c>
      <c r="S31" s="2"/>
      <c r="T31" s="7">
        <v>109550.769230769</v>
      </c>
      <c r="U31" s="2"/>
      <c r="V31" s="6">
        <f t="shared" si="13"/>
        <v>0</v>
      </c>
      <c r="W31" s="2"/>
      <c r="X31" s="7">
        <f t="shared" si="14"/>
        <v>-979.00923076900654</v>
      </c>
      <c r="Y31" s="2"/>
      <c r="Z31" s="6">
        <f t="shared" si="15"/>
        <v>-8.9365801595306087E-3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>
        <v>9711.81</v>
      </c>
      <c r="E34" s="2"/>
      <c r="F34" s="6">
        <f t="shared" si="8"/>
        <v>0</v>
      </c>
      <c r="G34" s="2"/>
      <c r="H34" s="7">
        <v>9126.4</v>
      </c>
      <c r="I34" s="2"/>
      <c r="J34" s="6">
        <f t="shared" si="9"/>
        <v>0</v>
      </c>
      <c r="K34" s="2"/>
      <c r="L34" s="7">
        <f t="shared" si="10"/>
        <v>585.40999999999985</v>
      </c>
      <c r="M34" s="2"/>
      <c r="N34" s="6">
        <f t="shared" si="11"/>
        <v>6.4144679172510502E-2</v>
      </c>
      <c r="O34" s="11"/>
      <c r="P34" s="7">
        <v>116209.18</v>
      </c>
      <c r="Q34" s="2"/>
      <c r="R34" s="6">
        <f t="shared" si="12"/>
        <v>0</v>
      </c>
      <c r="S34" s="2"/>
      <c r="T34" s="7">
        <v>109516.8</v>
      </c>
      <c r="U34" s="2"/>
      <c r="V34" s="6">
        <f t="shared" si="13"/>
        <v>0</v>
      </c>
      <c r="W34" s="2"/>
      <c r="X34" s="7">
        <f t="shared" si="14"/>
        <v>6692.3799999999901</v>
      </c>
      <c r="Y34" s="2"/>
      <c r="Z34" s="6">
        <f t="shared" si="15"/>
        <v>6.1108250058438431E-2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>
        <v>4870.13</v>
      </c>
      <c r="E35" s="2"/>
      <c r="F35" s="6">
        <f t="shared" si="8"/>
        <v>0</v>
      </c>
      <c r="G35" s="2"/>
      <c r="H35" s="7">
        <v>7772</v>
      </c>
      <c r="I35" s="2"/>
      <c r="J35" s="6">
        <f t="shared" si="9"/>
        <v>0</v>
      </c>
      <c r="K35" s="2"/>
      <c r="L35" s="7">
        <f t="shared" si="10"/>
        <v>-2901.87</v>
      </c>
      <c r="M35" s="2"/>
      <c r="N35" s="6">
        <f t="shared" si="11"/>
        <v>-0.3733749356664951</v>
      </c>
      <c r="O35" s="11"/>
      <c r="P35" s="7">
        <v>57938.53</v>
      </c>
      <c r="Q35" s="2"/>
      <c r="R35" s="6">
        <f t="shared" si="12"/>
        <v>0</v>
      </c>
      <c r="S35" s="2"/>
      <c r="T35" s="7">
        <v>93264</v>
      </c>
      <c r="U35" s="2"/>
      <c r="V35" s="6">
        <f t="shared" si="13"/>
        <v>0</v>
      </c>
      <c r="W35" s="2"/>
      <c r="X35" s="7">
        <f t="shared" si="14"/>
        <v>-35325.47</v>
      </c>
      <c r="Y35" s="2"/>
      <c r="Z35" s="6">
        <f t="shared" si="15"/>
        <v>-0.37876854949390976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>
        <v>0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3" si="16">IF(D$12=0,0,D41/D$12)</f>
        <v>0</v>
      </c>
      <c r="G41" s="1"/>
      <c r="H41" s="1">
        <f>SUM(OSRRefH22_2x_0)</f>
        <v>250</v>
      </c>
      <c r="I41" s="1"/>
      <c r="J41" s="5">
        <f t="shared" ref="J41:J53" si="17">IF(H$12=0,0,H41/H$12)</f>
        <v>0</v>
      </c>
      <c r="K41" s="1"/>
      <c r="L41" s="1">
        <f t="shared" ref="L41:L53" si="18">+D41-H41</f>
        <v>-250</v>
      </c>
      <c r="M41" s="1"/>
      <c r="N41" s="5">
        <f t="shared" ref="N41:N53" si="19">IF(H41=0,0,L41/H41)</f>
        <v>-1</v>
      </c>
      <c r="O41" s="13"/>
      <c r="P41" s="1">
        <f>SUM(OSRRefP22_2x_0)</f>
        <v>0</v>
      </c>
      <c r="Q41" s="1"/>
      <c r="R41" s="5">
        <f t="shared" ref="R41:R53" si="20">IF(P$12=0,0,P41/P$12)</f>
        <v>0</v>
      </c>
      <c r="S41" s="1"/>
      <c r="T41" s="1">
        <f>SUM(OSRRefT22_2x_0)</f>
        <v>2750</v>
      </c>
      <c r="U41" s="1"/>
      <c r="V41" s="5">
        <f t="shared" ref="V41:V53" si="21">IF(T$12=0,0,T41/T$12)</f>
        <v>0</v>
      </c>
      <c r="W41" s="1"/>
      <c r="X41" s="1">
        <f t="shared" ref="X41:X53" si="22">+P41-T41</f>
        <v>-2750</v>
      </c>
      <c r="Y41" s="1"/>
      <c r="Z41" s="5">
        <f t="shared" ref="Z41:Z53" si="23">IF(T41=0,0,X41/T41)</f>
        <v>-1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>
        <v>250</v>
      </c>
      <c r="I42" s="2"/>
      <c r="J42" s="6">
        <f t="shared" si="17"/>
        <v>0</v>
      </c>
      <c r="K42" s="2"/>
      <c r="L42" s="7">
        <f t="shared" si="18"/>
        <v>-250</v>
      </c>
      <c r="M42" s="2"/>
      <c r="N42" s="6">
        <f t="shared" si="19"/>
        <v>-1</v>
      </c>
      <c r="O42" s="11"/>
      <c r="P42" s="7"/>
      <c r="Q42" s="2"/>
      <c r="R42" s="6">
        <f t="shared" si="20"/>
        <v>0</v>
      </c>
      <c r="S42" s="2"/>
      <c r="T42" s="7">
        <v>2750</v>
      </c>
      <c r="U42" s="2"/>
      <c r="V42" s="6">
        <f t="shared" si="21"/>
        <v>0</v>
      </c>
      <c r="W42" s="2"/>
      <c r="X42" s="7">
        <f t="shared" si="22"/>
        <v>-2750</v>
      </c>
      <c r="Y42" s="2"/>
      <c r="Z42" s="6">
        <f t="shared" si="23"/>
        <v>-1</v>
      </c>
    </row>
    <row r="43" spans="1:26" s="27" customFormat="1" outlineLevel="1" collapsed="1" x14ac:dyDescent="0.25">
      <c r="A43" s="26"/>
      <c r="B43" s="13" t="str">
        <f>CONCATENATE("     ","Employees' Appreciation                           ")</f>
        <v xml:space="preserve">     Employees' Appreciation                           </v>
      </c>
      <c r="C43" s="13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3"/>
      <c r="P43" s="1">
        <f>SUM(OSRRefP22_3x_0)</f>
        <v>81.56</v>
      </c>
      <c r="Q43" s="1"/>
      <c r="R43" s="5">
        <f t="shared" si="20"/>
        <v>0</v>
      </c>
      <c r="S43" s="1"/>
      <c r="T43" s="1">
        <f>SUM(OSRRefT22_3x_0)</f>
        <v>11550</v>
      </c>
      <c r="U43" s="1"/>
      <c r="V43" s="5">
        <f t="shared" si="21"/>
        <v>0</v>
      </c>
      <c r="W43" s="1"/>
      <c r="X43" s="1">
        <f t="shared" si="22"/>
        <v>-11468.44</v>
      </c>
      <c r="Y43" s="1"/>
      <c r="Z43" s="5">
        <f t="shared" si="23"/>
        <v>-0.99293852813852823</v>
      </c>
    </row>
    <row r="44" spans="1:26" s="24" customFormat="1" hidden="1" outlineLevel="2" x14ac:dyDescent="0.25">
      <c r="A44" s="25"/>
      <c r="B44" s="11" t="str">
        <f>CONCATENATE("          ", "6277", " - ", "EMPLOYEE APPRECIATION")</f>
        <v xml:space="preserve">          6277 - EMPLOYEE APPRECIATION</v>
      </c>
      <c r="C44" s="11"/>
      <c r="D44" s="7"/>
      <c r="E44" s="2"/>
      <c r="F44" s="6">
        <f t="shared" si="16"/>
        <v>0</v>
      </c>
      <c r="G44" s="2"/>
      <c r="H44" s="7">
        <v>0</v>
      </c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81.56</v>
      </c>
      <c r="Q44" s="2"/>
      <c r="R44" s="6">
        <f t="shared" si="20"/>
        <v>0</v>
      </c>
      <c r="S44" s="2"/>
      <c r="T44" s="7">
        <v>11550</v>
      </c>
      <c r="U44" s="2"/>
      <c r="V44" s="6">
        <f t="shared" si="21"/>
        <v>0</v>
      </c>
      <c r="W44" s="2"/>
      <c r="X44" s="7">
        <f t="shared" si="22"/>
        <v>-11468.44</v>
      </c>
      <c r="Y44" s="2"/>
      <c r="Z44" s="6">
        <f t="shared" si="23"/>
        <v>-0.99293852813852823</v>
      </c>
    </row>
    <row r="45" spans="1:26" s="27" customFormat="1" outlineLevel="1" collapsed="1" x14ac:dyDescent="0.25">
      <c r="A45" s="26"/>
      <c r="B45" s="13" t="str">
        <f>CONCATENATE("     ","Equipment Rental                                  ")</f>
        <v xml:space="preserve">     Equipment Rental                                  </v>
      </c>
      <c r="C45" s="13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82</v>
      </c>
      <c r="I45" s="1"/>
      <c r="J45" s="5">
        <f t="shared" si="17"/>
        <v>0</v>
      </c>
      <c r="K45" s="1"/>
      <c r="L45" s="1">
        <f t="shared" si="18"/>
        <v>-82</v>
      </c>
      <c r="M45" s="1"/>
      <c r="N45" s="5">
        <f t="shared" si="19"/>
        <v>-1</v>
      </c>
      <c r="O45" s="13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820</v>
      </c>
      <c r="U45" s="1"/>
      <c r="V45" s="5">
        <f t="shared" si="21"/>
        <v>0</v>
      </c>
      <c r="W45" s="1"/>
      <c r="X45" s="1">
        <f t="shared" si="22"/>
        <v>-820</v>
      </c>
      <c r="Y45" s="1"/>
      <c r="Z45" s="5">
        <f t="shared" si="23"/>
        <v>-1</v>
      </c>
    </row>
    <row r="46" spans="1:26" s="24" customFormat="1" hidden="1" outlineLevel="2" x14ac:dyDescent="0.25">
      <c r="A46" s="25"/>
      <c r="B46" s="11" t="str">
        <f>CONCATENATE("          ", "6351", " - ", "EQUIPMENT RENTAL")</f>
        <v xml:space="preserve">          6351 - EQUIPMENT RENTAL</v>
      </c>
      <c r="C46" s="11"/>
      <c r="D46" s="7"/>
      <c r="E46" s="2"/>
      <c r="F46" s="6">
        <f t="shared" si="16"/>
        <v>0</v>
      </c>
      <c r="G46" s="2"/>
      <c r="H46" s="7">
        <v>82</v>
      </c>
      <c r="I46" s="2"/>
      <c r="J46" s="6">
        <f t="shared" si="17"/>
        <v>0</v>
      </c>
      <c r="K46" s="2"/>
      <c r="L46" s="7">
        <f t="shared" si="18"/>
        <v>-82</v>
      </c>
      <c r="M46" s="2"/>
      <c r="N46" s="6">
        <f t="shared" si="19"/>
        <v>-1</v>
      </c>
      <c r="O46" s="11"/>
      <c r="P46" s="7"/>
      <c r="Q46" s="2"/>
      <c r="R46" s="6">
        <f t="shared" si="20"/>
        <v>0</v>
      </c>
      <c r="S46" s="2"/>
      <c r="T46" s="7">
        <v>820</v>
      </c>
      <c r="U46" s="2"/>
      <c r="V46" s="6">
        <f t="shared" si="21"/>
        <v>0</v>
      </c>
      <c r="W46" s="2"/>
      <c r="X46" s="7">
        <f t="shared" si="22"/>
        <v>-820</v>
      </c>
      <c r="Y46" s="2"/>
      <c r="Z46" s="6">
        <f t="shared" si="23"/>
        <v>-1</v>
      </c>
    </row>
    <row r="47" spans="1:26" s="27" customFormat="1" outlineLevel="1" collapsed="1" x14ac:dyDescent="0.25">
      <c r="A47" s="26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2.2400000000000002</v>
      </c>
      <c r="E47" s="1"/>
      <c r="F47" s="5">
        <f t="shared" si="16"/>
        <v>0</v>
      </c>
      <c r="G47" s="1"/>
      <c r="H47" s="1">
        <f>SUM(OSRRefH22_5x_0)</f>
        <v>83</v>
      </c>
      <c r="I47" s="1"/>
      <c r="J47" s="5">
        <f t="shared" si="17"/>
        <v>0</v>
      </c>
      <c r="K47" s="1"/>
      <c r="L47" s="1">
        <f t="shared" si="18"/>
        <v>-80.760000000000005</v>
      </c>
      <c r="M47" s="1"/>
      <c r="N47" s="5">
        <f t="shared" si="19"/>
        <v>-0.9730120481927711</v>
      </c>
      <c r="O47" s="13"/>
      <c r="P47" s="1">
        <f>SUM(OSRRefP22_5x_0)</f>
        <v>119.01</v>
      </c>
      <c r="Q47" s="1"/>
      <c r="R47" s="5">
        <f t="shared" si="20"/>
        <v>0</v>
      </c>
      <c r="S47" s="1"/>
      <c r="T47" s="1">
        <f>SUM(OSRRefT22_5x_0)</f>
        <v>913</v>
      </c>
      <c r="U47" s="1"/>
      <c r="V47" s="5">
        <f t="shared" si="21"/>
        <v>0</v>
      </c>
      <c r="W47" s="1"/>
      <c r="X47" s="1">
        <f t="shared" si="22"/>
        <v>-793.99</v>
      </c>
      <c r="Y47" s="1"/>
      <c r="Z47" s="5">
        <f t="shared" si="23"/>
        <v>-0.8696495071193866</v>
      </c>
    </row>
    <row r="48" spans="1:26" s="24" customFormat="1" hidden="1" outlineLevel="2" x14ac:dyDescent="0.25">
      <c r="A48" s="25"/>
      <c r="B48" s="11" t="str">
        <f>CONCATENATE("          ", "6307", " - ", "POSTAGE")</f>
        <v xml:space="preserve">          6307 - POSTAGE</v>
      </c>
      <c r="C48" s="11"/>
      <c r="D48" s="7">
        <v>2.2400000000000002</v>
      </c>
      <c r="E48" s="2"/>
      <c r="F48" s="6">
        <f t="shared" si="16"/>
        <v>0</v>
      </c>
      <c r="G48" s="2"/>
      <c r="H48" s="7">
        <v>83</v>
      </c>
      <c r="I48" s="2"/>
      <c r="J48" s="6">
        <f t="shared" si="17"/>
        <v>0</v>
      </c>
      <c r="K48" s="2"/>
      <c r="L48" s="7">
        <f t="shared" si="18"/>
        <v>-80.760000000000005</v>
      </c>
      <c r="M48" s="2"/>
      <c r="N48" s="6">
        <f t="shared" si="19"/>
        <v>-0.9730120481927711</v>
      </c>
      <c r="O48" s="11"/>
      <c r="P48" s="7">
        <v>119.01</v>
      </c>
      <c r="Q48" s="2"/>
      <c r="R48" s="6">
        <f t="shared" si="20"/>
        <v>0</v>
      </c>
      <c r="S48" s="2"/>
      <c r="T48" s="7">
        <v>913</v>
      </c>
      <c r="U48" s="2"/>
      <c r="V48" s="6">
        <f t="shared" si="21"/>
        <v>0</v>
      </c>
      <c r="W48" s="2"/>
      <c r="X48" s="7">
        <f t="shared" si="22"/>
        <v>-793.99</v>
      </c>
      <c r="Y48" s="2"/>
      <c r="Z48" s="6">
        <f t="shared" si="23"/>
        <v>-0.8696495071193866</v>
      </c>
    </row>
    <row r="49" spans="1:26" s="27" customFormat="1" outlineLevel="1" collapsed="1" x14ac:dyDescent="0.25">
      <c r="A49" s="26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337</v>
      </c>
      <c r="E49" s="1"/>
      <c r="F49" s="5">
        <f t="shared" si="16"/>
        <v>0</v>
      </c>
      <c r="G49" s="1"/>
      <c r="H49" s="1">
        <f>SUM(OSRRefH22_6x_0)</f>
        <v>333</v>
      </c>
      <c r="I49" s="1"/>
      <c r="J49" s="5">
        <f t="shared" si="17"/>
        <v>0</v>
      </c>
      <c r="K49" s="1"/>
      <c r="L49" s="1">
        <f t="shared" si="18"/>
        <v>4</v>
      </c>
      <c r="M49" s="1"/>
      <c r="N49" s="5">
        <f t="shared" si="19"/>
        <v>1.2012012012012012E-2</v>
      </c>
      <c r="O49" s="13"/>
      <c r="P49" s="1">
        <f>SUM(OSRRefP22_6x_0)</f>
        <v>618.14</v>
      </c>
      <c r="Q49" s="1"/>
      <c r="R49" s="5">
        <f t="shared" si="20"/>
        <v>0</v>
      </c>
      <c r="S49" s="1"/>
      <c r="T49" s="1">
        <f>SUM(OSRRefT22_6x_0)</f>
        <v>3663</v>
      </c>
      <c r="U49" s="1"/>
      <c r="V49" s="5">
        <f t="shared" si="21"/>
        <v>0</v>
      </c>
      <c r="W49" s="1"/>
      <c r="X49" s="1">
        <f t="shared" si="22"/>
        <v>-3044.86</v>
      </c>
      <c r="Y49" s="1"/>
      <c r="Z49" s="5">
        <f t="shared" si="23"/>
        <v>-0.83124761124761126</v>
      </c>
    </row>
    <row r="50" spans="1:26" s="24" customFormat="1" hidden="1" outlineLevel="2" x14ac:dyDescent="0.25">
      <c r="A50" s="25"/>
      <c r="B50" s="11" t="str">
        <f>CONCATENATE("          ", "6279", " - ", "GENERAL EXPENSE")</f>
        <v xml:space="preserve">          6279 - GENERAL EXPENSE</v>
      </c>
      <c r="C50" s="11"/>
      <c r="D50" s="7">
        <v>337</v>
      </c>
      <c r="E50" s="2"/>
      <c r="F50" s="6">
        <f t="shared" si="16"/>
        <v>0</v>
      </c>
      <c r="G50" s="2"/>
      <c r="H50" s="7">
        <v>333</v>
      </c>
      <c r="I50" s="2"/>
      <c r="J50" s="6">
        <f t="shared" si="17"/>
        <v>0</v>
      </c>
      <c r="K50" s="2"/>
      <c r="L50" s="7">
        <f t="shared" si="18"/>
        <v>4</v>
      </c>
      <c r="M50" s="2"/>
      <c r="N50" s="6">
        <f t="shared" si="19"/>
        <v>1.2012012012012012E-2</v>
      </c>
      <c r="O50" s="11"/>
      <c r="P50" s="7">
        <v>618.14</v>
      </c>
      <c r="Q50" s="2"/>
      <c r="R50" s="6">
        <f t="shared" si="20"/>
        <v>0</v>
      </c>
      <c r="S50" s="2"/>
      <c r="T50" s="7">
        <v>3663</v>
      </c>
      <c r="U50" s="2"/>
      <c r="V50" s="6">
        <f t="shared" si="21"/>
        <v>0</v>
      </c>
      <c r="W50" s="2"/>
      <c r="X50" s="7">
        <f t="shared" si="22"/>
        <v>-3044.86</v>
      </c>
      <c r="Y50" s="2"/>
      <c r="Z50" s="6">
        <f t="shared" si="23"/>
        <v>-0.83124761124761126</v>
      </c>
    </row>
    <row r="51" spans="1:26" s="27" customFormat="1" outlineLevel="1" collapsed="1" x14ac:dyDescent="0.25">
      <c r="A51" s="26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65.47</v>
      </c>
      <c r="E51" s="1"/>
      <c r="F51" s="5">
        <f t="shared" si="16"/>
        <v>0</v>
      </c>
      <c r="G51" s="1"/>
      <c r="H51" s="1">
        <f>SUM(OSRRefH22_7x_0)</f>
        <v>73</v>
      </c>
      <c r="I51" s="1"/>
      <c r="J51" s="5">
        <f t="shared" si="17"/>
        <v>0</v>
      </c>
      <c r="K51" s="1"/>
      <c r="L51" s="1">
        <f t="shared" si="18"/>
        <v>-7.5300000000000011</v>
      </c>
      <c r="M51" s="1"/>
      <c r="N51" s="5">
        <f t="shared" si="19"/>
        <v>-0.10315068493150686</v>
      </c>
      <c r="O51" s="13"/>
      <c r="P51" s="1">
        <f>SUM(OSRRefP22_7x_0)</f>
        <v>720.17</v>
      </c>
      <c r="Q51" s="1"/>
      <c r="R51" s="5">
        <f t="shared" si="20"/>
        <v>0</v>
      </c>
      <c r="S51" s="1"/>
      <c r="T51" s="1">
        <f>SUM(OSRRefT22_7x_0)</f>
        <v>1583</v>
      </c>
      <c r="U51" s="1"/>
      <c r="V51" s="5">
        <f t="shared" si="21"/>
        <v>0</v>
      </c>
      <c r="W51" s="1"/>
      <c r="X51" s="1">
        <f t="shared" si="22"/>
        <v>-862.83</v>
      </c>
      <c r="Y51" s="1"/>
      <c r="Z51" s="5">
        <f t="shared" si="23"/>
        <v>-0.54506001263423887</v>
      </c>
    </row>
    <row r="52" spans="1:26" s="24" customFormat="1" hidden="1" outlineLevel="2" x14ac:dyDescent="0.25">
      <c r="A52" s="25"/>
      <c r="B52" s="11" t="str">
        <f>CONCATENATE("          ", "6312", " - ", "FIRE &amp; THEFT INSURANCE")</f>
        <v xml:space="preserve">          6312 - FIRE &amp; THEFT INSURANCE</v>
      </c>
      <c r="C52" s="11"/>
      <c r="D52" s="7"/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0</v>
      </c>
      <c r="M52" s="2"/>
      <c r="N52" s="6">
        <f t="shared" si="19"/>
        <v>0</v>
      </c>
      <c r="O52" s="11"/>
      <c r="P52" s="7"/>
      <c r="Q52" s="2"/>
      <c r="R52" s="6">
        <f t="shared" si="20"/>
        <v>0</v>
      </c>
      <c r="S52" s="2"/>
      <c r="T52" s="7">
        <v>780</v>
      </c>
      <c r="U52" s="2"/>
      <c r="V52" s="6">
        <f t="shared" si="21"/>
        <v>0</v>
      </c>
      <c r="W52" s="2"/>
      <c r="X52" s="7">
        <f t="shared" si="22"/>
        <v>-780</v>
      </c>
      <c r="Y52" s="2"/>
      <c r="Z52" s="6">
        <f t="shared" si="23"/>
        <v>-1</v>
      </c>
    </row>
    <row r="53" spans="1:26" s="24" customFormat="1" hidden="1" outlineLevel="2" x14ac:dyDescent="0.25">
      <c r="A53" s="25"/>
      <c r="B53" s="11" t="str">
        <f>CONCATENATE("          ", "6314", " - ", "LIABILITY INSURANCE")</f>
        <v xml:space="preserve">          6314 - LIABILITY INSURANCE</v>
      </c>
      <c r="C53" s="11"/>
      <c r="D53" s="7">
        <v>65.47</v>
      </c>
      <c r="E53" s="2"/>
      <c r="F53" s="6">
        <f t="shared" si="16"/>
        <v>0</v>
      </c>
      <c r="G53" s="2"/>
      <c r="H53" s="7">
        <v>73</v>
      </c>
      <c r="I53" s="2"/>
      <c r="J53" s="6">
        <f t="shared" si="17"/>
        <v>0</v>
      </c>
      <c r="K53" s="2"/>
      <c r="L53" s="7">
        <f t="shared" si="18"/>
        <v>-7.5300000000000011</v>
      </c>
      <c r="M53" s="2"/>
      <c r="N53" s="6">
        <f t="shared" si="19"/>
        <v>-0.10315068493150686</v>
      </c>
      <c r="O53" s="11"/>
      <c r="P53" s="7">
        <v>720.17</v>
      </c>
      <c r="Q53" s="2"/>
      <c r="R53" s="6">
        <f t="shared" si="20"/>
        <v>0</v>
      </c>
      <c r="S53" s="2"/>
      <c r="T53" s="7">
        <v>803</v>
      </c>
      <c r="U53" s="2"/>
      <c r="V53" s="6">
        <f t="shared" si="21"/>
        <v>0</v>
      </c>
      <c r="W53" s="2"/>
      <c r="X53" s="7">
        <f t="shared" si="22"/>
        <v>-82.830000000000041</v>
      </c>
      <c r="Y53" s="2"/>
      <c r="Z53" s="6">
        <f t="shared" si="23"/>
        <v>-0.10315068493150691</v>
      </c>
    </row>
    <row r="54" spans="1:26" s="27" customFormat="1" outlineLevel="1" collapsed="1" x14ac:dyDescent="0.25">
      <c r="A54" s="26"/>
      <c r="B54" s="13" t="str">
        <f>CONCATENATE("     ","Professional Services                             ")</f>
        <v xml:space="preserve">     Professional Services                             </v>
      </c>
      <c r="C54" s="13"/>
      <c r="D54" s="1">
        <f>SUM(OSRRefD22_8x_0)</f>
        <v>0</v>
      </c>
      <c r="E54" s="1"/>
      <c r="F54" s="5">
        <f t="shared" ref="F54:F57" si="24">IF(D$12=0,0,D54/D$12)</f>
        <v>0</v>
      </c>
      <c r="G54" s="1"/>
      <c r="H54" s="1">
        <f>SUM(OSRRefH22_8x_0)</f>
        <v>2083</v>
      </c>
      <c r="I54" s="1"/>
      <c r="J54" s="5">
        <f t="shared" ref="J54:J57" si="25">IF(H$12=0,0,H54/H$12)</f>
        <v>0</v>
      </c>
      <c r="K54" s="1"/>
      <c r="L54" s="1">
        <f t="shared" ref="L54:L57" si="26">+D54-H54</f>
        <v>-2083</v>
      </c>
      <c r="M54" s="1"/>
      <c r="N54" s="5">
        <f t="shared" ref="N54:N57" si="27">IF(H54=0,0,L54/H54)</f>
        <v>-1</v>
      </c>
      <c r="O54" s="13"/>
      <c r="P54" s="1">
        <f>SUM(OSRRefP22_8x_0)</f>
        <v>10474.880000000001</v>
      </c>
      <c r="Q54" s="1"/>
      <c r="R54" s="5">
        <f t="shared" ref="R54:R57" si="28">IF(P$12=0,0,P54/P$12)</f>
        <v>0</v>
      </c>
      <c r="S54" s="1"/>
      <c r="T54" s="1">
        <f>SUM(OSRRefT22_8x_0)</f>
        <v>22913</v>
      </c>
      <c r="U54" s="1"/>
      <c r="V54" s="5">
        <f t="shared" ref="V54:V57" si="29">IF(T$12=0,0,T54/T$12)</f>
        <v>0</v>
      </c>
      <c r="W54" s="1"/>
      <c r="X54" s="1">
        <f t="shared" ref="X54:X57" si="30">+P54-T54</f>
        <v>-12438.119999999999</v>
      </c>
      <c r="Y54" s="1"/>
      <c r="Z54" s="5">
        <f t="shared" ref="Z54:Z57" si="31">IF(T54=0,0,X54/T54)</f>
        <v>-0.54284118186182517</v>
      </c>
    </row>
    <row r="55" spans="1:26" s="24" customFormat="1" hidden="1" outlineLevel="2" x14ac:dyDescent="0.25">
      <c r="A55" s="25"/>
      <c r="B55" s="11" t="str">
        <f>CONCATENATE("          ", "6332", " - ", "CONSULTANT FEES")</f>
        <v xml:space="preserve">          6332 - CONSULTANT FEES</v>
      </c>
      <c r="C55" s="11"/>
      <c r="D55" s="7"/>
      <c r="E55" s="2"/>
      <c r="F55" s="6">
        <f t="shared" si="24"/>
        <v>0</v>
      </c>
      <c r="G55" s="2"/>
      <c r="H55" s="7">
        <v>0</v>
      </c>
      <c r="I55" s="2"/>
      <c r="J55" s="6">
        <f t="shared" si="25"/>
        <v>0</v>
      </c>
      <c r="K55" s="2"/>
      <c r="L55" s="7">
        <f t="shared" si="26"/>
        <v>0</v>
      </c>
      <c r="M55" s="2"/>
      <c r="N55" s="6">
        <f t="shared" si="27"/>
        <v>0</v>
      </c>
      <c r="O55" s="11"/>
      <c r="P55" s="7"/>
      <c r="Q55" s="2"/>
      <c r="R55" s="6">
        <f t="shared" si="28"/>
        <v>0</v>
      </c>
      <c r="S55" s="2"/>
      <c r="T55" s="7">
        <v>0</v>
      </c>
      <c r="U55" s="2"/>
      <c r="V55" s="6">
        <f t="shared" si="29"/>
        <v>0</v>
      </c>
      <c r="W55" s="2"/>
      <c r="X55" s="7">
        <f t="shared" si="30"/>
        <v>0</v>
      </c>
      <c r="Y55" s="2"/>
      <c r="Z55" s="6">
        <f t="shared" si="31"/>
        <v>0</v>
      </c>
    </row>
    <row r="56" spans="1:26" s="24" customFormat="1" hidden="1" outlineLevel="2" x14ac:dyDescent="0.25">
      <c r="A56" s="25"/>
      <c r="B56" s="11" t="str">
        <f>CONCATENATE("          ", "6334", " - ", "LEGAL COUNCIL EXPENSE")</f>
        <v xml:space="preserve">          6334 - LEGAL COUNCIL EXPENSE</v>
      </c>
      <c r="C56" s="11"/>
      <c r="D56" s="7"/>
      <c r="E56" s="2"/>
      <c r="F56" s="6">
        <f t="shared" si="24"/>
        <v>0</v>
      </c>
      <c r="G56" s="2"/>
      <c r="H56" s="7">
        <v>833</v>
      </c>
      <c r="I56" s="2"/>
      <c r="J56" s="6">
        <f t="shared" si="25"/>
        <v>0</v>
      </c>
      <c r="K56" s="2"/>
      <c r="L56" s="7">
        <f t="shared" si="26"/>
        <v>-833</v>
      </c>
      <c r="M56" s="2"/>
      <c r="N56" s="6">
        <f t="shared" si="27"/>
        <v>-1</v>
      </c>
      <c r="O56" s="11"/>
      <c r="P56" s="7">
        <v>2450</v>
      </c>
      <c r="Q56" s="2"/>
      <c r="R56" s="6">
        <f t="shared" si="28"/>
        <v>0</v>
      </c>
      <c r="S56" s="2"/>
      <c r="T56" s="7">
        <v>9163</v>
      </c>
      <c r="U56" s="2"/>
      <c r="V56" s="6">
        <f t="shared" si="29"/>
        <v>0</v>
      </c>
      <c r="W56" s="2"/>
      <c r="X56" s="7">
        <f t="shared" si="30"/>
        <v>-6713</v>
      </c>
      <c r="Y56" s="2"/>
      <c r="Z56" s="6">
        <f t="shared" si="31"/>
        <v>-0.73262032085561501</v>
      </c>
    </row>
    <row r="57" spans="1:26" s="24" customFormat="1" hidden="1" outlineLevel="2" x14ac:dyDescent="0.25">
      <c r="A57" s="25"/>
      <c r="B57" s="11" t="str">
        <f>CONCATENATE("          ", "6336", " - ", "PROFESSIONAL SERVICES")</f>
        <v xml:space="preserve">          6336 - PROFESSIONAL SERVICES</v>
      </c>
      <c r="C57" s="11"/>
      <c r="D57" s="7"/>
      <c r="E57" s="2"/>
      <c r="F57" s="6">
        <f t="shared" si="24"/>
        <v>0</v>
      </c>
      <c r="G57" s="2"/>
      <c r="H57" s="7">
        <v>1250</v>
      </c>
      <c r="I57" s="2"/>
      <c r="J57" s="6">
        <f t="shared" si="25"/>
        <v>0</v>
      </c>
      <c r="K57" s="2"/>
      <c r="L57" s="7">
        <f t="shared" si="26"/>
        <v>-1250</v>
      </c>
      <c r="M57" s="2"/>
      <c r="N57" s="6">
        <f t="shared" si="27"/>
        <v>-1</v>
      </c>
      <c r="O57" s="11"/>
      <c r="P57" s="7">
        <v>8024.88</v>
      </c>
      <c r="Q57" s="2"/>
      <c r="R57" s="6">
        <f t="shared" si="28"/>
        <v>0</v>
      </c>
      <c r="S57" s="2"/>
      <c r="T57" s="7">
        <v>13750</v>
      </c>
      <c r="U57" s="2"/>
      <c r="V57" s="6">
        <f t="shared" si="29"/>
        <v>0</v>
      </c>
      <c r="W57" s="2"/>
      <c r="X57" s="7">
        <f t="shared" si="30"/>
        <v>-5725.12</v>
      </c>
      <c r="Y57" s="2"/>
      <c r="Z57" s="6">
        <f t="shared" si="31"/>
        <v>-0.41637236363636365</v>
      </c>
    </row>
    <row r="58" spans="1:26" s="27" customFormat="1" outlineLevel="1" collapsed="1" x14ac:dyDescent="0.25">
      <c r="A58" s="26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SUM(OSRRefD22_9x_0)</f>
        <v>3975.2000000000003</v>
      </c>
      <c r="E58" s="1"/>
      <c r="F58" s="5">
        <f t="shared" ref="F58:F60" si="32">IF(D$12=0,0,D58/D$12)</f>
        <v>0</v>
      </c>
      <c r="G58" s="1"/>
      <c r="H58" s="1">
        <f>SUM(OSRRefH22_9x_0)</f>
        <v>7083</v>
      </c>
      <c r="I58" s="1"/>
      <c r="J58" s="5">
        <f t="shared" ref="J58:J60" si="33">IF(H$12=0,0,H58/H$12)</f>
        <v>0</v>
      </c>
      <c r="K58" s="1"/>
      <c r="L58" s="1">
        <f t="shared" ref="L58:L60" si="34">+D58-H58</f>
        <v>-3107.7999999999997</v>
      </c>
      <c r="M58" s="1"/>
      <c r="N58" s="5">
        <f t="shared" ref="N58:N60" si="35">IF(H58=0,0,L58/H58)</f>
        <v>-0.43876888324156427</v>
      </c>
      <c r="O58" s="13"/>
      <c r="P58" s="1">
        <f>SUM(OSRRefP22_9x_0)</f>
        <v>50910.54</v>
      </c>
      <c r="Q58" s="1"/>
      <c r="R58" s="5">
        <f t="shared" ref="R58:R60" si="36">IF(P$12=0,0,P58/P$12)</f>
        <v>0</v>
      </c>
      <c r="S58" s="1"/>
      <c r="T58" s="1">
        <f>SUM(OSRRefT22_9x_0)</f>
        <v>77913</v>
      </c>
      <c r="U58" s="1"/>
      <c r="V58" s="5">
        <f t="shared" ref="V58:V60" si="37">IF(T$12=0,0,T58/T$12)</f>
        <v>0</v>
      </c>
      <c r="W58" s="1"/>
      <c r="X58" s="1">
        <f t="shared" ref="X58:X60" si="38">+P58-T58</f>
        <v>-27002.46</v>
      </c>
      <c r="Y58" s="1"/>
      <c r="Z58" s="5">
        <f t="shared" ref="Z58:Z60" si="39">IF(T58=0,0,X58/T58)</f>
        <v>-0.3465719456316661</v>
      </c>
    </row>
    <row r="59" spans="1:26" s="24" customFormat="1" hidden="1" outlineLevel="2" x14ac:dyDescent="0.25">
      <c r="A59" s="25"/>
      <c r="B59" s="11" t="str">
        <f>CONCATENATE("          ", "6371", " - ", "COMPUTER SOFTWARE MAINTENANCE")</f>
        <v xml:space="preserve">          6371 - COMPUTER SOFTWARE MAINTENANCE</v>
      </c>
      <c r="C59" s="11"/>
      <c r="D59" s="7">
        <v>3942.07</v>
      </c>
      <c r="E59" s="2"/>
      <c r="F59" s="6">
        <f t="shared" si="32"/>
        <v>0</v>
      </c>
      <c r="G59" s="2"/>
      <c r="H59" s="7">
        <v>7083</v>
      </c>
      <c r="I59" s="2"/>
      <c r="J59" s="6">
        <f t="shared" si="33"/>
        <v>0</v>
      </c>
      <c r="K59" s="2"/>
      <c r="L59" s="7">
        <f t="shared" si="34"/>
        <v>-3140.93</v>
      </c>
      <c r="M59" s="2"/>
      <c r="N59" s="6">
        <f t="shared" si="35"/>
        <v>-0.4434462798249329</v>
      </c>
      <c r="O59" s="11"/>
      <c r="P59" s="7">
        <v>50771.39</v>
      </c>
      <c r="Q59" s="2"/>
      <c r="R59" s="6">
        <f t="shared" si="36"/>
        <v>0</v>
      </c>
      <c r="S59" s="2"/>
      <c r="T59" s="7">
        <v>77913</v>
      </c>
      <c r="U59" s="2"/>
      <c r="V59" s="6">
        <f t="shared" si="37"/>
        <v>0</v>
      </c>
      <c r="W59" s="2"/>
      <c r="X59" s="7">
        <f t="shared" si="38"/>
        <v>-27141.61</v>
      </c>
      <c r="Y59" s="2"/>
      <c r="Z59" s="6">
        <f t="shared" si="39"/>
        <v>-0.34835791203008487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7">
        <v>33.130000000000003</v>
      </c>
      <c r="E60" s="2"/>
      <c r="F60" s="6">
        <f t="shared" si="32"/>
        <v>0</v>
      </c>
      <c r="G60" s="2"/>
      <c r="H60" s="7"/>
      <c r="I60" s="2"/>
      <c r="J60" s="6">
        <f t="shared" si="33"/>
        <v>0</v>
      </c>
      <c r="K60" s="2"/>
      <c r="L60" s="7">
        <f t="shared" si="34"/>
        <v>33.130000000000003</v>
      </c>
      <c r="M60" s="2"/>
      <c r="N60" s="6">
        <f t="shared" si="35"/>
        <v>0</v>
      </c>
      <c r="O60" s="11"/>
      <c r="P60" s="7">
        <v>139.15</v>
      </c>
      <c r="Q60" s="2"/>
      <c r="R60" s="6">
        <f t="shared" si="36"/>
        <v>0</v>
      </c>
      <c r="S60" s="2"/>
      <c r="T60" s="7"/>
      <c r="U60" s="2"/>
      <c r="V60" s="6">
        <f t="shared" si="37"/>
        <v>0</v>
      </c>
      <c r="W60" s="2"/>
      <c r="X60" s="7">
        <f t="shared" si="38"/>
        <v>139.15</v>
      </c>
      <c r="Y60" s="2"/>
      <c r="Z60" s="6">
        <f t="shared" si="39"/>
        <v>0</v>
      </c>
    </row>
    <row r="61" spans="1:26" s="27" customFormat="1" outlineLevel="1" collapsed="1" x14ac:dyDescent="0.25">
      <c r="A61" s="26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SUM(OSRRefD22_10x_0)</f>
        <v>0</v>
      </c>
      <c r="E61" s="1"/>
      <c r="F61" s="5">
        <f t="shared" ref="F61:F66" si="40">IF(D$12=0,0,D61/D$12)</f>
        <v>0</v>
      </c>
      <c r="G61" s="1"/>
      <c r="H61" s="1">
        <f>SUM(OSRRefH22_10x_0)</f>
        <v>55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-55</v>
      </c>
      <c r="M61" s="1"/>
      <c r="N61" s="5">
        <f t="shared" ref="N61:N66" si="43">IF(H61=0,0,L61/H61)</f>
        <v>-1</v>
      </c>
      <c r="O61" s="13"/>
      <c r="P61" s="1">
        <f>SUM(OSRRefP22_10x_0)</f>
        <v>1329.99</v>
      </c>
      <c r="Q61" s="1"/>
      <c r="R61" s="5">
        <f t="shared" ref="R61:R66" si="44">IF(P$12=0,0,P61/P$12)</f>
        <v>0</v>
      </c>
      <c r="S61" s="1"/>
      <c r="T61" s="1">
        <f>SUM(OSRRefT22_10x_0)</f>
        <v>605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724.99</v>
      </c>
      <c r="Y61" s="1"/>
      <c r="Z61" s="5">
        <f t="shared" ref="Z61:Z66" si="47">IF(T61=0,0,X61/T61)</f>
        <v>1.1983305785123968</v>
      </c>
    </row>
    <row r="62" spans="1:26" s="24" customFormat="1" hidden="1" outlineLevel="2" x14ac:dyDescent="0.25">
      <c r="A62" s="25"/>
      <c r="B62" s="11" t="str">
        <f>CONCATENATE("          ", "6258", " - ", "MEMBERSHIP DUES")</f>
        <v xml:space="preserve">          6258 - MEMBERSHIP DUES</v>
      </c>
      <c r="C62" s="11"/>
      <c r="D62" s="7"/>
      <c r="E62" s="2"/>
      <c r="F62" s="6">
        <f t="shared" si="40"/>
        <v>0</v>
      </c>
      <c r="G62" s="2"/>
      <c r="H62" s="7">
        <v>55</v>
      </c>
      <c r="I62" s="2"/>
      <c r="J62" s="6">
        <f t="shared" si="41"/>
        <v>0</v>
      </c>
      <c r="K62" s="2"/>
      <c r="L62" s="7">
        <f t="shared" si="42"/>
        <v>-55</v>
      </c>
      <c r="M62" s="2"/>
      <c r="N62" s="6">
        <f t="shared" si="43"/>
        <v>-1</v>
      </c>
      <c r="O62" s="11"/>
      <c r="P62" s="7">
        <v>1329.99</v>
      </c>
      <c r="Q62" s="2"/>
      <c r="R62" s="6">
        <f t="shared" si="44"/>
        <v>0</v>
      </c>
      <c r="S62" s="2"/>
      <c r="T62" s="7">
        <v>605</v>
      </c>
      <c r="U62" s="2"/>
      <c r="V62" s="6">
        <f t="shared" si="45"/>
        <v>0</v>
      </c>
      <c r="W62" s="2"/>
      <c r="X62" s="7">
        <f t="shared" si="46"/>
        <v>724.99</v>
      </c>
      <c r="Y62" s="2"/>
      <c r="Z62" s="6">
        <f t="shared" si="47"/>
        <v>1.1983305785123968</v>
      </c>
    </row>
    <row r="63" spans="1:26" s="27" customFormat="1" outlineLevel="1" collapsed="1" x14ac:dyDescent="0.25">
      <c r="A63" s="26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SUM(OSRRefD22_11x_0)</f>
        <v>0</v>
      </c>
      <c r="E63" s="1"/>
      <c r="F63" s="5">
        <f t="shared" si="40"/>
        <v>0</v>
      </c>
      <c r="G63" s="1"/>
      <c r="H63" s="1">
        <f>SUM(OSRRefH22_11x_0)</f>
        <v>2084</v>
      </c>
      <c r="I63" s="1"/>
      <c r="J63" s="5">
        <f t="shared" si="41"/>
        <v>0</v>
      </c>
      <c r="K63" s="1"/>
      <c r="L63" s="1">
        <f t="shared" si="42"/>
        <v>-2084</v>
      </c>
      <c r="M63" s="1"/>
      <c r="N63" s="5">
        <f t="shared" si="43"/>
        <v>-1</v>
      </c>
      <c r="O63" s="13"/>
      <c r="P63" s="1">
        <f>SUM(OSRRefP22_11x_0)</f>
        <v>2537.37</v>
      </c>
      <c r="Q63" s="1"/>
      <c r="R63" s="5">
        <f t="shared" si="44"/>
        <v>0</v>
      </c>
      <c r="S63" s="1"/>
      <c r="T63" s="1">
        <f>SUM(OSRRefT22_11x_0)</f>
        <v>22924</v>
      </c>
      <c r="U63" s="1"/>
      <c r="V63" s="5">
        <f t="shared" si="45"/>
        <v>0</v>
      </c>
      <c r="W63" s="1"/>
      <c r="X63" s="1">
        <f t="shared" si="46"/>
        <v>-20386.63</v>
      </c>
      <c r="Y63" s="1"/>
      <c r="Z63" s="5">
        <f t="shared" si="47"/>
        <v>-0.88931381957773514</v>
      </c>
    </row>
    <row r="64" spans="1:26" s="24" customFormat="1" hidden="1" outlineLevel="2" x14ac:dyDescent="0.25">
      <c r="A64" s="25"/>
      <c r="B64" s="11" t="str">
        <f>CONCATENATE("          ", "6235", " - ", "COVID-19 EXPENSES")</f>
        <v xml:space="preserve">          6235 - COVID-19 EXPENSES</v>
      </c>
      <c r="C64" s="11"/>
      <c r="D64" s="7"/>
      <c r="E64" s="2"/>
      <c r="F64" s="6">
        <f t="shared" si="40"/>
        <v>0</v>
      </c>
      <c r="G64" s="2"/>
      <c r="H64" s="7">
        <v>417</v>
      </c>
      <c r="I64" s="2"/>
      <c r="J64" s="6">
        <f t="shared" si="41"/>
        <v>0</v>
      </c>
      <c r="K64" s="2"/>
      <c r="L64" s="7">
        <f t="shared" si="42"/>
        <v>-417</v>
      </c>
      <c r="M64" s="2"/>
      <c r="N64" s="6">
        <f t="shared" si="43"/>
        <v>-1</v>
      </c>
      <c r="O64" s="11"/>
      <c r="P64" s="7">
        <v>210.58</v>
      </c>
      <c r="Q64" s="2"/>
      <c r="R64" s="6">
        <f t="shared" si="44"/>
        <v>0</v>
      </c>
      <c r="S64" s="2"/>
      <c r="T64" s="7">
        <v>4587</v>
      </c>
      <c r="U64" s="2"/>
      <c r="V64" s="6">
        <f t="shared" si="45"/>
        <v>0</v>
      </c>
      <c r="W64" s="2"/>
      <c r="X64" s="7">
        <f t="shared" si="46"/>
        <v>-4376.42</v>
      </c>
      <c r="Y64" s="2"/>
      <c r="Z64" s="6">
        <f t="shared" si="47"/>
        <v>-0.95409199912797038</v>
      </c>
    </row>
    <row r="65" spans="1:26" s="24" customFormat="1" hidden="1" outlineLevel="2" x14ac:dyDescent="0.25">
      <c r="A65" s="25"/>
      <c r="B65" s="11" t="str">
        <f>CONCATENATE("          ", "6241", " - ", "OFFICE EXPENSE")</f>
        <v xml:space="preserve">          6241 - OFFICE EXPENSE</v>
      </c>
      <c r="C65" s="11"/>
      <c r="D65" s="7"/>
      <c r="E65" s="2"/>
      <c r="F65" s="6">
        <f t="shared" si="40"/>
        <v>0</v>
      </c>
      <c r="G65" s="2"/>
      <c r="H65" s="7">
        <v>1250</v>
      </c>
      <c r="I65" s="2"/>
      <c r="J65" s="6">
        <f t="shared" si="41"/>
        <v>0</v>
      </c>
      <c r="K65" s="2"/>
      <c r="L65" s="7">
        <f t="shared" si="42"/>
        <v>-1250</v>
      </c>
      <c r="M65" s="2"/>
      <c r="N65" s="6">
        <f t="shared" si="43"/>
        <v>-1</v>
      </c>
      <c r="O65" s="11"/>
      <c r="P65" s="7">
        <v>2104.08</v>
      </c>
      <c r="Q65" s="2"/>
      <c r="R65" s="6">
        <f t="shared" si="44"/>
        <v>0</v>
      </c>
      <c r="S65" s="2"/>
      <c r="T65" s="7">
        <v>13750</v>
      </c>
      <c r="U65" s="2"/>
      <c r="V65" s="6">
        <f t="shared" si="45"/>
        <v>0</v>
      </c>
      <c r="W65" s="2"/>
      <c r="X65" s="7">
        <f t="shared" si="46"/>
        <v>-11645.92</v>
      </c>
      <c r="Y65" s="2"/>
      <c r="Z65" s="6">
        <f t="shared" si="47"/>
        <v>-0.84697599999999995</v>
      </c>
    </row>
    <row r="66" spans="1:26" s="24" customFormat="1" hidden="1" outlineLevel="2" x14ac:dyDescent="0.25">
      <c r="A66" s="25"/>
      <c r="B66" s="11" t="str">
        <f>CONCATENATE("          ", "6244", " - ", "SAFETY SUPPLY EXPENSE")</f>
        <v xml:space="preserve">          6244 - SAFETY SUPPLY EXPENSE</v>
      </c>
      <c r="C66" s="11"/>
      <c r="D66" s="7"/>
      <c r="E66" s="2"/>
      <c r="F66" s="6">
        <f t="shared" si="40"/>
        <v>0</v>
      </c>
      <c r="G66" s="2"/>
      <c r="H66" s="7">
        <v>417</v>
      </c>
      <c r="I66" s="2"/>
      <c r="J66" s="6">
        <f t="shared" si="41"/>
        <v>0</v>
      </c>
      <c r="K66" s="2"/>
      <c r="L66" s="7">
        <f t="shared" si="42"/>
        <v>-417</v>
      </c>
      <c r="M66" s="2"/>
      <c r="N66" s="6">
        <f t="shared" si="43"/>
        <v>-1</v>
      </c>
      <c r="O66" s="11"/>
      <c r="P66" s="7">
        <v>222.71</v>
      </c>
      <c r="Q66" s="2"/>
      <c r="R66" s="6">
        <f t="shared" si="44"/>
        <v>0</v>
      </c>
      <c r="S66" s="2"/>
      <c r="T66" s="7">
        <v>4587</v>
      </c>
      <c r="U66" s="2"/>
      <c r="V66" s="6">
        <f t="shared" si="45"/>
        <v>0</v>
      </c>
      <c r="W66" s="2"/>
      <c r="X66" s="7">
        <f t="shared" si="46"/>
        <v>-4364.29</v>
      </c>
      <c r="Y66" s="2"/>
      <c r="Z66" s="6">
        <f t="shared" si="47"/>
        <v>-0.95144756921735341</v>
      </c>
    </row>
    <row r="67" spans="1:26" s="27" customFormat="1" outlineLevel="1" collapsed="1" x14ac:dyDescent="0.25">
      <c r="A67" s="26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SUM(OSRRefD22_12x_0)</f>
        <v>344</v>
      </c>
      <c r="E67" s="1"/>
      <c r="F67" s="5">
        <f t="shared" ref="F67:F72" si="48">IF(D$12=0,0,D67/D$12)</f>
        <v>0</v>
      </c>
      <c r="G67" s="1"/>
      <c r="H67" s="1">
        <f>SUM(OSRRefH22_12x_0)</f>
        <v>290</v>
      </c>
      <c r="I67" s="1"/>
      <c r="J67" s="5">
        <f t="shared" ref="J67:J72" si="49">IF(H$12=0,0,H67/H$12)</f>
        <v>0</v>
      </c>
      <c r="K67" s="1"/>
      <c r="L67" s="1">
        <f t="shared" ref="L67:L72" si="50">+D67-H67</f>
        <v>54</v>
      </c>
      <c r="M67" s="1"/>
      <c r="N67" s="5">
        <f t="shared" ref="N67:N72" si="51">IF(H67=0,0,L67/H67)</f>
        <v>0.18620689655172415</v>
      </c>
      <c r="O67" s="13"/>
      <c r="P67" s="1">
        <f>SUM(OSRRefP22_12x_0)</f>
        <v>3418.25</v>
      </c>
      <c r="Q67" s="1"/>
      <c r="R67" s="5">
        <f t="shared" ref="R67:R72" si="52">IF(P$12=0,0,P67/P$12)</f>
        <v>0</v>
      </c>
      <c r="S67" s="1"/>
      <c r="T67" s="1">
        <f>SUM(OSRRefT22_12x_0)</f>
        <v>3190</v>
      </c>
      <c r="U67" s="1"/>
      <c r="V67" s="5">
        <f t="shared" ref="V67:V72" si="53">IF(T$12=0,0,T67/T$12)</f>
        <v>0</v>
      </c>
      <c r="W67" s="1"/>
      <c r="X67" s="1">
        <f t="shared" ref="X67:X72" si="54">+P67-T67</f>
        <v>228.25</v>
      </c>
      <c r="Y67" s="1"/>
      <c r="Z67" s="5">
        <f t="shared" ref="Z67:Z72" si="55">IF(T67=0,0,X67/T67)</f>
        <v>7.1551724137931039E-2</v>
      </c>
    </row>
    <row r="68" spans="1:26" s="24" customFormat="1" hidden="1" outlineLevel="2" x14ac:dyDescent="0.25">
      <c r="A68" s="25"/>
      <c r="B68" s="11" t="str">
        <f>CONCATENATE("          ", "6309", " - ", "TELEPHONE")</f>
        <v xml:space="preserve">          6309 - TELEPHONE</v>
      </c>
      <c r="C68" s="11"/>
      <c r="D68" s="7">
        <v>344</v>
      </c>
      <c r="E68" s="2"/>
      <c r="F68" s="6">
        <f t="shared" si="48"/>
        <v>0</v>
      </c>
      <c r="G68" s="2"/>
      <c r="H68" s="7">
        <v>290</v>
      </c>
      <c r="I68" s="2"/>
      <c r="J68" s="6">
        <f t="shared" si="49"/>
        <v>0</v>
      </c>
      <c r="K68" s="2"/>
      <c r="L68" s="7">
        <f t="shared" si="50"/>
        <v>54</v>
      </c>
      <c r="M68" s="2"/>
      <c r="N68" s="6">
        <f t="shared" si="51"/>
        <v>0.18620689655172415</v>
      </c>
      <c r="O68" s="11"/>
      <c r="P68" s="7">
        <v>3418.25</v>
      </c>
      <c r="Q68" s="2"/>
      <c r="R68" s="6">
        <f t="shared" si="52"/>
        <v>0</v>
      </c>
      <c r="S68" s="2"/>
      <c r="T68" s="7">
        <v>3190</v>
      </c>
      <c r="U68" s="2"/>
      <c r="V68" s="6">
        <f t="shared" si="53"/>
        <v>0</v>
      </c>
      <c r="W68" s="2"/>
      <c r="X68" s="7">
        <f t="shared" si="54"/>
        <v>228.25</v>
      </c>
      <c r="Y68" s="2"/>
      <c r="Z68" s="6">
        <f t="shared" si="55"/>
        <v>7.1551724137931039E-2</v>
      </c>
    </row>
    <row r="69" spans="1:26" s="27" customFormat="1" outlineLevel="1" collapsed="1" x14ac:dyDescent="0.25">
      <c r="A69" s="26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SUM(OSRRefD22_13x_0)</f>
        <v>0</v>
      </c>
      <c r="E69" s="1"/>
      <c r="F69" s="5">
        <f t="shared" si="48"/>
        <v>0</v>
      </c>
      <c r="G69" s="1"/>
      <c r="H69" s="1">
        <f>SUM(OSRRefH22_13x_0)</f>
        <v>946</v>
      </c>
      <c r="I69" s="1"/>
      <c r="J69" s="5">
        <f t="shared" si="49"/>
        <v>0</v>
      </c>
      <c r="K69" s="1"/>
      <c r="L69" s="1">
        <f t="shared" si="50"/>
        <v>-946</v>
      </c>
      <c r="M69" s="1"/>
      <c r="N69" s="5">
        <f t="shared" si="51"/>
        <v>-1</v>
      </c>
      <c r="O69" s="13"/>
      <c r="P69" s="1">
        <f>SUM(OSRRefP22_13x_0)</f>
        <v>-97</v>
      </c>
      <c r="Q69" s="1"/>
      <c r="R69" s="5">
        <f t="shared" si="52"/>
        <v>0</v>
      </c>
      <c r="S69" s="1"/>
      <c r="T69" s="1">
        <f>SUM(OSRRefT22_13x_0)</f>
        <v>10406</v>
      </c>
      <c r="U69" s="1"/>
      <c r="V69" s="5">
        <f t="shared" si="53"/>
        <v>0</v>
      </c>
      <c r="W69" s="1"/>
      <c r="X69" s="1">
        <f t="shared" si="54"/>
        <v>-10503</v>
      </c>
      <c r="Y69" s="1"/>
      <c r="Z69" s="5">
        <f t="shared" si="55"/>
        <v>-1.0093215452623487</v>
      </c>
    </row>
    <row r="70" spans="1:26" s="24" customFormat="1" hidden="1" outlineLevel="2" x14ac:dyDescent="0.25">
      <c r="A70" s="25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8"/>
        <v>0</v>
      </c>
      <c r="G70" s="2"/>
      <c r="H70" s="7">
        <v>946</v>
      </c>
      <c r="I70" s="2"/>
      <c r="J70" s="6">
        <f t="shared" si="49"/>
        <v>0</v>
      </c>
      <c r="K70" s="2"/>
      <c r="L70" s="7">
        <f t="shared" si="50"/>
        <v>-946</v>
      </c>
      <c r="M70" s="2"/>
      <c r="N70" s="6">
        <f t="shared" si="51"/>
        <v>-1</v>
      </c>
      <c r="O70" s="11"/>
      <c r="P70" s="7">
        <v>-97</v>
      </c>
      <c r="Q70" s="2"/>
      <c r="R70" s="6">
        <f t="shared" si="52"/>
        <v>0</v>
      </c>
      <c r="S70" s="2"/>
      <c r="T70" s="7">
        <v>10406</v>
      </c>
      <c r="U70" s="2"/>
      <c r="V70" s="6">
        <f t="shared" si="53"/>
        <v>0</v>
      </c>
      <c r="W70" s="2"/>
      <c r="X70" s="7">
        <f t="shared" si="54"/>
        <v>-10503</v>
      </c>
      <c r="Y70" s="2"/>
      <c r="Z70" s="6">
        <f t="shared" si="55"/>
        <v>-1.0093215452623487</v>
      </c>
    </row>
    <row r="71" spans="1:26" s="27" customFormat="1" outlineLevel="1" collapsed="1" x14ac:dyDescent="0.25">
      <c r="A71" s="26"/>
      <c r="B71" s="13" t="str">
        <f>CONCATENATE("     ","Travel                                            ")</f>
        <v xml:space="preserve">     Travel                                            </v>
      </c>
      <c r="C71" s="13"/>
      <c r="D71" s="1">
        <f>SUM(OSRRefD22_14x_0)</f>
        <v>0</v>
      </c>
      <c r="E71" s="1"/>
      <c r="F71" s="5">
        <f t="shared" si="48"/>
        <v>0</v>
      </c>
      <c r="G71" s="1"/>
      <c r="H71" s="1">
        <f>SUM(OSRRefH22_14x_0)</f>
        <v>0</v>
      </c>
      <c r="I71" s="1"/>
      <c r="J71" s="5">
        <f t="shared" si="49"/>
        <v>0</v>
      </c>
      <c r="K71" s="1"/>
      <c r="L71" s="1">
        <f t="shared" si="50"/>
        <v>0</v>
      </c>
      <c r="M71" s="1"/>
      <c r="N71" s="5">
        <f t="shared" si="51"/>
        <v>0</v>
      </c>
      <c r="O71" s="13"/>
      <c r="P71" s="1">
        <f>SUM(OSRRefP22_14x_0)</f>
        <v>720</v>
      </c>
      <c r="Q71" s="1"/>
      <c r="R71" s="5">
        <f t="shared" si="52"/>
        <v>0</v>
      </c>
      <c r="S71" s="1"/>
      <c r="T71" s="1">
        <f>SUM(OSRRefT22_14x_0)</f>
        <v>0</v>
      </c>
      <c r="U71" s="1"/>
      <c r="V71" s="5">
        <f t="shared" si="53"/>
        <v>0</v>
      </c>
      <c r="W71" s="1"/>
      <c r="X71" s="1">
        <f t="shared" si="54"/>
        <v>720</v>
      </c>
      <c r="Y71" s="1"/>
      <c r="Z71" s="5">
        <f t="shared" si="55"/>
        <v>0</v>
      </c>
    </row>
    <row r="72" spans="1:26" s="24" customFormat="1" hidden="1" outlineLevel="2" x14ac:dyDescent="0.25">
      <c r="A72" s="25"/>
      <c r="B72" s="11" t="str">
        <f>CONCATENATE("          ", "6292", " - ", "TRAVEL/CONFERENCE")</f>
        <v xml:space="preserve">          6292 - TRAVEL/CONFERENCE</v>
      </c>
      <c r="C72" s="11"/>
      <c r="D72" s="7"/>
      <c r="E72" s="2"/>
      <c r="F72" s="6">
        <f t="shared" si="48"/>
        <v>0</v>
      </c>
      <c r="G72" s="2"/>
      <c r="H72" s="7"/>
      <c r="I72" s="2"/>
      <c r="J72" s="6">
        <f t="shared" si="49"/>
        <v>0</v>
      </c>
      <c r="K72" s="2"/>
      <c r="L72" s="7">
        <f t="shared" si="50"/>
        <v>0</v>
      </c>
      <c r="M72" s="2"/>
      <c r="N72" s="6">
        <f t="shared" si="51"/>
        <v>0</v>
      </c>
      <c r="O72" s="11"/>
      <c r="P72" s="7">
        <v>720</v>
      </c>
      <c r="Q72" s="2"/>
      <c r="R72" s="6">
        <f t="shared" si="52"/>
        <v>0</v>
      </c>
      <c r="S72" s="2"/>
      <c r="T72" s="7"/>
      <c r="U72" s="2"/>
      <c r="V72" s="6">
        <f t="shared" si="53"/>
        <v>0</v>
      </c>
      <c r="W72" s="2"/>
      <c r="X72" s="7">
        <f t="shared" si="54"/>
        <v>720</v>
      </c>
      <c r="Y72" s="2"/>
      <c r="Z72" s="6">
        <f t="shared" si="55"/>
        <v>0</v>
      </c>
    </row>
    <row r="73" spans="1:26" s="56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9" t="s">
        <v>293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8" t="s">
        <v>277</v>
      </c>
      <c r="C76" s="28"/>
      <c r="D76" s="20">
        <f>+D16-D18+D74</f>
        <v>-44624.069999999992</v>
      </c>
      <c r="E76" s="14"/>
      <c r="F76" s="21">
        <f>IF(D$12=0,0,D76/D$12)</f>
        <v>0</v>
      </c>
      <c r="G76" s="14"/>
      <c r="H76" s="20">
        <f>+H16-H18+H74</f>
        <v>-49905.525784615398</v>
      </c>
      <c r="I76" s="14"/>
      <c r="J76" s="21">
        <f>IF(H$12=0,0,H76/H$12)</f>
        <v>0</v>
      </c>
      <c r="K76" s="15"/>
      <c r="L76" s="20">
        <f>+D76-H76</f>
        <v>5281.4557846154057</v>
      </c>
      <c r="M76" s="15"/>
      <c r="N76" s="21">
        <f>IF(H76=0,0,L76/H76)</f>
        <v>-0.10582907807462764</v>
      </c>
      <c r="O76" s="29"/>
      <c r="P76" s="20">
        <f>+P16-P18+P74</f>
        <v>-494632.03000000009</v>
      </c>
      <c r="Q76" s="14"/>
      <c r="R76" s="21">
        <f>IF(P$12=0,0,P76/P$12)</f>
        <v>0</v>
      </c>
      <c r="S76" s="14"/>
      <c r="T76" s="20">
        <f>+T16-T18+T74</f>
        <v>-595247.30941538454</v>
      </c>
      <c r="U76" s="14"/>
      <c r="V76" s="21">
        <f>IF(T$12=0,0,T76/T$12)</f>
        <v>0</v>
      </c>
      <c r="W76" s="15"/>
      <c r="X76" s="20">
        <f>+P76-T76</f>
        <v>100615.27941538446</v>
      </c>
      <c r="Y76" s="15"/>
      <c r="Z76" s="21">
        <f>IF(T76=0,0,X76/T76)</f>
        <v>-0.16903105284793749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128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126</v>
      </c>
      <c r="C80" s="28"/>
      <c r="D80" s="35">
        <f>+D76-D78</f>
        <v>-44624.069999999992</v>
      </c>
      <c r="E80" s="14"/>
      <c r="F80" s="34">
        <f>IF(D$12=0,0,D80/D$12)</f>
        <v>0</v>
      </c>
      <c r="G80" s="14"/>
      <c r="H80" s="35">
        <f>+H76-H78</f>
        <v>-49905.525784615398</v>
      </c>
      <c r="I80" s="14"/>
      <c r="J80" s="34">
        <f>IF(H$12=0,0,H80/H$12)</f>
        <v>0</v>
      </c>
      <c r="K80" s="15"/>
      <c r="L80" s="35">
        <f>D80-H80</f>
        <v>5281.4557846154057</v>
      </c>
      <c r="M80" s="15"/>
      <c r="N80" s="34">
        <f>IF(H80=0,0,L80/H80)</f>
        <v>-0.10582907807462764</v>
      </c>
      <c r="O80" s="29"/>
      <c r="P80" s="35">
        <f>+P76-P78</f>
        <v>-494632.03000000009</v>
      </c>
      <c r="Q80" s="14"/>
      <c r="R80" s="34">
        <f>IF(P$12=0,0,P80/P$12)</f>
        <v>0</v>
      </c>
      <c r="S80" s="14"/>
      <c r="T80" s="35">
        <f>+T76-T78</f>
        <v>-595247.30941538454</v>
      </c>
      <c r="U80" s="14"/>
      <c r="V80" s="34">
        <f>IF(T$12=0,0,T80/T$12)</f>
        <v>0</v>
      </c>
      <c r="W80" s="15"/>
      <c r="X80" s="35">
        <f>P80-T80</f>
        <v>100615.27941538446</v>
      </c>
      <c r="Y80" s="15"/>
      <c r="Z80" s="34">
        <f>IF(T80=0,0,X80/T80)</f>
        <v>-0.16903105284793749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294</v>
      </c>
      <c r="C83" s="28"/>
      <c r="D83" s="33">
        <f>SUM(D80:D82)</f>
        <v>-44624.069999999992</v>
      </c>
      <c r="E83" s="14"/>
      <c r="F83" s="32">
        <f>IF(D$12=0,0,D83/D$12)</f>
        <v>0</v>
      </c>
      <c r="G83" s="14"/>
      <c r="H83" s="33">
        <f>SUM(H80:H82)</f>
        <v>-49905.525784615398</v>
      </c>
      <c r="I83" s="14"/>
      <c r="J83" s="32">
        <f>IF(H$12=0,0,H83/H$12)</f>
        <v>0</v>
      </c>
      <c r="K83" s="15"/>
      <c r="L83" s="33">
        <f>+D83-H83</f>
        <v>5281.4557846154057</v>
      </c>
      <c r="M83" s="15"/>
      <c r="N83" s="32">
        <f>IF(H83=0,0,L83/H83)</f>
        <v>-0.10582907807462764</v>
      </c>
      <c r="O83" s="29"/>
      <c r="P83" s="33">
        <f>SUM(P80:P82)</f>
        <v>-494632.03000000009</v>
      </c>
      <c r="Q83" s="14"/>
      <c r="R83" s="32">
        <f>IF(P$12=0,0,P83/P$12)</f>
        <v>0</v>
      </c>
      <c r="S83" s="14"/>
      <c r="T83" s="33">
        <f>SUM(T80:T82)</f>
        <v>-595247.30941538454</v>
      </c>
      <c r="U83" s="14"/>
      <c r="V83" s="32">
        <f>IF(T$12=0,0,T83/T$12)</f>
        <v>0</v>
      </c>
      <c r="W83" s="15"/>
      <c r="X83" s="33">
        <f>+P83-T83</f>
        <v>100615.27941538446</v>
      </c>
      <c r="Y83" s="15"/>
      <c r="Z83" s="32">
        <f>IF(T83=0,0,X83/T83)</f>
        <v>-0.16903105284793749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60">
        <v>44356.891834571761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5" t="s">
        <v>56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63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","204", " - ", "Information Technology")</f>
        <v>Department 204 - Information Technology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47434.39</v>
      </c>
      <c r="E18" s="22"/>
      <c r="F18" s="31">
        <f t="shared" ref="F18:F29" si="0">IF(D$12=0,0,D18/D$12)</f>
        <v>0</v>
      </c>
      <c r="G18" s="22"/>
      <c r="H18" s="22">
        <f>SUM(OSRRefH22x_0)</f>
        <v>51156.722846153818</v>
      </c>
      <c r="I18" s="22"/>
      <c r="J18" s="31">
        <f t="shared" ref="J18:J29" si="1">IF(H$12=0,0,H18/H$12)</f>
        <v>0</v>
      </c>
      <c r="K18" s="4"/>
      <c r="L18" s="22">
        <f t="shared" ref="L18:L29" si="2">+D18-H18</f>
        <v>-3722.3328461538185</v>
      </c>
      <c r="M18" s="4"/>
      <c r="N18" s="31">
        <f t="shared" ref="N18:N29" si="3">IF(H18=0,0,L18/H18)</f>
        <v>-7.2763317098090446E-2</v>
      </c>
      <c r="O18" s="10"/>
      <c r="P18" s="22">
        <f>SUM(OSRRefP22x_0)</f>
        <v>556182.88000000012</v>
      </c>
      <c r="Q18" s="22"/>
      <c r="R18" s="31">
        <f t="shared" ref="R18:R29" si="4">IF(P$12=0,0,P18/P$12)</f>
        <v>0</v>
      </c>
      <c r="S18" s="22"/>
      <c r="T18" s="22">
        <f>SUM(OSRRefT22x_0)</f>
        <v>583549.93946153834</v>
      </c>
      <c r="U18" s="22"/>
      <c r="V18" s="31">
        <f t="shared" ref="V18:V29" si="5">IF(T$12=0,0,T18/T$12)</f>
        <v>0</v>
      </c>
      <c r="W18" s="4"/>
      <c r="X18" s="22">
        <f t="shared" ref="X18:X29" si="6">+P18-T18</f>
        <v>-27367.059461538214</v>
      </c>
      <c r="Y18" s="4"/>
      <c r="Z18" s="31">
        <f t="shared" ref="Z18:Z29" si="7">IF(T18=0,0,X18/T18)</f>
        <v>-4.6897544855870853E-2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10571.32</v>
      </c>
      <c r="E19" s="1"/>
      <c r="F19" s="5">
        <f t="shared" si="0"/>
        <v>0</v>
      </c>
      <c r="G19" s="1"/>
      <c r="H19" s="1">
        <f>SUM(OSRRefH22_0x_0)</f>
        <v>10981.645923076914</v>
      </c>
      <c r="I19" s="1"/>
      <c r="J19" s="5">
        <f t="shared" si="1"/>
        <v>0</v>
      </c>
      <c r="K19" s="1"/>
      <c r="L19" s="1">
        <f t="shared" si="2"/>
        <v>-410.32592307691448</v>
      </c>
      <c r="M19" s="1"/>
      <c r="N19" s="5">
        <f t="shared" si="3"/>
        <v>-3.7364701607675445E-2</v>
      </c>
      <c r="O19" s="13"/>
      <c r="P19" s="1">
        <f>SUM(OSRRefP22_0x_0)</f>
        <v>131934.01</v>
      </c>
      <c r="Q19" s="1"/>
      <c r="R19" s="5">
        <f t="shared" si="4"/>
        <v>0</v>
      </c>
      <c r="S19" s="1"/>
      <c r="T19" s="1">
        <f>SUM(OSRRefT22_0x_0)</f>
        <v>129814.01638461529</v>
      </c>
      <c r="U19" s="1"/>
      <c r="V19" s="5">
        <f t="shared" si="5"/>
        <v>0</v>
      </c>
      <c r="W19" s="1"/>
      <c r="X19" s="1">
        <f t="shared" si="6"/>
        <v>2119.9936153847229</v>
      </c>
      <c r="Y19" s="1"/>
      <c r="Z19" s="5">
        <f t="shared" si="7"/>
        <v>1.6331007039359819E-2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1417.14</v>
      </c>
      <c r="E20" s="2"/>
      <c r="F20" s="6">
        <f t="shared" si="0"/>
        <v>0</v>
      </c>
      <c r="G20" s="2"/>
      <c r="H20" s="7">
        <v>1606.5413076923101</v>
      </c>
      <c r="I20" s="2"/>
      <c r="J20" s="6">
        <f t="shared" si="1"/>
        <v>0</v>
      </c>
      <c r="K20" s="2"/>
      <c r="L20" s="7">
        <f t="shared" si="2"/>
        <v>-189.40130769230996</v>
      </c>
      <c r="M20" s="2"/>
      <c r="N20" s="6">
        <f t="shared" si="3"/>
        <v>-0.11789382992235187</v>
      </c>
      <c r="O20" s="11"/>
      <c r="P20" s="7">
        <v>19093.45</v>
      </c>
      <c r="Q20" s="2"/>
      <c r="R20" s="6">
        <f t="shared" si="4"/>
        <v>0</v>
      </c>
      <c r="S20" s="2"/>
      <c r="T20" s="7">
        <v>19745.328692307699</v>
      </c>
      <c r="U20" s="2"/>
      <c r="V20" s="6">
        <f t="shared" si="5"/>
        <v>0</v>
      </c>
      <c r="W20" s="2"/>
      <c r="X20" s="7">
        <f t="shared" si="6"/>
        <v>-651.87869230769866</v>
      </c>
      <c r="Y20" s="2"/>
      <c r="Z20" s="6">
        <f t="shared" si="7"/>
        <v>-3.3014324677292144E-2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92.07</v>
      </c>
      <c r="E21" s="2"/>
      <c r="F21" s="6">
        <f t="shared" si="0"/>
        <v>0</v>
      </c>
      <c r="G21" s="2"/>
      <c r="H21" s="7">
        <v>69.274615384615402</v>
      </c>
      <c r="I21" s="2"/>
      <c r="J21" s="6">
        <f t="shared" si="1"/>
        <v>0</v>
      </c>
      <c r="K21" s="2"/>
      <c r="L21" s="7">
        <f t="shared" si="2"/>
        <v>22.795384615384592</v>
      </c>
      <c r="M21" s="2"/>
      <c r="N21" s="6">
        <f t="shared" si="3"/>
        <v>0.32905826310003622</v>
      </c>
      <c r="O21" s="11"/>
      <c r="P21" s="7">
        <v>876.05</v>
      </c>
      <c r="Q21" s="2"/>
      <c r="R21" s="6">
        <f t="shared" si="4"/>
        <v>0</v>
      </c>
      <c r="S21" s="2"/>
      <c r="T21" s="7">
        <v>851.42538461538402</v>
      </c>
      <c r="U21" s="2"/>
      <c r="V21" s="6">
        <f t="shared" si="5"/>
        <v>0</v>
      </c>
      <c r="W21" s="2"/>
      <c r="X21" s="7">
        <f t="shared" si="6"/>
        <v>24.624615384615936</v>
      </c>
      <c r="Y21" s="2"/>
      <c r="Z21" s="6">
        <f t="shared" si="7"/>
        <v>2.8921636387127053E-2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4844.5200000000004</v>
      </c>
      <c r="E22" s="2"/>
      <c r="F22" s="6">
        <f t="shared" si="0"/>
        <v>0</v>
      </c>
      <c r="G22" s="2"/>
      <c r="H22" s="7">
        <v>4730.4807692307704</v>
      </c>
      <c r="I22" s="2"/>
      <c r="J22" s="6">
        <f t="shared" si="1"/>
        <v>0</v>
      </c>
      <c r="K22" s="2"/>
      <c r="L22" s="7">
        <f t="shared" si="2"/>
        <v>114.03923076923002</v>
      </c>
      <c r="M22" s="2"/>
      <c r="N22" s="6">
        <f t="shared" si="3"/>
        <v>2.4107323617293574E-2</v>
      </c>
      <c r="O22" s="11"/>
      <c r="P22" s="7">
        <v>57602.98</v>
      </c>
      <c r="Q22" s="2"/>
      <c r="R22" s="6">
        <f t="shared" si="4"/>
        <v>0</v>
      </c>
      <c r="S22" s="2"/>
      <c r="T22" s="7">
        <v>55087.211538461503</v>
      </c>
      <c r="U22" s="2"/>
      <c r="V22" s="6">
        <f t="shared" si="5"/>
        <v>0</v>
      </c>
      <c r="W22" s="2"/>
      <c r="X22" s="7">
        <f t="shared" si="6"/>
        <v>2515.7684615385006</v>
      </c>
      <c r="Y22" s="2"/>
      <c r="Z22" s="6">
        <f t="shared" si="7"/>
        <v>4.5668829321339102E-2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72.540000000000006</v>
      </c>
      <c r="E23" s="2"/>
      <c r="F23" s="6">
        <f t="shared" si="0"/>
        <v>0</v>
      </c>
      <c r="G23" s="2"/>
      <c r="H23" s="7">
        <v>54.58</v>
      </c>
      <c r="I23" s="2"/>
      <c r="J23" s="6">
        <f t="shared" si="1"/>
        <v>0</v>
      </c>
      <c r="K23" s="2"/>
      <c r="L23" s="7">
        <f t="shared" si="2"/>
        <v>17.960000000000008</v>
      </c>
      <c r="M23" s="2"/>
      <c r="N23" s="6">
        <f t="shared" si="3"/>
        <v>0.32905826310003677</v>
      </c>
      <c r="O23" s="11"/>
      <c r="P23" s="7">
        <v>651.04</v>
      </c>
      <c r="Q23" s="2"/>
      <c r="R23" s="6">
        <f t="shared" si="4"/>
        <v>0</v>
      </c>
      <c r="S23" s="2"/>
      <c r="T23" s="7">
        <v>670.82</v>
      </c>
      <c r="U23" s="2"/>
      <c r="V23" s="6">
        <f t="shared" si="5"/>
        <v>0</v>
      </c>
      <c r="W23" s="2"/>
      <c r="X23" s="7">
        <f t="shared" si="6"/>
        <v>-19.780000000000086</v>
      </c>
      <c r="Y23" s="2"/>
      <c r="Z23" s="6">
        <f t="shared" si="7"/>
        <v>-2.9486300348826936E-2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1861.21</v>
      </c>
      <c r="E24" s="2"/>
      <c r="F24" s="6">
        <f t="shared" si="0"/>
        <v>0</v>
      </c>
      <c r="G24" s="2"/>
      <c r="H24" s="7">
        <v>1521.5384615384601</v>
      </c>
      <c r="I24" s="2"/>
      <c r="J24" s="6">
        <f t="shared" si="1"/>
        <v>0</v>
      </c>
      <c r="K24" s="2"/>
      <c r="L24" s="7">
        <f t="shared" si="2"/>
        <v>339.67153846153997</v>
      </c>
      <c r="M24" s="2"/>
      <c r="N24" s="6">
        <f t="shared" si="3"/>
        <v>0.22324216380182121</v>
      </c>
      <c r="O24" s="11"/>
      <c r="P24" s="7">
        <v>23789.74</v>
      </c>
      <c r="Q24" s="2"/>
      <c r="R24" s="6">
        <f t="shared" si="4"/>
        <v>0</v>
      </c>
      <c r="S24" s="2"/>
      <c r="T24" s="7">
        <v>18258.461538461499</v>
      </c>
      <c r="U24" s="2"/>
      <c r="V24" s="6">
        <f t="shared" si="5"/>
        <v>0</v>
      </c>
      <c r="W24" s="2"/>
      <c r="X24" s="7">
        <f t="shared" si="6"/>
        <v>5531.2784615385026</v>
      </c>
      <c r="Y24" s="2"/>
      <c r="Z24" s="6">
        <f t="shared" si="7"/>
        <v>0.30294329288844241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300</v>
      </c>
      <c r="I25" s="2"/>
      <c r="J25" s="6">
        <f t="shared" si="1"/>
        <v>0</v>
      </c>
      <c r="K25" s="2"/>
      <c r="L25" s="7">
        <f t="shared" si="2"/>
        <v>-300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3300</v>
      </c>
      <c r="U25" s="2"/>
      <c r="V25" s="6">
        <f t="shared" si="5"/>
        <v>0</v>
      </c>
      <c r="W25" s="2"/>
      <c r="X25" s="7">
        <f t="shared" si="6"/>
        <v>-3300</v>
      </c>
      <c r="Y25" s="2"/>
      <c r="Z25" s="6">
        <f t="shared" si="7"/>
        <v>-1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912.28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912.28</v>
      </c>
      <c r="Y26" s="2"/>
      <c r="Z26" s="6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7">
        <v>1345.28</v>
      </c>
      <c r="E27" s="2"/>
      <c r="F27" s="6">
        <f t="shared" si="0"/>
        <v>0</v>
      </c>
      <c r="G27" s="2"/>
      <c r="H27" s="7">
        <v>1049.61538461538</v>
      </c>
      <c r="I27" s="2"/>
      <c r="J27" s="6">
        <f t="shared" si="1"/>
        <v>0</v>
      </c>
      <c r="K27" s="2"/>
      <c r="L27" s="7">
        <f t="shared" si="2"/>
        <v>295.66461538461999</v>
      </c>
      <c r="M27" s="2"/>
      <c r="N27" s="6">
        <f t="shared" si="3"/>
        <v>0.28168853059729404</v>
      </c>
      <c r="O27" s="11"/>
      <c r="P27" s="7">
        <v>16434.939999999999</v>
      </c>
      <c r="Q27" s="2"/>
      <c r="R27" s="6">
        <f t="shared" si="4"/>
        <v>0</v>
      </c>
      <c r="S27" s="2"/>
      <c r="T27" s="7">
        <v>12650.384615384601</v>
      </c>
      <c r="U27" s="2"/>
      <c r="V27" s="6">
        <f t="shared" si="5"/>
        <v>0</v>
      </c>
      <c r="W27" s="2"/>
      <c r="X27" s="7">
        <f t="shared" si="6"/>
        <v>3784.555384615398</v>
      </c>
      <c r="Y27" s="2"/>
      <c r="Z27" s="6">
        <f t="shared" si="7"/>
        <v>0.29916524277158024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7">
        <v>844.06</v>
      </c>
      <c r="E28" s="2"/>
      <c r="F28" s="6">
        <f t="shared" si="0"/>
        <v>0</v>
      </c>
      <c r="G28" s="2"/>
      <c r="H28" s="7">
        <v>1049.61538461538</v>
      </c>
      <c r="I28" s="2"/>
      <c r="J28" s="6">
        <f t="shared" si="1"/>
        <v>0</v>
      </c>
      <c r="K28" s="2"/>
      <c r="L28" s="7">
        <f t="shared" si="2"/>
        <v>-205.55538461538004</v>
      </c>
      <c r="M28" s="2"/>
      <c r="N28" s="6">
        <f t="shared" si="3"/>
        <v>-0.1958387687797693</v>
      </c>
      <c r="O28" s="11"/>
      <c r="P28" s="7">
        <v>10903.62</v>
      </c>
      <c r="Q28" s="2"/>
      <c r="R28" s="6">
        <f t="shared" si="4"/>
        <v>0</v>
      </c>
      <c r="S28" s="2"/>
      <c r="T28" s="7">
        <v>12650.384615384601</v>
      </c>
      <c r="U28" s="2"/>
      <c r="V28" s="6">
        <f t="shared" si="5"/>
        <v>0</v>
      </c>
      <c r="W28" s="2"/>
      <c r="X28" s="7">
        <f t="shared" si="6"/>
        <v>-1746.7646153845999</v>
      </c>
      <c r="Y28" s="2"/>
      <c r="Z28" s="6">
        <f t="shared" si="7"/>
        <v>-0.13807996108357803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7">
        <v>94.5</v>
      </c>
      <c r="E29" s="2"/>
      <c r="F29" s="6">
        <f t="shared" si="0"/>
        <v>0</v>
      </c>
      <c r="G29" s="2"/>
      <c r="H29" s="7">
        <v>600</v>
      </c>
      <c r="I29" s="2"/>
      <c r="J29" s="6">
        <f t="shared" si="1"/>
        <v>0</v>
      </c>
      <c r="K29" s="2"/>
      <c r="L29" s="7">
        <f t="shared" si="2"/>
        <v>-505.5</v>
      </c>
      <c r="M29" s="2"/>
      <c r="N29" s="6">
        <f t="shared" si="3"/>
        <v>-0.84250000000000003</v>
      </c>
      <c r="O29" s="11"/>
      <c r="P29" s="7">
        <v>1669.91</v>
      </c>
      <c r="Q29" s="2"/>
      <c r="R29" s="6">
        <f t="shared" si="4"/>
        <v>0</v>
      </c>
      <c r="S29" s="2"/>
      <c r="T29" s="7">
        <v>6600</v>
      </c>
      <c r="U29" s="2"/>
      <c r="V29" s="6">
        <f t="shared" si="5"/>
        <v>0</v>
      </c>
      <c r="W29" s="2"/>
      <c r="X29" s="7">
        <f t="shared" si="6"/>
        <v>-4930.09</v>
      </c>
      <c r="Y29" s="2"/>
      <c r="Z29" s="6">
        <f t="shared" si="7"/>
        <v>-0.74698333333333333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17243.78</v>
      </c>
      <c r="E30" s="1"/>
      <c r="F30" s="5">
        <f t="shared" ref="F30:F40" si="8">IF(D$12=0,0,D30/D$12)</f>
        <v>0</v>
      </c>
      <c r="G30" s="1"/>
      <c r="H30" s="1">
        <f>SUM(OSRRefH22_1x_0)</f>
        <v>18893.0769230769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-1649.2969230769013</v>
      </c>
      <c r="M30" s="1"/>
      <c r="N30" s="5">
        <f t="shared" ref="N30:N40" si="11">IF(H30=0,0,L30/H30)</f>
        <v>-8.7296364154552927E-2</v>
      </c>
      <c r="O30" s="13"/>
      <c r="P30" s="1">
        <f>SUM(OSRRefP22_1x_0)</f>
        <v>218970.69999999998</v>
      </c>
      <c r="Q30" s="1"/>
      <c r="R30" s="5">
        <f t="shared" ref="R30:R40" si="12">IF(P$12=0,0,P30/P$12)</f>
        <v>0</v>
      </c>
      <c r="S30" s="1"/>
      <c r="T30" s="1">
        <f>SUM(OSRRefT22_1x_0)</f>
        <v>232706.92307692301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-13736.223076923023</v>
      </c>
      <c r="Y30" s="1"/>
      <c r="Z30" s="5">
        <f t="shared" ref="Z30:Z40" si="15">IF(T30=0,0,X30/T30)</f>
        <v>-5.9027994935855053E-2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>
        <v>17243.78</v>
      </c>
      <c r="E32" s="2"/>
      <c r="F32" s="6">
        <f t="shared" si="8"/>
        <v>0</v>
      </c>
      <c r="G32" s="2"/>
      <c r="H32" s="7">
        <v>15923.0769230769</v>
      </c>
      <c r="I32" s="2"/>
      <c r="J32" s="6">
        <f t="shared" si="9"/>
        <v>0</v>
      </c>
      <c r="K32" s="2"/>
      <c r="L32" s="7">
        <f t="shared" si="10"/>
        <v>1320.7030769230987</v>
      </c>
      <c r="M32" s="2"/>
      <c r="N32" s="6">
        <f t="shared" si="11"/>
        <v>8.2942705314011156E-2</v>
      </c>
      <c r="O32" s="11"/>
      <c r="P32" s="7">
        <v>204757.46</v>
      </c>
      <c r="Q32" s="2"/>
      <c r="R32" s="6">
        <f t="shared" si="12"/>
        <v>0</v>
      </c>
      <c r="S32" s="2"/>
      <c r="T32" s="7">
        <v>191076.92307692301</v>
      </c>
      <c r="U32" s="2"/>
      <c r="V32" s="6">
        <f t="shared" si="13"/>
        <v>0</v>
      </c>
      <c r="W32" s="2"/>
      <c r="X32" s="7">
        <f t="shared" si="14"/>
        <v>13680.536923076987</v>
      </c>
      <c r="Y32" s="2"/>
      <c r="Z32" s="6">
        <f t="shared" si="15"/>
        <v>7.1597012882448019E-2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8"/>
        <v>0</v>
      </c>
      <c r="G34" s="2"/>
      <c r="H34" s="7">
        <v>2970</v>
      </c>
      <c r="I34" s="2"/>
      <c r="J34" s="6">
        <f t="shared" si="9"/>
        <v>0</v>
      </c>
      <c r="K34" s="2"/>
      <c r="L34" s="7">
        <f t="shared" si="10"/>
        <v>-2970</v>
      </c>
      <c r="M34" s="2"/>
      <c r="N34" s="6">
        <f t="shared" si="11"/>
        <v>-1</v>
      </c>
      <c r="O34" s="11"/>
      <c r="P34" s="7">
        <v>14213.24</v>
      </c>
      <c r="Q34" s="2"/>
      <c r="R34" s="6">
        <f t="shared" si="12"/>
        <v>0</v>
      </c>
      <c r="S34" s="2"/>
      <c r="T34" s="7">
        <v>41630</v>
      </c>
      <c r="U34" s="2"/>
      <c r="V34" s="6">
        <f t="shared" si="13"/>
        <v>0</v>
      </c>
      <c r="W34" s="2"/>
      <c r="X34" s="7">
        <f t="shared" si="14"/>
        <v>-27416.760000000002</v>
      </c>
      <c r="Y34" s="2"/>
      <c r="Z34" s="6">
        <f t="shared" si="15"/>
        <v>-0.65858179197693978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>
        <v>0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45" si="16">IF(D$12=0,0,D41/D$12)</f>
        <v>0</v>
      </c>
      <c r="G41" s="1"/>
      <c r="H41" s="1">
        <f>SUM(OSRRefH22_2x_0)</f>
        <v>0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0</v>
      </c>
      <c r="M41" s="1"/>
      <c r="N41" s="5">
        <f t="shared" ref="N41:N45" si="19">IF(H41=0,0,L41/H41)</f>
        <v>0</v>
      </c>
      <c r="O41" s="13"/>
      <c r="P41" s="1">
        <f>SUM(OSRRefP22_2x_0)</f>
        <v>0</v>
      </c>
      <c r="Q41" s="1"/>
      <c r="R41" s="5">
        <f t="shared" ref="R41:R45" si="20">IF(P$12=0,0,P41/P$12)</f>
        <v>0</v>
      </c>
      <c r="S41" s="1"/>
      <c r="T41" s="1">
        <f>SUM(OSRRefT22_2x_0)</f>
        <v>100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-100</v>
      </c>
      <c r="Y41" s="1"/>
      <c r="Z41" s="5">
        <f t="shared" ref="Z41:Z45" si="23">IF(T41=0,0,X41/T41)</f>
        <v>-1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100</v>
      </c>
      <c r="U42" s="2"/>
      <c r="V42" s="6">
        <f t="shared" si="21"/>
        <v>0</v>
      </c>
      <c r="W42" s="2"/>
      <c r="X42" s="7">
        <f t="shared" si="22"/>
        <v>-100</v>
      </c>
      <c r="Y42" s="2"/>
      <c r="Z42" s="6">
        <f t="shared" si="23"/>
        <v>-1</v>
      </c>
    </row>
    <row r="43" spans="1:26" s="27" customFormat="1" outlineLevel="1" collapsed="1" x14ac:dyDescent="0.25">
      <c r="A43" s="26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4890.8100000000004</v>
      </c>
      <c r="E43" s="1"/>
      <c r="F43" s="5">
        <f t="shared" si="16"/>
        <v>0</v>
      </c>
      <c r="G43" s="1"/>
      <c r="H43" s="1">
        <f>SUM(OSRRefH22_3x_0)</f>
        <v>4891</v>
      </c>
      <c r="I43" s="1"/>
      <c r="J43" s="5">
        <f t="shared" si="17"/>
        <v>0</v>
      </c>
      <c r="K43" s="1"/>
      <c r="L43" s="1">
        <f t="shared" si="18"/>
        <v>-0.18999999999959982</v>
      </c>
      <c r="M43" s="1"/>
      <c r="N43" s="5">
        <f t="shared" si="19"/>
        <v>-3.8846861582416645E-5</v>
      </c>
      <c r="O43" s="13"/>
      <c r="P43" s="1">
        <f>SUM(OSRRefP22_3x_0)</f>
        <v>56401.61</v>
      </c>
      <c r="Q43" s="1"/>
      <c r="R43" s="5">
        <f t="shared" si="20"/>
        <v>0</v>
      </c>
      <c r="S43" s="1"/>
      <c r="T43" s="1">
        <f>SUM(OSRRefT22_3x_0)</f>
        <v>51139</v>
      </c>
      <c r="U43" s="1"/>
      <c r="V43" s="5">
        <f t="shared" si="21"/>
        <v>0</v>
      </c>
      <c r="W43" s="1"/>
      <c r="X43" s="1">
        <f t="shared" si="22"/>
        <v>5262.6100000000006</v>
      </c>
      <c r="Y43" s="1"/>
      <c r="Z43" s="5">
        <f t="shared" si="23"/>
        <v>0.10290795674534114</v>
      </c>
    </row>
    <row r="44" spans="1:26" s="24" customFormat="1" hidden="1" outlineLevel="2" x14ac:dyDescent="0.25">
      <c r="A44" s="25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4890.8100000000004</v>
      </c>
      <c r="E44" s="2"/>
      <c r="F44" s="6">
        <f t="shared" si="16"/>
        <v>0</v>
      </c>
      <c r="G44" s="2"/>
      <c r="H44" s="7">
        <v>4891</v>
      </c>
      <c r="I44" s="2"/>
      <c r="J44" s="6">
        <f t="shared" si="17"/>
        <v>0</v>
      </c>
      <c r="K44" s="2"/>
      <c r="L44" s="7">
        <f t="shared" si="18"/>
        <v>-0.18999999999959982</v>
      </c>
      <c r="M44" s="2"/>
      <c r="N44" s="6">
        <f t="shared" si="19"/>
        <v>-3.8846861582416645E-5</v>
      </c>
      <c r="O44" s="11"/>
      <c r="P44" s="7">
        <v>56401.61</v>
      </c>
      <c r="Q44" s="2"/>
      <c r="R44" s="6">
        <f t="shared" si="20"/>
        <v>0</v>
      </c>
      <c r="S44" s="2"/>
      <c r="T44" s="7">
        <v>51039</v>
      </c>
      <c r="U44" s="2"/>
      <c r="V44" s="6">
        <f t="shared" si="21"/>
        <v>0</v>
      </c>
      <c r="W44" s="2"/>
      <c r="X44" s="7">
        <f t="shared" si="22"/>
        <v>5362.6100000000006</v>
      </c>
      <c r="Y44" s="2"/>
      <c r="Z44" s="6">
        <f t="shared" si="23"/>
        <v>0.10506886890417133</v>
      </c>
    </row>
    <row r="45" spans="1:26" s="24" customFormat="1" hidden="1" outlineLevel="2" x14ac:dyDescent="0.25">
      <c r="A45" s="25"/>
      <c r="B45" s="11" t="str">
        <f>CONCATENATE("          ", "6324", " - ", "FURNITURE + FIXT DEPRECIATION")</f>
        <v xml:space="preserve">          6324 - FURNITURE + FIXT DEPRECIATION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100</v>
      </c>
      <c r="U45" s="2"/>
      <c r="V45" s="6">
        <f t="shared" si="21"/>
        <v>0</v>
      </c>
      <c r="W45" s="2"/>
      <c r="X45" s="7">
        <f t="shared" si="22"/>
        <v>-100</v>
      </c>
      <c r="Y45" s="2"/>
      <c r="Z45" s="6">
        <f t="shared" si="23"/>
        <v>-1</v>
      </c>
    </row>
    <row r="46" spans="1:26" s="27" customFormat="1" outlineLevel="1" collapsed="1" x14ac:dyDescent="0.25">
      <c r="A46" s="26"/>
      <c r="B46" s="13" t="str">
        <f>CONCATENATE("     ","Freight out/Postage                               ")</f>
        <v xml:space="preserve">     Freight out/Postage                               </v>
      </c>
      <c r="C46" s="13"/>
      <c r="D46" s="1">
        <f>SUM(OSRRefD22_4x_0)</f>
        <v>0</v>
      </c>
      <c r="E46" s="1"/>
      <c r="F46" s="5">
        <f t="shared" ref="F46:F55" si="24">IF(D$12=0,0,D46/D$12)</f>
        <v>0</v>
      </c>
      <c r="G46" s="1"/>
      <c r="H46" s="1">
        <f>SUM(OSRRefH22_4x_0)</f>
        <v>0</v>
      </c>
      <c r="I46" s="1"/>
      <c r="J46" s="5">
        <f t="shared" ref="J46:J55" si="25">IF(H$12=0,0,H46/H$12)</f>
        <v>0</v>
      </c>
      <c r="K46" s="1"/>
      <c r="L46" s="1">
        <f t="shared" ref="L46:L55" si="26">+D46-H46</f>
        <v>0</v>
      </c>
      <c r="M46" s="1"/>
      <c r="N46" s="5">
        <f t="shared" ref="N46:N55" si="27">IF(H46=0,0,L46/H46)</f>
        <v>0</v>
      </c>
      <c r="O46" s="13"/>
      <c r="P46" s="1">
        <f>SUM(OSRRefP22_4x_0)</f>
        <v>5.7</v>
      </c>
      <c r="Q46" s="1"/>
      <c r="R46" s="5">
        <f t="shared" ref="R46:R55" si="28">IF(P$12=0,0,P46/P$12)</f>
        <v>0</v>
      </c>
      <c r="S46" s="1"/>
      <c r="T46" s="1">
        <f>SUM(OSRRefT22_4x_0)</f>
        <v>0</v>
      </c>
      <c r="U46" s="1"/>
      <c r="V46" s="5">
        <f t="shared" ref="V46:V55" si="29">IF(T$12=0,0,T46/T$12)</f>
        <v>0</v>
      </c>
      <c r="W46" s="1"/>
      <c r="X46" s="1">
        <f t="shared" ref="X46:X55" si="30">+P46-T46</f>
        <v>5.7</v>
      </c>
      <c r="Y46" s="1"/>
      <c r="Z46" s="5">
        <f t="shared" ref="Z46:Z55" si="31">IF(T46=0,0,X46/T46)</f>
        <v>0</v>
      </c>
    </row>
    <row r="47" spans="1:26" s="24" customFormat="1" hidden="1" outlineLevel="2" x14ac:dyDescent="0.25">
      <c r="A47" s="25"/>
      <c r="B47" s="11" t="str">
        <f>CONCATENATE("          ", "6307", " - ", "POSTAGE")</f>
        <v xml:space="preserve">          6307 - POSTAGE</v>
      </c>
      <c r="C47" s="11"/>
      <c r="D47" s="7"/>
      <c r="E47" s="2"/>
      <c r="F47" s="6">
        <f t="shared" si="24"/>
        <v>0</v>
      </c>
      <c r="G47" s="2"/>
      <c r="H47" s="7"/>
      <c r="I47" s="2"/>
      <c r="J47" s="6">
        <f t="shared" si="25"/>
        <v>0</v>
      </c>
      <c r="K47" s="2"/>
      <c r="L47" s="7">
        <f t="shared" si="26"/>
        <v>0</v>
      </c>
      <c r="M47" s="2"/>
      <c r="N47" s="6">
        <f t="shared" si="27"/>
        <v>0</v>
      </c>
      <c r="O47" s="11"/>
      <c r="P47" s="7">
        <v>5.7</v>
      </c>
      <c r="Q47" s="2"/>
      <c r="R47" s="6">
        <f t="shared" si="28"/>
        <v>0</v>
      </c>
      <c r="S47" s="2"/>
      <c r="T47" s="7"/>
      <c r="U47" s="2"/>
      <c r="V47" s="6">
        <f t="shared" si="29"/>
        <v>0</v>
      </c>
      <c r="W47" s="2"/>
      <c r="X47" s="7">
        <f t="shared" si="30"/>
        <v>5.7</v>
      </c>
      <c r="Y47" s="2"/>
      <c r="Z47" s="6">
        <f t="shared" si="31"/>
        <v>0</v>
      </c>
    </row>
    <row r="48" spans="1:26" s="27" customFormat="1" outlineLevel="1" collapsed="1" x14ac:dyDescent="0.25">
      <c r="A48" s="26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SUM(OSRRefD22_5x_0)</f>
        <v>0</v>
      </c>
      <c r="E48" s="1"/>
      <c r="F48" s="5">
        <f t="shared" si="24"/>
        <v>0</v>
      </c>
      <c r="G48" s="1"/>
      <c r="H48" s="1">
        <f>SUM(OSRRefH22_5x_0)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3"/>
      <c r="P48" s="1">
        <f>SUM(OSRRefP22_5x_0)</f>
        <v>0</v>
      </c>
      <c r="Q48" s="1"/>
      <c r="R48" s="5">
        <f t="shared" si="28"/>
        <v>0</v>
      </c>
      <c r="S48" s="1"/>
      <c r="T48" s="1">
        <f>SUM(OSRRefT22_5x_0)</f>
        <v>500</v>
      </c>
      <c r="U48" s="1"/>
      <c r="V48" s="5">
        <f t="shared" si="29"/>
        <v>0</v>
      </c>
      <c r="W48" s="1"/>
      <c r="X48" s="1">
        <f t="shared" si="30"/>
        <v>-500</v>
      </c>
      <c r="Y48" s="1"/>
      <c r="Z48" s="5">
        <f t="shared" si="31"/>
        <v>-1</v>
      </c>
    </row>
    <row r="49" spans="1:26" s="24" customFormat="1" hidden="1" outlineLevel="2" x14ac:dyDescent="0.25">
      <c r="A49" s="25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500</v>
      </c>
      <c r="U49" s="2"/>
      <c r="V49" s="6">
        <f t="shared" si="29"/>
        <v>0</v>
      </c>
      <c r="W49" s="2"/>
      <c r="X49" s="7">
        <f t="shared" si="30"/>
        <v>-500</v>
      </c>
      <c r="Y49" s="2"/>
      <c r="Z49" s="6">
        <f t="shared" si="31"/>
        <v>-1</v>
      </c>
    </row>
    <row r="50" spans="1:26" s="27" customFormat="1" outlineLevel="1" collapsed="1" x14ac:dyDescent="0.25">
      <c r="A50" s="26"/>
      <c r="B50" s="13" t="str">
        <f>CONCATENATE("     ","Insurance                                         ")</f>
        <v xml:space="preserve">     Insurance                                         </v>
      </c>
      <c r="C50" s="13"/>
      <c r="D50" s="1">
        <f>SUM(OSRRefD22_6x_0)</f>
        <v>56.34</v>
      </c>
      <c r="E50" s="1"/>
      <c r="F50" s="5">
        <f t="shared" si="24"/>
        <v>0</v>
      </c>
      <c r="G50" s="1"/>
      <c r="H50" s="1">
        <f>SUM(OSRRefH22_6x_0)</f>
        <v>61</v>
      </c>
      <c r="I50" s="1"/>
      <c r="J50" s="5">
        <f t="shared" si="25"/>
        <v>0</v>
      </c>
      <c r="K50" s="1"/>
      <c r="L50" s="1">
        <f t="shared" si="26"/>
        <v>-4.6599999999999966</v>
      </c>
      <c r="M50" s="1"/>
      <c r="N50" s="5">
        <f t="shared" si="27"/>
        <v>-7.6393442622950766E-2</v>
      </c>
      <c r="O50" s="13"/>
      <c r="P50" s="1">
        <f>SUM(OSRRefP22_6x_0)</f>
        <v>619.74</v>
      </c>
      <c r="Q50" s="1"/>
      <c r="R50" s="5">
        <f t="shared" si="28"/>
        <v>0</v>
      </c>
      <c r="S50" s="1"/>
      <c r="T50" s="1">
        <f>SUM(OSRRefT22_6x_0)</f>
        <v>1210</v>
      </c>
      <c r="U50" s="1"/>
      <c r="V50" s="5">
        <f t="shared" si="29"/>
        <v>0</v>
      </c>
      <c r="W50" s="1"/>
      <c r="X50" s="1">
        <f t="shared" si="30"/>
        <v>-590.26</v>
      </c>
      <c r="Y50" s="1"/>
      <c r="Z50" s="5">
        <f t="shared" si="31"/>
        <v>-0.48781818181818182</v>
      </c>
    </row>
    <row r="51" spans="1:26" s="24" customFormat="1" hidden="1" outlineLevel="2" x14ac:dyDescent="0.25">
      <c r="A51" s="25"/>
      <c r="B51" s="11" t="str">
        <f>CONCATENATE("          ", "6314", " - ", "LIABILITY INSURANCE")</f>
        <v xml:space="preserve">          6314 - LIABILITY INSURANCE</v>
      </c>
      <c r="C51" s="11"/>
      <c r="D51" s="7">
        <v>56.34</v>
      </c>
      <c r="E51" s="2"/>
      <c r="F51" s="6">
        <f t="shared" si="24"/>
        <v>0</v>
      </c>
      <c r="G51" s="2"/>
      <c r="H51" s="7">
        <v>61</v>
      </c>
      <c r="I51" s="2"/>
      <c r="J51" s="6">
        <f t="shared" si="25"/>
        <v>0</v>
      </c>
      <c r="K51" s="2"/>
      <c r="L51" s="7">
        <f t="shared" si="26"/>
        <v>-4.6599999999999966</v>
      </c>
      <c r="M51" s="2"/>
      <c r="N51" s="6">
        <f t="shared" si="27"/>
        <v>-7.6393442622950766E-2</v>
      </c>
      <c r="O51" s="11"/>
      <c r="P51" s="7">
        <v>619.74</v>
      </c>
      <c r="Q51" s="2"/>
      <c r="R51" s="6">
        <f t="shared" si="28"/>
        <v>0</v>
      </c>
      <c r="S51" s="2"/>
      <c r="T51" s="7">
        <v>1210</v>
      </c>
      <c r="U51" s="2"/>
      <c r="V51" s="6">
        <f t="shared" si="29"/>
        <v>0</v>
      </c>
      <c r="W51" s="2"/>
      <c r="X51" s="7">
        <f t="shared" si="30"/>
        <v>-590.26</v>
      </c>
      <c r="Y51" s="2"/>
      <c r="Z51" s="6">
        <f t="shared" si="31"/>
        <v>-0.48781818181818182</v>
      </c>
    </row>
    <row r="52" spans="1:26" s="27" customFormat="1" outlineLevel="1" collapsed="1" x14ac:dyDescent="0.25">
      <c r="A52" s="26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SUM(OSRRefD22_7x_0)</f>
        <v>13842</v>
      </c>
      <c r="E52" s="1"/>
      <c r="F52" s="5">
        <f t="shared" si="24"/>
        <v>0</v>
      </c>
      <c r="G52" s="1"/>
      <c r="H52" s="1">
        <f>SUM(OSRRefH22_7x_0)</f>
        <v>14910</v>
      </c>
      <c r="I52" s="1"/>
      <c r="J52" s="5">
        <f t="shared" si="25"/>
        <v>0</v>
      </c>
      <c r="K52" s="1"/>
      <c r="L52" s="1">
        <f t="shared" si="26"/>
        <v>-1068</v>
      </c>
      <c r="M52" s="1"/>
      <c r="N52" s="5">
        <f t="shared" si="27"/>
        <v>-7.1629778672032199E-2</v>
      </c>
      <c r="O52" s="13"/>
      <c r="P52" s="1">
        <f>SUM(OSRRefP22_7x_0)</f>
        <v>141390.98000000001</v>
      </c>
      <c r="Q52" s="1"/>
      <c r="R52" s="5">
        <f t="shared" si="28"/>
        <v>0</v>
      </c>
      <c r="S52" s="1"/>
      <c r="T52" s="1">
        <f>SUM(OSRRefT22_7x_0)</f>
        <v>151560</v>
      </c>
      <c r="U52" s="1"/>
      <c r="V52" s="5">
        <f t="shared" si="29"/>
        <v>0</v>
      </c>
      <c r="W52" s="1"/>
      <c r="X52" s="1">
        <f t="shared" si="30"/>
        <v>-10169.01999999999</v>
      </c>
      <c r="Y52" s="1"/>
      <c r="Z52" s="5">
        <f t="shared" si="31"/>
        <v>-6.7095671681182301E-2</v>
      </c>
    </row>
    <row r="53" spans="1:26" s="24" customFormat="1" hidden="1" outlineLevel="2" x14ac:dyDescent="0.25">
      <c r="A53" s="25"/>
      <c r="B53" s="11" t="str">
        <f>CONCATENATE("          ", "6371", " - ", "COMPUTER SOFTWARE MAINTENANCE")</f>
        <v xml:space="preserve">          6371 - COMPUTER SOFTWARE MAINTENANCE</v>
      </c>
      <c r="C53" s="11"/>
      <c r="D53" s="7">
        <v>1650</v>
      </c>
      <c r="E53" s="2"/>
      <c r="F53" s="6">
        <f t="shared" si="24"/>
        <v>0</v>
      </c>
      <c r="G53" s="2"/>
      <c r="H53" s="7">
        <v>660</v>
      </c>
      <c r="I53" s="2"/>
      <c r="J53" s="6">
        <f t="shared" si="25"/>
        <v>0</v>
      </c>
      <c r="K53" s="2"/>
      <c r="L53" s="7">
        <f t="shared" si="26"/>
        <v>990</v>
      </c>
      <c r="M53" s="2"/>
      <c r="N53" s="6">
        <f t="shared" si="27"/>
        <v>1.5</v>
      </c>
      <c r="O53" s="11"/>
      <c r="P53" s="7">
        <v>7713.98</v>
      </c>
      <c r="Q53" s="2"/>
      <c r="R53" s="6">
        <f t="shared" si="28"/>
        <v>0</v>
      </c>
      <c r="S53" s="2"/>
      <c r="T53" s="7">
        <v>7260</v>
      </c>
      <c r="U53" s="2"/>
      <c r="V53" s="6">
        <f t="shared" si="29"/>
        <v>0</v>
      </c>
      <c r="W53" s="2"/>
      <c r="X53" s="7">
        <f t="shared" si="30"/>
        <v>453.97999999999956</v>
      </c>
      <c r="Y53" s="2"/>
      <c r="Z53" s="6">
        <f t="shared" si="31"/>
        <v>6.2531680440771287E-2</v>
      </c>
    </row>
    <row r="54" spans="1:26" s="24" customFormat="1" hidden="1" outlineLevel="2" x14ac:dyDescent="0.25">
      <c r="A54" s="25"/>
      <c r="B54" s="11" t="str">
        <f>CONCATENATE("          ", "6372", " - ", "COMPUTER HARDWARE MAINTENANCE")</f>
        <v xml:space="preserve">          6372 - COMPUTER HARDWARE MAINTENANCE</v>
      </c>
      <c r="C54" s="11"/>
      <c r="D54" s="7"/>
      <c r="E54" s="2"/>
      <c r="F54" s="6">
        <f t="shared" si="24"/>
        <v>0</v>
      </c>
      <c r="G54" s="2"/>
      <c r="H54" s="7">
        <v>1600</v>
      </c>
      <c r="I54" s="2"/>
      <c r="J54" s="6">
        <f t="shared" si="25"/>
        <v>0</v>
      </c>
      <c r="K54" s="2"/>
      <c r="L54" s="7">
        <f t="shared" si="26"/>
        <v>-1600</v>
      </c>
      <c r="M54" s="2"/>
      <c r="N54" s="6">
        <f t="shared" si="27"/>
        <v>-1</v>
      </c>
      <c r="O54" s="11"/>
      <c r="P54" s="7"/>
      <c r="Q54" s="2"/>
      <c r="R54" s="6">
        <f t="shared" si="28"/>
        <v>0</v>
      </c>
      <c r="S54" s="2"/>
      <c r="T54" s="7">
        <v>17600</v>
      </c>
      <c r="U54" s="2"/>
      <c r="V54" s="6">
        <f t="shared" si="29"/>
        <v>0</v>
      </c>
      <c r="W54" s="2"/>
      <c r="X54" s="7">
        <f t="shared" si="30"/>
        <v>-17600</v>
      </c>
      <c r="Y54" s="2"/>
      <c r="Z54" s="6">
        <f t="shared" si="31"/>
        <v>-1</v>
      </c>
    </row>
    <row r="55" spans="1:26" s="24" customFormat="1" hidden="1" outlineLevel="2" x14ac:dyDescent="0.25">
      <c r="A55" s="25"/>
      <c r="B55" s="11" t="str">
        <f>CONCATENATE("          ", "6373", " - ", "MAINTENANCE CONTRACTS")</f>
        <v xml:space="preserve">          6373 - MAINTENANCE CONTRACTS</v>
      </c>
      <c r="C55" s="11"/>
      <c r="D55" s="7">
        <v>12192</v>
      </c>
      <c r="E55" s="2"/>
      <c r="F55" s="6">
        <f t="shared" si="24"/>
        <v>0</v>
      </c>
      <c r="G55" s="2"/>
      <c r="H55" s="7">
        <v>12650</v>
      </c>
      <c r="I55" s="2"/>
      <c r="J55" s="6">
        <f t="shared" si="25"/>
        <v>0</v>
      </c>
      <c r="K55" s="2"/>
      <c r="L55" s="7">
        <f t="shared" si="26"/>
        <v>-458</v>
      </c>
      <c r="M55" s="2"/>
      <c r="N55" s="6">
        <f t="shared" si="27"/>
        <v>-3.6205533596837945E-2</v>
      </c>
      <c r="O55" s="11"/>
      <c r="P55" s="7">
        <v>133677</v>
      </c>
      <c r="Q55" s="2"/>
      <c r="R55" s="6">
        <f t="shared" si="28"/>
        <v>0</v>
      </c>
      <c r="S55" s="2"/>
      <c r="T55" s="7">
        <v>126700</v>
      </c>
      <c r="U55" s="2"/>
      <c r="V55" s="6">
        <f t="shared" si="29"/>
        <v>0</v>
      </c>
      <c r="W55" s="2"/>
      <c r="X55" s="7">
        <f t="shared" si="30"/>
        <v>6977</v>
      </c>
      <c r="Y55" s="2"/>
      <c r="Z55" s="6">
        <f t="shared" si="31"/>
        <v>5.5067087608524072E-2</v>
      </c>
    </row>
    <row r="56" spans="1:26" s="27" customFormat="1" outlineLevel="1" collapsed="1" x14ac:dyDescent="0.25">
      <c r="A56" s="26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SUM(OSRRefD22_8x_0)</f>
        <v>0</v>
      </c>
      <c r="E56" s="1"/>
      <c r="F56" s="5">
        <f t="shared" ref="F56:F58" si="32">IF(D$12=0,0,D56/D$12)</f>
        <v>0</v>
      </c>
      <c r="G56" s="1"/>
      <c r="H56" s="1">
        <f>SUM(OSRRefH22_8x_0)</f>
        <v>100</v>
      </c>
      <c r="I56" s="1"/>
      <c r="J56" s="5">
        <f t="shared" ref="J56:J58" si="33">IF(H$12=0,0,H56/H$12)</f>
        <v>0</v>
      </c>
      <c r="K56" s="1"/>
      <c r="L56" s="1">
        <f t="shared" ref="L56:L58" si="34">+D56-H56</f>
        <v>-100</v>
      </c>
      <c r="M56" s="1"/>
      <c r="N56" s="5">
        <f t="shared" ref="N56:N58" si="35">IF(H56=0,0,L56/H56)</f>
        <v>-1</v>
      </c>
      <c r="O56" s="13"/>
      <c r="P56" s="1">
        <f>SUM(OSRRefP22_8x_0)</f>
        <v>0</v>
      </c>
      <c r="Q56" s="1"/>
      <c r="R56" s="5">
        <f t="shared" ref="R56:R58" si="36">IF(P$12=0,0,P56/P$12)</f>
        <v>0</v>
      </c>
      <c r="S56" s="1"/>
      <c r="T56" s="1">
        <f>SUM(OSRRefT22_8x_0)</f>
        <v>2000</v>
      </c>
      <c r="U56" s="1"/>
      <c r="V56" s="5">
        <f t="shared" ref="V56:V58" si="37">IF(T$12=0,0,T56/T$12)</f>
        <v>0</v>
      </c>
      <c r="W56" s="1"/>
      <c r="X56" s="1">
        <f t="shared" ref="X56:X58" si="38">+P56-T56</f>
        <v>-2000</v>
      </c>
      <c r="Y56" s="1"/>
      <c r="Z56" s="5">
        <f t="shared" ref="Z56:Z58" si="39">IF(T56=0,0,X56/T56)</f>
        <v>-1</v>
      </c>
    </row>
    <row r="57" spans="1:26" s="24" customFormat="1" hidden="1" outlineLevel="2" x14ac:dyDescent="0.25">
      <c r="A57" s="25"/>
      <c r="B57" s="11" t="str">
        <f>CONCATENATE("          ", "6258", " - ", "MEMBERSHIP DUES")</f>
        <v xml:space="preserve">          6258 - MEMBERSHIP DUES</v>
      </c>
      <c r="C57" s="11"/>
      <c r="D57" s="7"/>
      <c r="E57" s="2"/>
      <c r="F57" s="6">
        <f t="shared" si="32"/>
        <v>0</v>
      </c>
      <c r="G57" s="2"/>
      <c r="H57" s="7"/>
      <c r="I57" s="2"/>
      <c r="J57" s="6">
        <f t="shared" si="33"/>
        <v>0</v>
      </c>
      <c r="K57" s="2"/>
      <c r="L57" s="7">
        <f t="shared" si="34"/>
        <v>0</v>
      </c>
      <c r="M57" s="2"/>
      <c r="N57" s="6">
        <f t="shared" si="35"/>
        <v>0</v>
      </c>
      <c r="O57" s="11"/>
      <c r="P57" s="7"/>
      <c r="Q57" s="2"/>
      <c r="R57" s="6">
        <f t="shared" si="36"/>
        <v>0</v>
      </c>
      <c r="S57" s="2"/>
      <c r="T57" s="7">
        <v>900</v>
      </c>
      <c r="U57" s="2"/>
      <c r="V57" s="6">
        <f t="shared" si="37"/>
        <v>0</v>
      </c>
      <c r="W57" s="2"/>
      <c r="X57" s="7">
        <f t="shared" si="38"/>
        <v>-900</v>
      </c>
      <c r="Y57" s="2"/>
      <c r="Z57" s="6">
        <f t="shared" si="39"/>
        <v>-1</v>
      </c>
    </row>
    <row r="58" spans="1:26" s="24" customFormat="1" hidden="1" outlineLevel="2" x14ac:dyDescent="0.25">
      <c r="A58" s="25"/>
      <c r="B58" s="11" t="str">
        <f>CONCATENATE("          ", "6275", " - ", "SUBSCRIPTIONS")</f>
        <v xml:space="preserve">          6275 - SUBSCRIPTIONS</v>
      </c>
      <c r="C58" s="11"/>
      <c r="D58" s="7"/>
      <c r="E58" s="2"/>
      <c r="F58" s="6">
        <f t="shared" si="32"/>
        <v>0</v>
      </c>
      <c r="G58" s="2"/>
      <c r="H58" s="7">
        <v>100</v>
      </c>
      <c r="I58" s="2"/>
      <c r="J58" s="6">
        <f t="shared" si="33"/>
        <v>0</v>
      </c>
      <c r="K58" s="2"/>
      <c r="L58" s="7">
        <f t="shared" si="34"/>
        <v>-100</v>
      </c>
      <c r="M58" s="2"/>
      <c r="N58" s="6">
        <f t="shared" si="35"/>
        <v>-1</v>
      </c>
      <c r="O58" s="11"/>
      <c r="P58" s="7"/>
      <c r="Q58" s="2"/>
      <c r="R58" s="6">
        <f t="shared" si="36"/>
        <v>0</v>
      </c>
      <c r="S58" s="2"/>
      <c r="T58" s="7">
        <v>1100</v>
      </c>
      <c r="U58" s="2"/>
      <c r="V58" s="6">
        <f t="shared" si="37"/>
        <v>0</v>
      </c>
      <c r="W58" s="2"/>
      <c r="X58" s="7">
        <f t="shared" si="38"/>
        <v>-1100</v>
      </c>
      <c r="Y58" s="2"/>
      <c r="Z58" s="6">
        <f t="shared" si="39"/>
        <v>-1</v>
      </c>
    </row>
    <row r="59" spans="1:26" s="27" customFormat="1" outlineLevel="1" collapsed="1" x14ac:dyDescent="0.25">
      <c r="A59" s="26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SUM(OSRRefD22_9x_0)</f>
        <v>100</v>
      </c>
      <c r="E59" s="1"/>
      <c r="F59" s="5">
        <f t="shared" ref="F59:F63" si="40">IF(D$12=0,0,D59/D$12)</f>
        <v>0</v>
      </c>
      <c r="G59" s="1"/>
      <c r="H59" s="1">
        <f>SUM(OSRRefH22_9x_0)</f>
        <v>300</v>
      </c>
      <c r="I59" s="1"/>
      <c r="J59" s="5">
        <f t="shared" ref="J59:J63" si="41">IF(H$12=0,0,H59/H$12)</f>
        <v>0</v>
      </c>
      <c r="K59" s="1"/>
      <c r="L59" s="1">
        <f t="shared" ref="L59:L63" si="42">+D59-H59</f>
        <v>-200</v>
      </c>
      <c r="M59" s="1"/>
      <c r="N59" s="5">
        <f t="shared" ref="N59:N63" si="43">IF(H59=0,0,L59/H59)</f>
        <v>-0.66666666666666663</v>
      </c>
      <c r="O59" s="13"/>
      <c r="P59" s="1">
        <f>SUM(OSRRefP22_9x_0)</f>
        <v>-1628.07</v>
      </c>
      <c r="Q59" s="1"/>
      <c r="R59" s="5">
        <f t="shared" ref="R59:R63" si="44">IF(P$12=0,0,P59/P$12)</f>
        <v>0</v>
      </c>
      <c r="S59" s="1"/>
      <c r="T59" s="1">
        <f>SUM(OSRRefT22_9x_0)</f>
        <v>3300</v>
      </c>
      <c r="U59" s="1"/>
      <c r="V59" s="5">
        <f t="shared" ref="V59:V63" si="45">IF(T$12=0,0,T59/T$12)</f>
        <v>0</v>
      </c>
      <c r="W59" s="1"/>
      <c r="X59" s="1">
        <f t="shared" ref="X59:X63" si="46">+P59-T59</f>
        <v>-4928.07</v>
      </c>
      <c r="Y59" s="1"/>
      <c r="Z59" s="5">
        <f t="shared" ref="Z59:Z63" si="47">IF(T59=0,0,X59/T59)</f>
        <v>-1.4933545454545454</v>
      </c>
    </row>
    <row r="60" spans="1:26" s="24" customFormat="1" hidden="1" outlineLevel="2" x14ac:dyDescent="0.25">
      <c r="A60" s="25"/>
      <c r="B60" s="11" t="str">
        <f>CONCATENATE("          ", "6241", " - ", "OFFICE EXPENSE")</f>
        <v xml:space="preserve">          6241 - OFFICE EXPENSE</v>
      </c>
      <c r="C60" s="11"/>
      <c r="D60" s="7">
        <v>100</v>
      </c>
      <c r="E60" s="2"/>
      <c r="F60" s="6">
        <f t="shared" si="40"/>
        <v>0</v>
      </c>
      <c r="G60" s="2"/>
      <c r="H60" s="7">
        <v>300</v>
      </c>
      <c r="I60" s="2"/>
      <c r="J60" s="6">
        <f t="shared" si="41"/>
        <v>0</v>
      </c>
      <c r="K60" s="2"/>
      <c r="L60" s="7">
        <f t="shared" si="42"/>
        <v>-200</v>
      </c>
      <c r="M60" s="2"/>
      <c r="N60" s="6">
        <f t="shared" si="43"/>
        <v>-0.66666666666666663</v>
      </c>
      <c r="O60" s="11"/>
      <c r="P60" s="7">
        <v>-1628.07</v>
      </c>
      <c r="Q60" s="2"/>
      <c r="R60" s="6">
        <f t="shared" si="44"/>
        <v>0</v>
      </c>
      <c r="S60" s="2"/>
      <c r="T60" s="7">
        <v>3300</v>
      </c>
      <c r="U60" s="2"/>
      <c r="V60" s="6">
        <f t="shared" si="45"/>
        <v>0</v>
      </c>
      <c r="W60" s="2"/>
      <c r="X60" s="7">
        <f t="shared" si="46"/>
        <v>-4928.07</v>
      </c>
      <c r="Y60" s="2"/>
      <c r="Z60" s="6">
        <f t="shared" si="47"/>
        <v>-1.4933545454545454</v>
      </c>
    </row>
    <row r="61" spans="1:26" s="27" customFormat="1" outlineLevel="1" collapsed="1" x14ac:dyDescent="0.25">
      <c r="A61" s="26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730.14</v>
      </c>
      <c r="E61" s="1"/>
      <c r="F61" s="5">
        <f t="shared" si="40"/>
        <v>0</v>
      </c>
      <c r="G61" s="1"/>
      <c r="H61" s="1">
        <f>SUM(OSRRefH22_10x_0)</f>
        <v>395</v>
      </c>
      <c r="I61" s="1"/>
      <c r="J61" s="5">
        <f t="shared" si="41"/>
        <v>0</v>
      </c>
      <c r="K61" s="1"/>
      <c r="L61" s="1">
        <f t="shared" si="42"/>
        <v>335.14</v>
      </c>
      <c r="M61" s="1"/>
      <c r="N61" s="5">
        <f t="shared" si="43"/>
        <v>0.84845569620253158</v>
      </c>
      <c r="O61" s="13"/>
      <c r="P61" s="1">
        <f>SUM(OSRRefP22_10x_0)</f>
        <v>7990.2099999999991</v>
      </c>
      <c r="Q61" s="1"/>
      <c r="R61" s="5">
        <f t="shared" si="44"/>
        <v>0</v>
      </c>
      <c r="S61" s="1"/>
      <c r="T61" s="1">
        <f>SUM(OSRRefT22_10x_0)</f>
        <v>4345</v>
      </c>
      <c r="U61" s="1"/>
      <c r="V61" s="5">
        <f t="shared" si="45"/>
        <v>0</v>
      </c>
      <c r="W61" s="1"/>
      <c r="X61" s="1">
        <f t="shared" si="46"/>
        <v>3645.2099999999991</v>
      </c>
      <c r="Y61" s="1"/>
      <c r="Z61" s="5">
        <f t="shared" si="47"/>
        <v>0.8389436133486764</v>
      </c>
    </row>
    <row r="62" spans="1:26" s="24" customFormat="1" hidden="1" outlineLevel="2" x14ac:dyDescent="0.25">
      <c r="A62" s="25"/>
      <c r="B62" s="11" t="str">
        <f>CONCATENATE("          ", "6303", " - ", "DATA PHONE LINES")</f>
        <v xml:space="preserve">          6303 - DATA PHONE LINES</v>
      </c>
      <c r="C62" s="11"/>
      <c r="D62" s="7">
        <v>81.99</v>
      </c>
      <c r="E62" s="2"/>
      <c r="F62" s="6">
        <f t="shared" si="40"/>
        <v>0</v>
      </c>
      <c r="G62" s="2"/>
      <c r="H62" s="7">
        <v>335</v>
      </c>
      <c r="I62" s="2"/>
      <c r="J62" s="6">
        <f t="shared" si="41"/>
        <v>0</v>
      </c>
      <c r="K62" s="2"/>
      <c r="L62" s="7">
        <f t="shared" si="42"/>
        <v>-253.01</v>
      </c>
      <c r="M62" s="2"/>
      <c r="N62" s="6">
        <f t="shared" si="43"/>
        <v>-0.75525373134328355</v>
      </c>
      <c r="O62" s="11"/>
      <c r="P62" s="7">
        <v>1485.81</v>
      </c>
      <c r="Q62" s="2"/>
      <c r="R62" s="6">
        <f t="shared" si="44"/>
        <v>0</v>
      </c>
      <c r="S62" s="2"/>
      <c r="T62" s="7">
        <v>3685</v>
      </c>
      <c r="U62" s="2"/>
      <c r="V62" s="6">
        <f t="shared" si="45"/>
        <v>0</v>
      </c>
      <c r="W62" s="2"/>
      <c r="X62" s="7">
        <f t="shared" si="46"/>
        <v>-2199.19</v>
      </c>
      <c r="Y62" s="2"/>
      <c r="Z62" s="6">
        <f t="shared" si="47"/>
        <v>-0.59679511533242879</v>
      </c>
    </row>
    <row r="63" spans="1:26" s="24" customFormat="1" hidden="1" outlineLevel="2" x14ac:dyDescent="0.25">
      <c r="A63" s="25"/>
      <c r="B63" s="11" t="str">
        <f>CONCATENATE("          ", "6309", " - ", "TELEPHONE")</f>
        <v xml:space="preserve">          6309 - TELEPHONE</v>
      </c>
      <c r="C63" s="11"/>
      <c r="D63" s="7">
        <v>648.15</v>
      </c>
      <c r="E63" s="2"/>
      <c r="F63" s="6">
        <f t="shared" si="40"/>
        <v>0</v>
      </c>
      <c r="G63" s="2"/>
      <c r="H63" s="7">
        <v>60</v>
      </c>
      <c r="I63" s="2"/>
      <c r="J63" s="6">
        <f t="shared" si="41"/>
        <v>0</v>
      </c>
      <c r="K63" s="2"/>
      <c r="L63" s="7">
        <f t="shared" si="42"/>
        <v>588.15</v>
      </c>
      <c r="M63" s="2"/>
      <c r="N63" s="6">
        <f t="shared" si="43"/>
        <v>9.8025000000000002</v>
      </c>
      <c r="O63" s="11"/>
      <c r="P63" s="7">
        <v>6504.4</v>
      </c>
      <c r="Q63" s="2"/>
      <c r="R63" s="6">
        <f t="shared" si="44"/>
        <v>0</v>
      </c>
      <c r="S63" s="2"/>
      <c r="T63" s="7">
        <v>660</v>
      </c>
      <c r="U63" s="2"/>
      <c r="V63" s="6">
        <f t="shared" si="45"/>
        <v>0</v>
      </c>
      <c r="W63" s="2"/>
      <c r="X63" s="7">
        <f t="shared" si="46"/>
        <v>5844.4</v>
      </c>
      <c r="Y63" s="2"/>
      <c r="Z63" s="6">
        <f t="shared" si="47"/>
        <v>8.8551515151515154</v>
      </c>
    </row>
    <row r="64" spans="1:26" s="27" customFormat="1" outlineLevel="1" collapsed="1" x14ac:dyDescent="0.25">
      <c r="A64" s="26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SUM(OSRRefD22_11x_0)</f>
        <v>0</v>
      </c>
      <c r="E64" s="1"/>
      <c r="F64" s="5">
        <f t="shared" ref="F64:F67" si="48">IF(D$12=0,0,D64/D$12)</f>
        <v>0</v>
      </c>
      <c r="G64" s="1"/>
      <c r="H64" s="1">
        <f>SUM(OSRRefH22_11x_0)</f>
        <v>0</v>
      </c>
      <c r="I64" s="1"/>
      <c r="J64" s="5">
        <f t="shared" ref="J64:J67" si="49">IF(H$12=0,0,H64/H$12)</f>
        <v>0</v>
      </c>
      <c r="K64" s="1"/>
      <c r="L64" s="1">
        <f t="shared" ref="L64:L67" si="50">+D64-H64</f>
        <v>0</v>
      </c>
      <c r="M64" s="1"/>
      <c r="N64" s="5">
        <f t="shared" ref="N64:N67" si="51">IF(H64=0,0,L64/H64)</f>
        <v>0</v>
      </c>
      <c r="O64" s="13"/>
      <c r="P64" s="1">
        <f>SUM(OSRRefP22_11x_0)</f>
        <v>498</v>
      </c>
      <c r="Q64" s="1"/>
      <c r="R64" s="5">
        <f t="shared" ref="R64:R67" si="52">IF(P$12=0,0,P64/P$12)</f>
        <v>0</v>
      </c>
      <c r="S64" s="1"/>
      <c r="T64" s="1">
        <f>SUM(OSRRefT22_11x_0)</f>
        <v>0</v>
      </c>
      <c r="U64" s="1"/>
      <c r="V64" s="5">
        <f t="shared" ref="V64:V67" si="53">IF(T$12=0,0,T64/T$12)</f>
        <v>0</v>
      </c>
      <c r="W64" s="1"/>
      <c r="X64" s="1">
        <f t="shared" ref="X64:X67" si="54">+P64-T64</f>
        <v>498</v>
      </c>
      <c r="Y64" s="1"/>
      <c r="Z64" s="5">
        <f t="shared" ref="Z64:Z67" si="55">IF(T64=0,0,X64/T64)</f>
        <v>0</v>
      </c>
    </row>
    <row r="65" spans="1:26" s="24" customFormat="1" hidden="1" outlineLevel="2" x14ac:dyDescent="0.25">
      <c r="A65" s="25"/>
      <c r="B65" s="11" t="str">
        <f>CONCATENATE("          ", "6376", " - ", "TRAINING")</f>
        <v xml:space="preserve">          6376 - TRAINING</v>
      </c>
      <c r="C65" s="11"/>
      <c r="D65" s="7"/>
      <c r="E65" s="2"/>
      <c r="F65" s="6">
        <f t="shared" si="48"/>
        <v>0</v>
      </c>
      <c r="G65" s="2"/>
      <c r="H65" s="7"/>
      <c r="I65" s="2"/>
      <c r="J65" s="6">
        <f t="shared" si="49"/>
        <v>0</v>
      </c>
      <c r="K65" s="2"/>
      <c r="L65" s="7">
        <f t="shared" si="50"/>
        <v>0</v>
      </c>
      <c r="M65" s="2"/>
      <c r="N65" s="6">
        <f t="shared" si="51"/>
        <v>0</v>
      </c>
      <c r="O65" s="11"/>
      <c r="P65" s="7">
        <v>498</v>
      </c>
      <c r="Q65" s="2"/>
      <c r="R65" s="6">
        <f t="shared" si="52"/>
        <v>0</v>
      </c>
      <c r="S65" s="2"/>
      <c r="T65" s="7"/>
      <c r="U65" s="2"/>
      <c r="V65" s="6">
        <f t="shared" si="53"/>
        <v>0</v>
      </c>
      <c r="W65" s="2"/>
      <c r="X65" s="7">
        <f t="shared" si="54"/>
        <v>498</v>
      </c>
      <c r="Y65" s="2"/>
      <c r="Z65" s="6">
        <f t="shared" si="55"/>
        <v>0</v>
      </c>
    </row>
    <row r="66" spans="1:26" s="27" customFormat="1" outlineLevel="1" collapsed="1" x14ac:dyDescent="0.25">
      <c r="A66" s="26"/>
      <c r="B66" s="13" t="str">
        <f>CONCATENATE("     ","Travel                                            ")</f>
        <v xml:space="preserve">     Travel                                            </v>
      </c>
      <c r="C66" s="13"/>
      <c r="D66" s="1">
        <f>SUM(OSRRefD22_12x_0)</f>
        <v>0</v>
      </c>
      <c r="E66" s="1"/>
      <c r="F66" s="5">
        <f t="shared" si="48"/>
        <v>0</v>
      </c>
      <c r="G66" s="1"/>
      <c r="H66" s="1">
        <f>SUM(OSRRefH22_12x_0)</f>
        <v>625</v>
      </c>
      <c r="I66" s="1"/>
      <c r="J66" s="5">
        <f t="shared" si="49"/>
        <v>0</v>
      </c>
      <c r="K66" s="1"/>
      <c r="L66" s="1">
        <f t="shared" si="50"/>
        <v>-625</v>
      </c>
      <c r="M66" s="1"/>
      <c r="N66" s="5">
        <f t="shared" si="51"/>
        <v>-1</v>
      </c>
      <c r="O66" s="13"/>
      <c r="P66" s="1">
        <f>SUM(OSRRefP22_12x_0)</f>
        <v>0</v>
      </c>
      <c r="Q66" s="1"/>
      <c r="R66" s="5">
        <f t="shared" si="52"/>
        <v>0</v>
      </c>
      <c r="S66" s="1"/>
      <c r="T66" s="1">
        <f>SUM(OSRRefT22_12x_0)</f>
        <v>6875</v>
      </c>
      <c r="U66" s="1"/>
      <c r="V66" s="5">
        <f t="shared" si="53"/>
        <v>0</v>
      </c>
      <c r="W66" s="1"/>
      <c r="X66" s="1">
        <f t="shared" si="54"/>
        <v>-6875</v>
      </c>
      <c r="Y66" s="1"/>
      <c r="Z66" s="5">
        <f t="shared" si="55"/>
        <v>-1</v>
      </c>
    </row>
    <row r="67" spans="1:26" s="24" customFormat="1" hidden="1" outlineLevel="2" x14ac:dyDescent="0.25">
      <c r="A67" s="25"/>
      <c r="B67" s="11" t="str">
        <f>CONCATENATE("          ", "6292", " - ", "TRAVEL/CONFERENCE")</f>
        <v xml:space="preserve">          6292 - TRAVEL/CONFERENCE</v>
      </c>
      <c r="C67" s="11"/>
      <c r="D67" s="7"/>
      <c r="E67" s="2"/>
      <c r="F67" s="6">
        <f t="shared" si="48"/>
        <v>0</v>
      </c>
      <c r="G67" s="2"/>
      <c r="H67" s="7">
        <v>625</v>
      </c>
      <c r="I67" s="2"/>
      <c r="J67" s="6">
        <f t="shared" si="49"/>
        <v>0</v>
      </c>
      <c r="K67" s="2"/>
      <c r="L67" s="7">
        <f t="shared" si="50"/>
        <v>-625</v>
      </c>
      <c r="M67" s="2"/>
      <c r="N67" s="6">
        <f t="shared" si="51"/>
        <v>-1</v>
      </c>
      <c r="O67" s="11"/>
      <c r="P67" s="7"/>
      <c r="Q67" s="2"/>
      <c r="R67" s="6">
        <f t="shared" si="52"/>
        <v>0</v>
      </c>
      <c r="S67" s="2"/>
      <c r="T67" s="7">
        <v>6875</v>
      </c>
      <c r="U67" s="2"/>
      <c r="V67" s="6">
        <f t="shared" si="53"/>
        <v>0</v>
      </c>
      <c r="W67" s="2"/>
      <c r="X67" s="7">
        <f t="shared" si="54"/>
        <v>-6875</v>
      </c>
      <c r="Y67" s="2"/>
      <c r="Z67" s="6">
        <f t="shared" si="55"/>
        <v>-1</v>
      </c>
    </row>
    <row r="68" spans="1:26" s="56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9" t="s">
        <v>293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277</v>
      </c>
      <c r="C71" s="28"/>
      <c r="D71" s="20">
        <f>+D16-D18+D69</f>
        <v>-47434.39</v>
      </c>
      <c r="E71" s="14"/>
      <c r="F71" s="21">
        <f>IF(D$12=0,0,D71/D$12)</f>
        <v>0</v>
      </c>
      <c r="G71" s="14"/>
      <c r="H71" s="20">
        <f>+H16-H18+H69</f>
        <v>-51156.722846153818</v>
      </c>
      <c r="I71" s="14"/>
      <c r="J71" s="21">
        <f>IF(H$12=0,0,H71/H$12)</f>
        <v>0</v>
      </c>
      <c r="K71" s="15"/>
      <c r="L71" s="20">
        <f>+D71-H71</f>
        <v>3722.3328461538185</v>
      </c>
      <c r="M71" s="15"/>
      <c r="N71" s="21">
        <f>IF(H71=0,0,L71/H71)</f>
        <v>-7.2763317098090446E-2</v>
      </c>
      <c r="O71" s="29"/>
      <c r="P71" s="20">
        <f>+P16-P18+P69</f>
        <v>-556182.88000000012</v>
      </c>
      <c r="Q71" s="14"/>
      <c r="R71" s="21">
        <f>IF(P$12=0,0,P71/P$12)</f>
        <v>0</v>
      </c>
      <c r="S71" s="14"/>
      <c r="T71" s="20">
        <f>+T16-T18+T69</f>
        <v>-583549.93946153834</v>
      </c>
      <c r="U71" s="14"/>
      <c r="V71" s="21">
        <f>IF(T$12=0,0,T71/T$12)</f>
        <v>0</v>
      </c>
      <c r="W71" s="15"/>
      <c r="X71" s="20">
        <f>+P71-T71</f>
        <v>27367.059461538214</v>
      </c>
      <c r="Y71" s="15"/>
      <c r="Z71" s="21">
        <f>IF(T71=0,0,X71/T71)</f>
        <v>-4.6897544855870853E-2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128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126</v>
      </c>
      <c r="C75" s="28"/>
      <c r="D75" s="35">
        <f>+D71-D73</f>
        <v>-47434.39</v>
      </c>
      <c r="E75" s="14"/>
      <c r="F75" s="34">
        <f>IF(D$12=0,0,D75/D$12)</f>
        <v>0</v>
      </c>
      <c r="G75" s="14"/>
      <c r="H75" s="35">
        <f>+H71-H73</f>
        <v>-51156.722846153818</v>
      </c>
      <c r="I75" s="14"/>
      <c r="J75" s="34">
        <f>IF(H$12=0,0,H75/H$12)</f>
        <v>0</v>
      </c>
      <c r="K75" s="15"/>
      <c r="L75" s="35">
        <f>D75-H75</f>
        <v>3722.3328461538185</v>
      </c>
      <c r="M75" s="15"/>
      <c r="N75" s="34">
        <f>IF(H75=0,0,L75/H75)</f>
        <v>-7.2763317098090446E-2</v>
      </c>
      <c r="O75" s="29"/>
      <c r="P75" s="35">
        <f>+P71-P73</f>
        <v>-556182.88000000012</v>
      </c>
      <c r="Q75" s="14"/>
      <c r="R75" s="34">
        <f>IF(P$12=0,0,P75/P$12)</f>
        <v>0</v>
      </c>
      <c r="S75" s="14"/>
      <c r="T75" s="35">
        <f>+T71-T73</f>
        <v>-583549.93946153834</v>
      </c>
      <c r="U75" s="14"/>
      <c r="V75" s="34">
        <f>IF(T$12=0,0,T75/T$12)</f>
        <v>0</v>
      </c>
      <c r="W75" s="15"/>
      <c r="X75" s="35">
        <f>P75-T75</f>
        <v>27367.059461538214</v>
      </c>
      <c r="Y75" s="15"/>
      <c r="Z75" s="34">
        <f>IF(T75=0,0,X75/T75)</f>
        <v>-4.6897544855870853E-2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294</v>
      </c>
      <c r="C78" s="28"/>
      <c r="D78" s="33">
        <f>SUM(D75:D77)</f>
        <v>-47434.39</v>
      </c>
      <c r="E78" s="14"/>
      <c r="F78" s="32">
        <f>IF(D$12=0,0,D78/D$12)</f>
        <v>0</v>
      </c>
      <c r="G78" s="14"/>
      <c r="H78" s="33">
        <f>SUM(H75:H77)</f>
        <v>-51156.722846153818</v>
      </c>
      <c r="I78" s="14"/>
      <c r="J78" s="32">
        <f>IF(H$12=0,0,H78/H$12)</f>
        <v>0</v>
      </c>
      <c r="K78" s="15"/>
      <c r="L78" s="33">
        <f>+D78-H78</f>
        <v>3722.3328461538185</v>
      </c>
      <c r="M78" s="15"/>
      <c r="N78" s="32">
        <f>IF(H78=0,0,L78/H78)</f>
        <v>-7.2763317098090446E-2</v>
      </c>
      <c r="O78" s="29"/>
      <c r="P78" s="33">
        <f>SUM(P75:P77)</f>
        <v>-556182.88000000012</v>
      </c>
      <c r="Q78" s="14"/>
      <c r="R78" s="32">
        <f>IF(P$12=0,0,P78/P$12)</f>
        <v>0</v>
      </c>
      <c r="S78" s="14"/>
      <c r="T78" s="33">
        <f>SUM(T75:T77)</f>
        <v>-583549.93946153834</v>
      </c>
      <c r="U78" s="14"/>
      <c r="V78" s="32">
        <f>IF(T$12=0,0,T78/T$12)</f>
        <v>0</v>
      </c>
      <c r="W78" s="15"/>
      <c r="X78" s="33">
        <f>+P78-T78</f>
        <v>27367.059461538214</v>
      </c>
      <c r="Y78" s="15"/>
      <c r="Z78" s="32">
        <f>IF(T78=0,0,X78/T78)</f>
        <v>-4.6897544855870853E-2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60">
        <v>44356.891834571761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5" t="s">
        <v>56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63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","205", " - ", "Maintenance")</f>
        <v>Department 205 - Maintenance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12938.990000000002</v>
      </c>
      <c r="E18" s="22"/>
      <c r="F18" s="31">
        <f t="shared" ref="F18:F28" si="0">IF(D$12=0,0,D18/D$12)</f>
        <v>0</v>
      </c>
      <c r="G18" s="22"/>
      <c r="H18" s="22">
        <f>SUM(OSRRefH22x_0)</f>
        <v>7140.2521538461542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5798.7378461538474</v>
      </c>
      <c r="M18" s="4"/>
      <c r="N18" s="31">
        <f t="shared" ref="N18:N28" si="3">IF(H18=0,0,L18/H18)</f>
        <v>0.81211947718545352</v>
      </c>
      <c r="O18" s="10"/>
      <c r="P18" s="22">
        <f>SUM(OSRRefP22x_0)</f>
        <v>91512.839999999982</v>
      </c>
      <c r="Q18" s="22"/>
      <c r="R18" s="31">
        <f t="shared" ref="R18:R28" si="4">IF(P$12=0,0,P18/P$12)</f>
        <v>0</v>
      </c>
      <c r="S18" s="22"/>
      <c r="T18" s="22">
        <f>SUM(OSRRefT22x_0)</f>
        <v>93806.025846153847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-2293.185846153865</v>
      </c>
      <c r="Y18" s="4"/>
      <c r="Z18" s="31">
        <f t="shared" ref="Z18:Z28" si="7">IF(T18=0,0,X18/T18)</f>
        <v>-2.4446039851584739E-2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2704.14</v>
      </c>
      <c r="E19" s="1"/>
      <c r="F19" s="5">
        <f t="shared" si="0"/>
        <v>0</v>
      </c>
      <c r="G19" s="1"/>
      <c r="H19" s="1">
        <f>SUM(OSRRefH22_0x_0)</f>
        <v>1825.2521538461542</v>
      </c>
      <c r="I19" s="1"/>
      <c r="J19" s="5">
        <f t="shared" si="1"/>
        <v>0</v>
      </c>
      <c r="K19" s="1"/>
      <c r="L19" s="1">
        <f t="shared" si="2"/>
        <v>878.88784615384566</v>
      </c>
      <c r="M19" s="1"/>
      <c r="N19" s="5">
        <f t="shared" si="3"/>
        <v>0.48151585209849579</v>
      </c>
      <c r="O19" s="13"/>
      <c r="P19" s="1">
        <f>SUM(OSRRefP22_0x_0)</f>
        <v>28155.78</v>
      </c>
      <c r="Q19" s="1"/>
      <c r="R19" s="5">
        <f t="shared" si="4"/>
        <v>0</v>
      </c>
      <c r="S19" s="1"/>
      <c r="T19" s="1">
        <f>SUM(OSRRefT22_0x_0)</f>
        <v>21903.025846153851</v>
      </c>
      <c r="U19" s="1"/>
      <c r="V19" s="5">
        <f t="shared" si="5"/>
        <v>0</v>
      </c>
      <c r="W19" s="1"/>
      <c r="X19" s="1">
        <f t="shared" si="6"/>
        <v>6252.7541538461483</v>
      </c>
      <c r="Y19" s="1"/>
      <c r="Z19" s="5">
        <f t="shared" si="7"/>
        <v>0.28547444530108729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325.31</v>
      </c>
      <c r="E20" s="2"/>
      <c r="F20" s="6">
        <f t="shared" si="0"/>
        <v>0</v>
      </c>
      <c r="G20" s="2"/>
      <c r="H20" s="7">
        <v>321.42599999999999</v>
      </c>
      <c r="I20" s="2"/>
      <c r="J20" s="6">
        <f t="shared" si="1"/>
        <v>0</v>
      </c>
      <c r="K20" s="2"/>
      <c r="L20" s="7">
        <f t="shared" si="2"/>
        <v>3.8840000000000146</v>
      </c>
      <c r="M20" s="2"/>
      <c r="N20" s="6">
        <f t="shared" si="3"/>
        <v>1.20836522247734E-2</v>
      </c>
      <c r="O20" s="11"/>
      <c r="P20" s="7">
        <v>3839.5</v>
      </c>
      <c r="Q20" s="2"/>
      <c r="R20" s="6">
        <f t="shared" si="4"/>
        <v>0</v>
      </c>
      <c r="S20" s="2"/>
      <c r="T20" s="7">
        <v>3857.1120000000001</v>
      </c>
      <c r="U20" s="2"/>
      <c r="V20" s="6">
        <f t="shared" si="5"/>
        <v>0</v>
      </c>
      <c r="W20" s="2"/>
      <c r="X20" s="7">
        <f t="shared" si="6"/>
        <v>-17.61200000000008</v>
      </c>
      <c r="Y20" s="2"/>
      <c r="Z20" s="6">
        <f t="shared" si="7"/>
        <v>-4.566110602958918E-3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442.37</v>
      </c>
      <c r="E21" s="2"/>
      <c r="F21" s="6">
        <f t="shared" si="0"/>
        <v>0</v>
      </c>
      <c r="G21" s="2"/>
      <c r="H21" s="7">
        <v>291.06</v>
      </c>
      <c r="I21" s="2"/>
      <c r="J21" s="6">
        <f t="shared" si="1"/>
        <v>0</v>
      </c>
      <c r="K21" s="2"/>
      <c r="L21" s="7">
        <f t="shared" si="2"/>
        <v>151.31</v>
      </c>
      <c r="M21" s="2"/>
      <c r="N21" s="6">
        <f t="shared" si="3"/>
        <v>0.51985844842987705</v>
      </c>
      <c r="O21" s="11"/>
      <c r="P21" s="7">
        <v>3475.92</v>
      </c>
      <c r="Q21" s="2"/>
      <c r="R21" s="6">
        <f t="shared" si="4"/>
        <v>0</v>
      </c>
      <c r="S21" s="2"/>
      <c r="T21" s="7">
        <v>3492.72</v>
      </c>
      <c r="U21" s="2"/>
      <c r="V21" s="6">
        <f t="shared" si="5"/>
        <v>0</v>
      </c>
      <c r="W21" s="2"/>
      <c r="X21" s="7">
        <f t="shared" si="6"/>
        <v>-16.799999999999727</v>
      </c>
      <c r="Y21" s="2"/>
      <c r="Z21" s="6">
        <f t="shared" si="7"/>
        <v>-4.8100048100047322E-3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699.91</v>
      </c>
      <c r="E22" s="2"/>
      <c r="F22" s="6">
        <f t="shared" si="0"/>
        <v>0</v>
      </c>
      <c r="G22" s="2"/>
      <c r="H22" s="7">
        <v>613.84615384615404</v>
      </c>
      <c r="I22" s="2"/>
      <c r="J22" s="6">
        <f t="shared" si="1"/>
        <v>0</v>
      </c>
      <c r="K22" s="2"/>
      <c r="L22" s="7">
        <f t="shared" si="2"/>
        <v>86.06384615384593</v>
      </c>
      <c r="M22" s="2"/>
      <c r="N22" s="6">
        <f t="shared" si="3"/>
        <v>0.14020426065162866</v>
      </c>
      <c r="O22" s="11"/>
      <c r="P22" s="7">
        <v>7676.51</v>
      </c>
      <c r="Q22" s="2"/>
      <c r="R22" s="6">
        <f t="shared" si="4"/>
        <v>0</v>
      </c>
      <c r="S22" s="2"/>
      <c r="T22" s="7">
        <v>7366.1538461538503</v>
      </c>
      <c r="U22" s="2"/>
      <c r="V22" s="6">
        <f t="shared" si="5"/>
        <v>0</v>
      </c>
      <c r="W22" s="2"/>
      <c r="X22" s="7">
        <f t="shared" si="6"/>
        <v>310.35615384614994</v>
      </c>
      <c r="Y22" s="2"/>
      <c r="Z22" s="6">
        <f t="shared" si="7"/>
        <v>4.2132727652463939E-2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16.600000000000001</v>
      </c>
      <c r="E23" s="2"/>
      <c r="F23" s="6">
        <f t="shared" si="0"/>
        <v>0</v>
      </c>
      <c r="G23" s="2"/>
      <c r="H23" s="7">
        <v>10.92</v>
      </c>
      <c r="I23" s="2"/>
      <c r="J23" s="6">
        <f t="shared" si="1"/>
        <v>0</v>
      </c>
      <c r="K23" s="2"/>
      <c r="L23" s="7">
        <f t="shared" si="2"/>
        <v>5.6800000000000015</v>
      </c>
      <c r="M23" s="2"/>
      <c r="N23" s="6">
        <f t="shared" si="3"/>
        <v>0.5201465201465203</v>
      </c>
      <c r="O23" s="11"/>
      <c r="P23" s="7">
        <v>130.43</v>
      </c>
      <c r="Q23" s="2"/>
      <c r="R23" s="6">
        <f t="shared" si="4"/>
        <v>0</v>
      </c>
      <c r="S23" s="2"/>
      <c r="T23" s="7">
        <v>131.04</v>
      </c>
      <c r="U23" s="2"/>
      <c r="V23" s="6">
        <f t="shared" si="5"/>
        <v>0</v>
      </c>
      <c r="W23" s="2"/>
      <c r="X23" s="7">
        <f t="shared" si="6"/>
        <v>-0.60999999999998522</v>
      </c>
      <c r="Y23" s="2"/>
      <c r="Z23" s="6">
        <f t="shared" si="7"/>
        <v>-4.6550671550670423E-3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463.27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463.27</v>
      </c>
      <c r="M24" s="2"/>
      <c r="N24" s="6">
        <f t="shared" si="3"/>
        <v>0</v>
      </c>
      <c r="O24" s="11"/>
      <c r="P24" s="7">
        <v>5559.25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5559.25</v>
      </c>
      <c r="Y24" s="2"/>
      <c r="Z24" s="6">
        <f t="shared" si="7"/>
        <v>0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387.96</v>
      </c>
      <c r="E26" s="2"/>
      <c r="F26" s="6">
        <f t="shared" si="0"/>
        <v>0</v>
      </c>
      <c r="G26" s="2"/>
      <c r="H26" s="7">
        <v>420</v>
      </c>
      <c r="I26" s="2"/>
      <c r="J26" s="6">
        <f t="shared" si="1"/>
        <v>0</v>
      </c>
      <c r="K26" s="2"/>
      <c r="L26" s="7">
        <f t="shared" si="2"/>
        <v>-32.04000000000002</v>
      </c>
      <c r="M26" s="2"/>
      <c r="N26" s="6">
        <f t="shared" si="3"/>
        <v>-7.6285714285714332E-2</v>
      </c>
      <c r="O26" s="11"/>
      <c r="P26" s="7">
        <v>3555.68</v>
      </c>
      <c r="Q26" s="2"/>
      <c r="R26" s="6">
        <f t="shared" si="4"/>
        <v>0</v>
      </c>
      <c r="S26" s="2"/>
      <c r="T26" s="7">
        <v>5040</v>
      </c>
      <c r="U26" s="2"/>
      <c r="V26" s="6">
        <f t="shared" si="5"/>
        <v>0</v>
      </c>
      <c r="W26" s="2"/>
      <c r="X26" s="7">
        <f t="shared" si="6"/>
        <v>-1484.3200000000002</v>
      </c>
      <c r="Y26" s="2"/>
      <c r="Z26" s="6">
        <f t="shared" si="7"/>
        <v>-0.29450793650793655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193.72</v>
      </c>
      <c r="E27" s="2"/>
      <c r="F27" s="6">
        <f t="shared" si="0"/>
        <v>0</v>
      </c>
      <c r="G27" s="2"/>
      <c r="H27" s="7">
        <v>168</v>
      </c>
      <c r="I27" s="2"/>
      <c r="J27" s="6">
        <f t="shared" si="1"/>
        <v>0</v>
      </c>
      <c r="K27" s="2"/>
      <c r="L27" s="7">
        <f t="shared" si="2"/>
        <v>25.72</v>
      </c>
      <c r="M27" s="2"/>
      <c r="N27" s="6">
        <f t="shared" si="3"/>
        <v>0.15309523809523809</v>
      </c>
      <c r="O27" s="11"/>
      <c r="P27" s="7">
        <v>2324.64</v>
      </c>
      <c r="Q27" s="2"/>
      <c r="R27" s="6">
        <f t="shared" si="4"/>
        <v>0</v>
      </c>
      <c r="S27" s="2"/>
      <c r="T27" s="7">
        <v>2016</v>
      </c>
      <c r="U27" s="2"/>
      <c r="V27" s="6">
        <f t="shared" si="5"/>
        <v>0</v>
      </c>
      <c r="W27" s="2"/>
      <c r="X27" s="7">
        <f t="shared" si="6"/>
        <v>308.63999999999987</v>
      </c>
      <c r="Y27" s="2"/>
      <c r="Z27" s="6">
        <f t="shared" si="7"/>
        <v>0.15309523809523803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>
        <v>175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175</v>
      </c>
      <c r="M28" s="2"/>
      <c r="N28" s="6">
        <f t="shared" si="3"/>
        <v>0</v>
      </c>
      <c r="O28" s="11"/>
      <c r="P28" s="7">
        <v>1593.85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1593.85</v>
      </c>
      <c r="Y28" s="2"/>
      <c r="Z28" s="6">
        <f t="shared" si="7"/>
        <v>0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4002.88</v>
      </c>
      <c r="E29" s="1"/>
      <c r="F29" s="5">
        <f t="shared" ref="F29:F39" si="8">IF(D$12=0,0,D29/D$12)</f>
        <v>0</v>
      </c>
      <c r="G29" s="1"/>
      <c r="H29" s="1">
        <f>SUM(OSRRefH22_1x_0)</f>
        <v>3738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264.88000000000011</v>
      </c>
      <c r="M29" s="1"/>
      <c r="N29" s="5">
        <f t="shared" ref="N29:N39" si="11">IF(H29=0,0,L29/H29)</f>
        <v>7.0861423220973815E-2</v>
      </c>
      <c r="O29" s="13"/>
      <c r="P29" s="1">
        <f>SUM(OSRRefP22_1x_0)</f>
        <v>46454.93</v>
      </c>
      <c r="Q29" s="1"/>
      <c r="R29" s="5">
        <f t="shared" ref="R29:R39" si="12">IF(P$12=0,0,P29/P$12)</f>
        <v>0</v>
      </c>
      <c r="S29" s="1"/>
      <c r="T29" s="1">
        <f>SUM(OSRRefT22_1x_0)</f>
        <v>44856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1598.9300000000003</v>
      </c>
      <c r="Y29" s="1"/>
      <c r="Z29" s="5">
        <f t="shared" ref="Z29:Z39" si="15">IF(T29=0,0,X29/T29)</f>
        <v>3.5645844480114153E-2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>
        <v>4002.88</v>
      </c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4002.88</v>
      </c>
      <c r="M31" s="2"/>
      <c r="N31" s="6">
        <f t="shared" si="11"/>
        <v>0</v>
      </c>
      <c r="O31" s="11"/>
      <c r="P31" s="7">
        <v>46454.93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46454.93</v>
      </c>
      <c r="Y31" s="2"/>
      <c r="Z31" s="6">
        <f t="shared" si="15"/>
        <v>0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3738</v>
      </c>
      <c r="I33" s="2"/>
      <c r="J33" s="6">
        <f t="shared" si="9"/>
        <v>0</v>
      </c>
      <c r="K33" s="2"/>
      <c r="L33" s="7">
        <f t="shared" si="10"/>
        <v>-3738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44856</v>
      </c>
      <c r="U33" s="2"/>
      <c r="V33" s="6">
        <f t="shared" si="13"/>
        <v>0</v>
      </c>
      <c r="W33" s="2"/>
      <c r="X33" s="7">
        <f t="shared" si="14"/>
        <v>-44856</v>
      </c>
      <c r="Y33" s="2"/>
      <c r="Z33" s="6">
        <f t="shared" si="15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6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0</v>
      </c>
      <c r="E40" s="1"/>
      <c r="F40" s="5">
        <f t="shared" ref="F40:F47" si="16">IF(D$12=0,0,D40/D$12)</f>
        <v>0</v>
      </c>
      <c r="G40" s="1"/>
      <c r="H40" s="1">
        <f>SUM(OSRRefH22_2x_0)</f>
        <v>0</v>
      </c>
      <c r="I40" s="1"/>
      <c r="J40" s="5">
        <f t="shared" ref="J40:J47" si="17">IF(H$12=0,0,H40/H$12)</f>
        <v>0</v>
      </c>
      <c r="K40" s="1"/>
      <c r="L40" s="1">
        <f t="shared" ref="L40:L47" si="18">+D40-H40</f>
        <v>0</v>
      </c>
      <c r="M40" s="1"/>
      <c r="N40" s="5">
        <f t="shared" ref="N40:N47" si="19">IF(H40=0,0,L40/H40)</f>
        <v>0</v>
      </c>
      <c r="O40" s="13"/>
      <c r="P40" s="1">
        <f>SUM(OSRRefP22_2x_0)</f>
        <v>-238.8</v>
      </c>
      <c r="Q40" s="1"/>
      <c r="R40" s="5">
        <f t="shared" ref="R40:R47" si="20">IF(P$12=0,0,P40/P$12)</f>
        <v>0</v>
      </c>
      <c r="S40" s="1"/>
      <c r="T40" s="1">
        <f>SUM(OSRRefT22_2x_0)</f>
        <v>-750</v>
      </c>
      <c r="U40" s="1"/>
      <c r="V40" s="5">
        <f t="shared" ref="V40:V47" si="21">IF(T$12=0,0,T40/T$12)</f>
        <v>0</v>
      </c>
      <c r="W40" s="1"/>
      <c r="X40" s="1">
        <f t="shared" ref="X40:X47" si="22">+P40-T40</f>
        <v>511.2</v>
      </c>
      <c r="Y40" s="1"/>
      <c r="Z40" s="5">
        <f t="shared" ref="Z40:Z47" si="23">IF(T40=0,0,X40/T40)</f>
        <v>-0.68159999999999998</v>
      </c>
    </row>
    <row r="41" spans="1:26" s="24" customFormat="1" hidden="1" outlineLevel="2" x14ac:dyDescent="0.25">
      <c r="A41" s="25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-238.8</v>
      </c>
      <c r="Q41" s="2"/>
      <c r="R41" s="6">
        <f t="shared" si="20"/>
        <v>0</v>
      </c>
      <c r="S41" s="2"/>
      <c r="T41" s="7">
        <v>-750</v>
      </c>
      <c r="U41" s="2"/>
      <c r="V41" s="6">
        <f t="shared" si="21"/>
        <v>0</v>
      </c>
      <c r="W41" s="2"/>
      <c r="X41" s="7">
        <f t="shared" si="22"/>
        <v>511.2</v>
      </c>
      <c r="Y41" s="2"/>
      <c r="Z41" s="6">
        <f t="shared" si="23"/>
        <v>-0.68159999999999998</v>
      </c>
    </row>
    <row r="42" spans="1:26" s="27" customFormat="1" outlineLevel="1" collapsed="1" x14ac:dyDescent="0.25">
      <c r="A42" s="26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27</v>
      </c>
      <c r="I42" s="1"/>
      <c r="J42" s="5">
        <f t="shared" si="17"/>
        <v>0</v>
      </c>
      <c r="K42" s="1"/>
      <c r="L42" s="1">
        <f t="shared" si="18"/>
        <v>-2.4400000000000013</v>
      </c>
      <c r="M42" s="1"/>
      <c r="N42" s="5">
        <f t="shared" si="19"/>
        <v>-9.037037037037042E-2</v>
      </c>
      <c r="O42" s="13"/>
      <c r="P42" s="1">
        <f>SUM(OSRRefP22_3x_0)</f>
        <v>270.16000000000003</v>
      </c>
      <c r="Q42" s="1"/>
      <c r="R42" s="5">
        <f t="shared" si="20"/>
        <v>0</v>
      </c>
      <c r="S42" s="1"/>
      <c r="T42" s="1">
        <f>SUM(OSRRefT22_3x_0)</f>
        <v>297</v>
      </c>
      <c r="U42" s="1"/>
      <c r="V42" s="5">
        <f t="shared" si="21"/>
        <v>0</v>
      </c>
      <c r="W42" s="1"/>
      <c r="X42" s="1">
        <f t="shared" si="22"/>
        <v>-26.839999999999975</v>
      </c>
      <c r="Y42" s="1"/>
      <c r="Z42" s="5">
        <f t="shared" si="23"/>
        <v>-9.0370370370370282E-2</v>
      </c>
    </row>
    <row r="43" spans="1:26" s="24" customFormat="1" hidden="1" outlineLevel="2" x14ac:dyDescent="0.25">
      <c r="A43" s="25"/>
      <c r="B43" s="11" t="str">
        <f>CONCATENATE("          ", "6314", " - ", "LIABILITY INSURANCE")</f>
        <v xml:space="preserve">          6314 - LIABILITY INSURANCE</v>
      </c>
      <c r="C43" s="11"/>
      <c r="D43" s="7">
        <v>24.56</v>
      </c>
      <c r="E43" s="2"/>
      <c r="F43" s="6">
        <f t="shared" si="16"/>
        <v>0</v>
      </c>
      <c r="G43" s="2"/>
      <c r="H43" s="7">
        <v>27</v>
      </c>
      <c r="I43" s="2"/>
      <c r="J43" s="6">
        <f t="shared" si="17"/>
        <v>0</v>
      </c>
      <c r="K43" s="2"/>
      <c r="L43" s="7">
        <f t="shared" si="18"/>
        <v>-2.4400000000000013</v>
      </c>
      <c r="M43" s="2"/>
      <c r="N43" s="6">
        <f t="shared" si="19"/>
        <v>-9.037037037037042E-2</v>
      </c>
      <c r="O43" s="11"/>
      <c r="P43" s="7">
        <v>270.16000000000003</v>
      </c>
      <c r="Q43" s="2"/>
      <c r="R43" s="6">
        <f t="shared" si="20"/>
        <v>0</v>
      </c>
      <c r="S43" s="2"/>
      <c r="T43" s="7">
        <v>297</v>
      </c>
      <c r="U43" s="2"/>
      <c r="V43" s="6">
        <f t="shared" si="21"/>
        <v>0</v>
      </c>
      <c r="W43" s="2"/>
      <c r="X43" s="7">
        <f t="shared" si="22"/>
        <v>-26.839999999999975</v>
      </c>
      <c r="Y43" s="2"/>
      <c r="Z43" s="6">
        <f t="shared" si="23"/>
        <v>-9.0370370370370282E-2</v>
      </c>
    </row>
    <row r="44" spans="1:26" s="27" customFormat="1" outlineLevel="1" collapsed="1" x14ac:dyDescent="0.25">
      <c r="A44" s="26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SUM(OSRRefD22_4x_0)</f>
        <v>891.98</v>
      </c>
      <c r="E44" s="1"/>
      <c r="F44" s="5">
        <f t="shared" si="16"/>
        <v>0</v>
      </c>
      <c r="G44" s="1"/>
      <c r="H44" s="1">
        <f>SUM(OSRRefH22_4x_0)</f>
        <v>1500</v>
      </c>
      <c r="I44" s="1"/>
      <c r="J44" s="5">
        <f t="shared" si="17"/>
        <v>0</v>
      </c>
      <c r="K44" s="1"/>
      <c r="L44" s="1">
        <f t="shared" si="18"/>
        <v>-608.02</v>
      </c>
      <c r="M44" s="1"/>
      <c r="N44" s="5">
        <f t="shared" si="19"/>
        <v>-0.40534666666666663</v>
      </c>
      <c r="O44" s="13"/>
      <c r="P44" s="1">
        <f>SUM(OSRRefP22_4x_0)</f>
        <v>10960.189999999999</v>
      </c>
      <c r="Q44" s="1"/>
      <c r="R44" s="5">
        <f t="shared" si="20"/>
        <v>0</v>
      </c>
      <c r="S44" s="1"/>
      <c r="T44" s="1">
        <f>SUM(OSRRefT22_4x_0)</f>
        <v>21500</v>
      </c>
      <c r="U44" s="1"/>
      <c r="V44" s="5">
        <f t="shared" si="21"/>
        <v>0</v>
      </c>
      <c r="W44" s="1"/>
      <c r="X44" s="1">
        <f t="shared" si="22"/>
        <v>-10539.810000000001</v>
      </c>
      <c r="Y44" s="1"/>
      <c r="Z44" s="5">
        <f t="shared" si="23"/>
        <v>-0.49022372093023264</v>
      </c>
    </row>
    <row r="45" spans="1:26" s="24" customFormat="1" hidden="1" outlineLevel="2" x14ac:dyDescent="0.25">
      <c r="A45" s="25"/>
      <c r="B45" s="11" t="str">
        <f>CONCATENATE("          ", "6371", " - ", "COMPUTER SOFTWARE MAINTENANCE")</f>
        <v xml:space="preserve">          6371 - COMPUTER SOFTWARE MAINTENANCE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5000</v>
      </c>
      <c r="U45" s="2"/>
      <c r="V45" s="6">
        <f t="shared" si="21"/>
        <v>0</v>
      </c>
      <c r="W45" s="2"/>
      <c r="X45" s="7">
        <f t="shared" si="22"/>
        <v>-5000</v>
      </c>
      <c r="Y45" s="2"/>
      <c r="Z45" s="6">
        <f t="shared" si="23"/>
        <v>-1</v>
      </c>
    </row>
    <row r="46" spans="1:26" s="24" customFormat="1" hidden="1" outlineLevel="2" x14ac:dyDescent="0.25">
      <c r="A46" s="25"/>
      <c r="B46" s="11" t="str">
        <f>CONCATENATE("          ", "6373", " - ", "MAINTENANCE CONTRACTS")</f>
        <v xml:space="preserve">          6373 - MAINTENANCE CONTRACTS</v>
      </c>
      <c r="C46" s="11"/>
      <c r="D46" s="7">
        <v>891.98</v>
      </c>
      <c r="E46" s="2"/>
      <c r="F46" s="6">
        <f t="shared" si="16"/>
        <v>0</v>
      </c>
      <c r="G46" s="2"/>
      <c r="H46" s="7">
        <v>1500</v>
      </c>
      <c r="I46" s="2"/>
      <c r="J46" s="6">
        <f t="shared" si="17"/>
        <v>0</v>
      </c>
      <c r="K46" s="2"/>
      <c r="L46" s="7">
        <f t="shared" si="18"/>
        <v>-608.02</v>
      </c>
      <c r="M46" s="2"/>
      <c r="N46" s="6">
        <f t="shared" si="19"/>
        <v>-0.40534666666666663</v>
      </c>
      <c r="O46" s="11"/>
      <c r="P46" s="7">
        <v>8789.9</v>
      </c>
      <c r="Q46" s="2"/>
      <c r="R46" s="6">
        <f t="shared" si="20"/>
        <v>0</v>
      </c>
      <c r="S46" s="2"/>
      <c r="T46" s="7">
        <v>16500</v>
      </c>
      <c r="U46" s="2"/>
      <c r="V46" s="6">
        <f t="shared" si="21"/>
        <v>0</v>
      </c>
      <c r="W46" s="2"/>
      <c r="X46" s="7">
        <f t="shared" si="22"/>
        <v>-7710.1</v>
      </c>
      <c r="Y46" s="2"/>
      <c r="Z46" s="6">
        <f t="shared" si="23"/>
        <v>-0.4672787878787879</v>
      </c>
    </row>
    <row r="47" spans="1:26" s="24" customFormat="1" hidden="1" outlineLevel="2" x14ac:dyDescent="0.25">
      <c r="A47" s="25"/>
      <c r="B47" s="11" t="str">
        <f>CONCATENATE("          ", "6375", " - ", "OUTSIDE REPAIRS &amp; MAINTENANCE")</f>
        <v xml:space="preserve">          6375 - OUTSIDE REPAIRS &amp; MAINTENANCE</v>
      </c>
      <c r="C47" s="11"/>
      <c r="D47" s="7"/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0</v>
      </c>
      <c r="M47" s="2"/>
      <c r="N47" s="6">
        <f t="shared" si="19"/>
        <v>0</v>
      </c>
      <c r="O47" s="11"/>
      <c r="P47" s="7">
        <v>2170.29</v>
      </c>
      <c r="Q47" s="2"/>
      <c r="R47" s="6">
        <f t="shared" si="20"/>
        <v>0</v>
      </c>
      <c r="S47" s="2"/>
      <c r="T47" s="7"/>
      <c r="U47" s="2"/>
      <c r="V47" s="6">
        <f t="shared" si="21"/>
        <v>0</v>
      </c>
      <c r="W47" s="2"/>
      <c r="X47" s="7">
        <f t="shared" si="22"/>
        <v>2170.29</v>
      </c>
      <c r="Y47" s="2"/>
      <c r="Z47" s="6">
        <f t="shared" si="23"/>
        <v>0</v>
      </c>
    </row>
    <row r="48" spans="1:26" s="27" customFormat="1" outlineLevel="1" collapsed="1" x14ac:dyDescent="0.25">
      <c r="A48" s="26"/>
      <c r="B48" s="13" t="str">
        <f>CONCATENATE("     ","Services                                          ")</f>
        <v xml:space="preserve">     Services                                          </v>
      </c>
      <c r="C48" s="13"/>
      <c r="D48" s="1">
        <f>SUM(OSRRefD22_5x_0)</f>
        <v>0</v>
      </c>
      <c r="E48" s="1"/>
      <c r="F48" s="5">
        <f t="shared" ref="F48:F53" si="24">IF(D$12=0,0,D48/D$12)</f>
        <v>0</v>
      </c>
      <c r="G48" s="1"/>
      <c r="H48" s="1">
        <f>SUM(OSRRefH22_5x_0)</f>
        <v>25</v>
      </c>
      <c r="I48" s="1"/>
      <c r="J48" s="5">
        <f t="shared" ref="J48:J53" si="25">IF(H$12=0,0,H48/H$12)</f>
        <v>0</v>
      </c>
      <c r="K48" s="1"/>
      <c r="L48" s="1">
        <f t="shared" ref="L48:L53" si="26">+D48-H48</f>
        <v>-25</v>
      </c>
      <c r="M48" s="1"/>
      <c r="N48" s="5">
        <f t="shared" ref="N48:N53" si="27">IF(H48=0,0,L48/H48)</f>
        <v>-1</v>
      </c>
      <c r="O48" s="13"/>
      <c r="P48" s="1">
        <f>SUM(OSRRefP22_5x_0)</f>
        <v>0</v>
      </c>
      <c r="Q48" s="1"/>
      <c r="R48" s="5">
        <f t="shared" ref="R48:R53" si="28">IF(P$12=0,0,P48/P$12)</f>
        <v>0</v>
      </c>
      <c r="S48" s="1"/>
      <c r="T48" s="1">
        <f>SUM(OSRRefT22_5x_0)</f>
        <v>275</v>
      </c>
      <c r="U48" s="1"/>
      <c r="V48" s="5">
        <f t="shared" ref="V48:V53" si="29">IF(T$12=0,0,T48/T$12)</f>
        <v>0</v>
      </c>
      <c r="W48" s="1"/>
      <c r="X48" s="1">
        <f t="shared" ref="X48:X53" si="30">+P48-T48</f>
        <v>-275</v>
      </c>
      <c r="Y48" s="1"/>
      <c r="Z48" s="5">
        <f t="shared" ref="Z48:Z53" si="31">IF(T48=0,0,X48/T48)</f>
        <v>-1</v>
      </c>
    </row>
    <row r="49" spans="1:26" s="24" customFormat="1" hidden="1" outlineLevel="2" x14ac:dyDescent="0.25">
      <c r="A49" s="25"/>
      <c r="B49" s="11" t="str">
        <f>CONCATENATE("          ", "6286", " - ", "LAUNDRY EXPENSE")</f>
        <v xml:space="preserve">          6286 - LAUNDRY EXPENSE</v>
      </c>
      <c r="C49" s="11"/>
      <c r="D49" s="7"/>
      <c r="E49" s="2"/>
      <c r="F49" s="6">
        <f t="shared" si="24"/>
        <v>0</v>
      </c>
      <c r="G49" s="2"/>
      <c r="H49" s="7">
        <v>25</v>
      </c>
      <c r="I49" s="2"/>
      <c r="J49" s="6">
        <f t="shared" si="25"/>
        <v>0</v>
      </c>
      <c r="K49" s="2"/>
      <c r="L49" s="7">
        <f t="shared" si="26"/>
        <v>-25</v>
      </c>
      <c r="M49" s="2"/>
      <c r="N49" s="6">
        <f t="shared" si="27"/>
        <v>-1</v>
      </c>
      <c r="O49" s="11"/>
      <c r="P49" s="7"/>
      <c r="Q49" s="2"/>
      <c r="R49" s="6">
        <f t="shared" si="28"/>
        <v>0</v>
      </c>
      <c r="S49" s="2"/>
      <c r="T49" s="7">
        <v>275</v>
      </c>
      <c r="U49" s="2"/>
      <c r="V49" s="6">
        <f t="shared" si="29"/>
        <v>0</v>
      </c>
      <c r="W49" s="2"/>
      <c r="X49" s="7">
        <f t="shared" si="30"/>
        <v>-275</v>
      </c>
      <c r="Y49" s="2"/>
      <c r="Z49" s="6">
        <f t="shared" si="31"/>
        <v>-1</v>
      </c>
    </row>
    <row r="50" spans="1:26" s="27" customFormat="1" outlineLevel="1" collapsed="1" x14ac:dyDescent="0.25">
      <c r="A50" s="26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SUM(OSRRefD22_6x_0)</f>
        <v>5217.43</v>
      </c>
      <c r="E50" s="1"/>
      <c r="F50" s="5">
        <f t="shared" si="24"/>
        <v>0</v>
      </c>
      <c r="G50" s="1"/>
      <c r="H50" s="1">
        <f>SUM(OSRRefH22_6x_0)</f>
        <v>0</v>
      </c>
      <c r="I50" s="1"/>
      <c r="J50" s="5">
        <f t="shared" si="25"/>
        <v>0</v>
      </c>
      <c r="K50" s="1"/>
      <c r="L50" s="1">
        <f t="shared" si="26"/>
        <v>5217.43</v>
      </c>
      <c r="M50" s="1"/>
      <c r="N50" s="5">
        <f t="shared" si="27"/>
        <v>0</v>
      </c>
      <c r="O50" s="13"/>
      <c r="P50" s="1">
        <f>SUM(OSRRefP22_6x_0)</f>
        <v>5303.58</v>
      </c>
      <c r="Q50" s="1"/>
      <c r="R50" s="5">
        <f t="shared" si="28"/>
        <v>0</v>
      </c>
      <c r="S50" s="1"/>
      <c r="T50" s="1">
        <f>SUM(OSRRefT22_6x_0)</f>
        <v>5000</v>
      </c>
      <c r="U50" s="1"/>
      <c r="V50" s="5">
        <f t="shared" si="29"/>
        <v>0</v>
      </c>
      <c r="W50" s="1"/>
      <c r="X50" s="1">
        <f t="shared" si="30"/>
        <v>303.57999999999993</v>
      </c>
      <c r="Y50" s="1"/>
      <c r="Z50" s="5">
        <f t="shared" si="31"/>
        <v>6.0715999999999985E-2</v>
      </c>
    </row>
    <row r="51" spans="1:26" s="24" customFormat="1" hidden="1" outlineLevel="2" x14ac:dyDescent="0.25">
      <c r="A51" s="25"/>
      <c r="B51" s="11" t="str">
        <f>CONCATENATE("          ", "6235", " - ", "COVID-19 EXPENSES")</f>
        <v xml:space="preserve">          6235 - COVID-19 EXPENSES</v>
      </c>
      <c r="C51" s="11"/>
      <c r="D51" s="7"/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>
        <v>66.12</v>
      </c>
      <c r="Q51" s="2"/>
      <c r="R51" s="6">
        <f t="shared" si="28"/>
        <v>0</v>
      </c>
      <c r="S51" s="2"/>
      <c r="T51" s="7"/>
      <c r="U51" s="2"/>
      <c r="V51" s="6">
        <f t="shared" si="29"/>
        <v>0</v>
      </c>
      <c r="W51" s="2"/>
      <c r="X51" s="7">
        <f t="shared" si="30"/>
        <v>66.12</v>
      </c>
      <c r="Y51" s="2"/>
      <c r="Z51" s="6">
        <f t="shared" si="31"/>
        <v>0</v>
      </c>
    </row>
    <row r="52" spans="1:26" s="24" customFormat="1" hidden="1" outlineLevel="2" x14ac:dyDescent="0.25">
      <c r="A52" s="25"/>
      <c r="B52" s="11" t="str">
        <f>CONCATENATE("          ", "6241", " - ", "OFFICE EXPENSE")</f>
        <v xml:space="preserve">          6241 - OFFICE EXPENSE</v>
      </c>
      <c r="C52" s="11"/>
      <c r="D52" s="7">
        <v>5217.43</v>
      </c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5217.43</v>
      </c>
      <c r="M52" s="2"/>
      <c r="N52" s="6">
        <f t="shared" si="27"/>
        <v>0</v>
      </c>
      <c r="O52" s="11"/>
      <c r="P52" s="7">
        <v>5237.46</v>
      </c>
      <c r="Q52" s="2"/>
      <c r="R52" s="6">
        <f t="shared" si="28"/>
        <v>0</v>
      </c>
      <c r="S52" s="2"/>
      <c r="T52" s="7"/>
      <c r="U52" s="2"/>
      <c r="V52" s="6">
        <f t="shared" si="29"/>
        <v>0</v>
      </c>
      <c r="W52" s="2"/>
      <c r="X52" s="7">
        <f t="shared" si="30"/>
        <v>5237.46</v>
      </c>
      <c r="Y52" s="2"/>
      <c r="Z52" s="6">
        <f t="shared" si="31"/>
        <v>0</v>
      </c>
    </row>
    <row r="53" spans="1:26" s="24" customFormat="1" hidden="1" outlineLevel="2" x14ac:dyDescent="0.25">
      <c r="A53" s="25"/>
      <c r="B53" s="11" t="str">
        <f>CONCATENATE("          ", "6247", " - ", "STORE SUPPLIES")</f>
        <v xml:space="preserve">          6247 - STORE SUPPLIES</v>
      </c>
      <c r="C53" s="11"/>
      <c r="D53" s="7"/>
      <c r="E53" s="2"/>
      <c r="F53" s="6">
        <f t="shared" si="24"/>
        <v>0</v>
      </c>
      <c r="G53" s="2"/>
      <c r="H53" s="7"/>
      <c r="I53" s="2"/>
      <c r="J53" s="6">
        <f t="shared" si="25"/>
        <v>0</v>
      </c>
      <c r="K53" s="2"/>
      <c r="L53" s="7">
        <f t="shared" si="26"/>
        <v>0</v>
      </c>
      <c r="M53" s="2"/>
      <c r="N53" s="6">
        <f t="shared" si="27"/>
        <v>0</v>
      </c>
      <c r="O53" s="11"/>
      <c r="P53" s="7"/>
      <c r="Q53" s="2"/>
      <c r="R53" s="6">
        <f t="shared" si="28"/>
        <v>0</v>
      </c>
      <c r="S53" s="2"/>
      <c r="T53" s="7">
        <v>5000</v>
      </c>
      <c r="U53" s="2"/>
      <c r="V53" s="6">
        <f t="shared" si="29"/>
        <v>0</v>
      </c>
      <c r="W53" s="2"/>
      <c r="X53" s="7">
        <f t="shared" si="30"/>
        <v>-5000</v>
      </c>
      <c r="Y53" s="2"/>
      <c r="Z53" s="6">
        <f t="shared" si="31"/>
        <v>-1</v>
      </c>
    </row>
    <row r="54" spans="1:26" s="27" customFormat="1" outlineLevel="1" collapsed="1" x14ac:dyDescent="0.25">
      <c r="A54" s="26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SUM(OSRRefD22_7x_0)</f>
        <v>98</v>
      </c>
      <c r="E54" s="1"/>
      <c r="F54" s="5">
        <f t="shared" ref="F54:F55" si="32">IF(D$12=0,0,D54/D$12)</f>
        <v>0</v>
      </c>
      <c r="G54" s="1"/>
      <c r="H54" s="1">
        <f>SUM(OSRRefH22_7x_0)</f>
        <v>25</v>
      </c>
      <c r="I54" s="1"/>
      <c r="J54" s="5">
        <f t="shared" ref="J54:J55" si="33">IF(H$12=0,0,H54/H$12)</f>
        <v>0</v>
      </c>
      <c r="K54" s="1"/>
      <c r="L54" s="1">
        <f t="shared" ref="L54:L55" si="34">+D54-H54</f>
        <v>73</v>
      </c>
      <c r="M54" s="1"/>
      <c r="N54" s="5">
        <f t="shared" ref="N54:N55" si="35">IF(H54=0,0,L54/H54)</f>
        <v>2.92</v>
      </c>
      <c r="O54" s="13"/>
      <c r="P54" s="1">
        <f>SUM(OSRRefP22_7x_0)</f>
        <v>607</v>
      </c>
      <c r="Q54" s="1"/>
      <c r="R54" s="5">
        <f t="shared" ref="R54:R55" si="36">IF(P$12=0,0,P54/P$12)</f>
        <v>0</v>
      </c>
      <c r="S54" s="1"/>
      <c r="T54" s="1">
        <f>SUM(OSRRefT22_7x_0)</f>
        <v>725</v>
      </c>
      <c r="U54" s="1"/>
      <c r="V54" s="5">
        <f t="shared" ref="V54:V55" si="37">IF(T$12=0,0,T54/T$12)</f>
        <v>0</v>
      </c>
      <c r="W54" s="1"/>
      <c r="X54" s="1">
        <f t="shared" ref="X54:X55" si="38">+P54-T54</f>
        <v>-118</v>
      </c>
      <c r="Y54" s="1"/>
      <c r="Z54" s="5">
        <f t="shared" ref="Z54:Z55" si="39">IF(T54=0,0,X54/T54)</f>
        <v>-0.16275862068965516</v>
      </c>
    </row>
    <row r="55" spans="1:26" s="24" customFormat="1" hidden="1" outlineLevel="2" x14ac:dyDescent="0.25">
      <c r="A55" s="25"/>
      <c r="B55" s="11" t="str">
        <f>CONCATENATE("          ", "6309", " - ", "TELEPHONE")</f>
        <v xml:space="preserve">          6309 - TELEPHONE</v>
      </c>
      <c r="C55" s="11"/>
      <c r="D55" s="7">
        <v>98</v>
      </c>
      <c r="E55" s="2"/>
      <c r="F55" s="6">
        <f t="shared" si="32"/>
        <v>0</v>
      </c>
      <c r="G55" s="2"/>
      <c r="H55" s="7">
        <v>25</v>
      </c>
      <c r="I55" s="2"/>
      <c r="J55" s="6">
        <f t="shared" si="33"/>
        <v>0</v>
      </c>
      <c r="K55" s="2"/>
      <c r="L55" s="7">
        <f t="shared" si="34"/>
        <v>73</v>
      </c>
      <c r="M55" s="2"/>
      <c r="N55" s="6">
        <f t="shared" si="35"/>
        <v>2.92</v>
      </c>
      <c r="O55" s="11"/>
      <c r="P55" s="7">
        <v>607</v>
      </c>
      <c r="Q55" s="2"/>
      <c r="R55" s="6">
        <f t="shared" si="36"/>
        <v>0</v>
      </c>
      <c r="S55" s="2"/>
      <c r="T55" s="7">
        <v>725</v>
      </c>
      <c r="U55" s="2"/>
      <c r="V55" s="6">
        <f t="shared" si="37"/>
        <v>0</v>
      </c>
      <c r="W55" s="2"/>
      <c r="X55" s="7">
        <f t="shared" si="38"/>
        <v>-118</v>
      </c>
      <c r="Y55" s="2"/>
      <c r="Z55" s="6">
        <f t="shared" si="39"/>
        <v>-0.16275862068965516</v>
      </c>
    </row>
    <row r="56" spans="1:26" s="56" customFormat="1" x14ac:dyDescent="0.25">
      <c r="A56" s="36"/>
      <c r="B56" s="36"/>
      <c r="C56" s="36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9" t="s">
        <v>293</v>
      </c>
      <c r="C57" s="10"/>
      <c r="D57" s="4">
        <f>SUM(0)</f>
        <v>0</v>
      </c>
      <c r="E57" s="4"/>
      <c r="F57" s="12">
        <f>IF(D$12=0,0,D57/D$12)</f>
        <v>0</v>
      </c>
      <c r="G57" s="4"/>
      <c r="H57" s="4">
        <f>SUM(0)</f>
        <v>0</v>
      </c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>
        <f>SUM(0)</f>
        <v>0</v>
      </c>
      <c r="Q57" s="4"/>
      <c r="R57" s="12">
        <f>IF(P$12=0,0,P57/P$12)</f>
        <v>0</v>
      </c>
      <c r="S57" s="4"/>
      <c r="T57" s="4">
        <f>SUM(0)</f>
        <v>0</v>
      </c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8" t="s">
        <v>277</v>
      </c>
      <c r="C59" s="28"/>
      <c r="D59" s="20">
        <f>+D16-D18+D57</f>
        <v>-12938.990000000002</v>
      </c>
      <c r="E59" s="14"/>
      <c r="F59" s="21">
        <f>IF(D$12=0,0,D59/D$12)</f>
        <v>0</v>
      </c>
      <c r="G59" s="14"/>
      <c r="H59" s="20">
        <f>+H16-H18+H57</f>
        <v>-7140.2521538461542</v>
      </c>
      <c r="I59" s="14"/>
      <c r="J59" s="21">
        <f>IF(H$12=0,0,H59/H$12)</f>
        <v>0</v>
      </c>
      <c r="K59" s="15"/>
      <c r="L59" s="20">
        <f>+D59-H59</f>
        <v>-5798.7378461538474</v>
      </c>
      <c r="M59" s="15"/>
      <c r="N59" s="21">
        <f>IF(H59=0,0,L59/H59)</f>
        <v>0.81211947718545352</v>
      </c>
      <c r="O59" s="29"/>
      <c r="P59" s="20">
        <f>+P16-P18+P57</f>
        <v>-91512.839999999982</v>
      </c>
      <c r="Q59" s="14"/>
      <c r="R59" s="21">
        <f>IF(P$12=0,0,P59/P$12)</f>
        <v>0</v>
      </c>
      <c r="S59" s="14"/>
      <c r="T59" s="20">
        <f>+T16-T18+T57</f>
        <v>-93806.025846153847</v>
      </c>
      <c r="U59" s="14"/>
      <c r="V59" s="21">
        <f>IF(T$12=0,0,T59/T$12)</f>
        <v>0</v>
      </c>
      <c r="W59" s="15"/>
      <c r="X59" s="20">
        <f>+P59-T59</f>
        <v>2293.185846153865</v>
      </c>
      <c r="Y59" s="15"/>
      <c r="Z59" s="21">
        <f>IF(T59=0,0,X59/T59)</f>
        <v>-2.4446039851584739E-2</v>
      </c>
    </row>
    <row r="60" spans="1:26" x14ac:dyDescent="0.25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52"/>
      <c r="B61" s="10" t="s">
        <v>128</v>
      </c>
      <c r="C61" s="10"/>
      <c r="D61" s="4"/>
      <c r="E61" s="4"/>
      <c r="F61" s="12">
        <f>IF(D$12=0,0,D61/D$12)</f>
        <v>0</v>
      </c>
      <c r="G61" s="4"/>
      <c r="H61" s="4"/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/>
      <c r="Q61" s="4"/>
      <c r="R61" s="12">
        <f>IF(P$12=0,0,P61/P$12)</f>
        <v>0</v>
      </c>
      <c r="S61" s="4"/>
      <c r="T61" s="4"/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8" t="s">
        <v>126</v>
      </c>
      <c r="C63" s="28"/>
      <c r="D63" s="35">
        <f>+D59-D61</f>
        <v>-12938.990000000002</v>
      </c>
      <c r="E63" s="14"/>
      <c r="F63" s="34">
        <f>IF(D$12=0,0,D63/D$12)</f>
        <v>0</v>
      </c>
      <c r="G63" s="14"/>
      <c r="H63" s="35">
        <f>+H59-H61</f>
        <v>-7140.2521538461542</v>
      </c>
      <c r="I63" s="14"/>
      <c r="J63" s="34">
        <f>IF(H$12=0,0,H63/H$12)</f>
        <v>0</v>
      </c>
      <c r="K63" s="15"/>
      <c r="L63" s="35">
        <f>D63-H63</f>
        <v>-5798.7378461538474</v>
      </c>
      <c r="M63" s="15"/>
      <c r="N63" s="34">
        <f>IF(H63=0,0,L63/H63)</f>
        <v>0.81211947718545352</v>
      </c>
      <c r="O63" s="29"/>
      <c r="P63" s="35">
        <f>+P59-P61</f>
        <v>-91512.839999999982</v>
      </c>
      <c r="Q63" s="14"/>
      <c r="R63" s="34">
        <f>IF(P$12=0,0,P63/P$12)</f>
        <v>0</v>
      </c>
      <c r="S63" s="14"/>
      <c r="T63" s="35">
        <f>+T59-T61</f>
        <v>-93806.025846153847</v>
      </c>
      <c r="U63" s="14"/>
      <c r="V63" s="34">
        <f>IF(T$12=0,0,T63/T$12)</f>
        <v>0</v>
      </c>
      <c r="W63" s="15"/>
      <c r="X63" s="35">
        <f>P63-T63</f>
        <v>2293.185846153865</v>
      </c>
      <c r="Y63" s="15"/>
      <c r="Z63" s="34">
        <f>IF(T63=0,0,X63/T63)</f>
        <v>-2.4446039851584739E-2</v>
      </c>
    </row>
    <row r="64" spans="1:26" ht="15.75" thickTop="1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8" t="s">
        <v>294</v>
      </c>
      <c r="C66" s="28"/>
      <c r="D66" s="33">
        <f>SUM(D63:D65)</f>
        <v>-12938.990000000002</v>
      </c>
      <c r="E66" s="14"/>
      <c r="F66" s="32">
        <f>IF(D$12=0,0,D66/D$12)</f>
        <v>0</v>
      </c>
      <c r="G66" s="14"/>
      <c r="H66" s="33">
        <f>SUM(H63:H65)</f>
        <v>-7140.2521538461542</v>
      </c>
      <c r="I66" s="14"/>
      <c r="J66" s="32">
        <f>IF(H$12=0,0,H66/H$12)</f>
        <v>0</v>
      </c>
      <c r="K66" s="15"/>
      <c r="L66" s="33">
        <f>+D66-H66</f>
        <v>-5798.7378461538474</v>
      </c>
      <c r="M66" s="15"/>
      <c r="N66" s="32">
        <f>IF(H66=0,0,L66/H66)</f>
        <v>0.81211947718545352</v>
      </c>
      <c r="O66" s="29"/>
      <c r="P66" s="33">
        <f>SUM(P63:P65)</f>
        <v>-91512.839999999982</v>
      </c>
      <c r="Q66" s="14"/>
      <c r="R66" s="32">
        <f>IF(P$12=0,0,P66/P$12)</f>
        <v>0</v>
      </c>
      <c r="S66" s="14"/>
      <c r="T66" s="33">
        <f>SUM(T63:T65)</f>
        <v>-93806.025846153847</v>
      </c>
      <c r="U66" s="14"/>
      <c r="V66" s="32">
        <f>IF(T$12=0,0,T66/T$12)</f>
        <v>0</v>
      </c>
      <c r="W66" s="15"/>
      <c r="X66" s="33">
        <f>+P66-T66</f>
        <v>2293.185846153865</v>
      </c>
      <c r="Y66" s="15"/>
      <c r="Z66" s="32">
        <f>IF(T66=0,0,X66/T66)</f>
        <v>-2.4446039851584739E-2</v>
      </c>
    </row>
    <row r="67" spans="1:26" ht="15.75" thickTop="1" x14ac:dyDescent="0.25">
      <c r="A67" s="9"/>
      <c r="C67" s="9"/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60">
        <v>44356.891834571761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5" t="s">
        <v>56</v>
      </c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63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","206", " - ", "Communications")</f>
        <v>Department 206 - Communications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8033.21</v>
      </c>
      <c r="E18" s="22"/>
      <c r="F18" s="31">
        <f t="shared" ref="F18:F28" si="0">IF(D$12=0,0,D18/D$12)</f>
        <v>0</v>
      </c>
      <c r="G18" s="22"/>
      <c r="H18" s="22">
        <f>SUM(OSRRefH22x_0)</f>
        <v>17212.426153846154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-9179.2161538461551</v>
      </c>
      <c r="M18" s="4"/>
      <c r="N18" s="31">
        <f t="shared" ref="N18:N28" si="3">IF(H18=0,0,L18/H18)</f>
        <v>-0.53329008193275762</v>
      </c>
      <c r="O18" s="10"/>
      <c r="P18" s="22">
        <f>SUM(OSRRefP22x_0)</f>
        <v>95898.010000000009</v>
      </c>
      <c r="Q18" s="22"/>
      <c r="R18" s="31">
        <f t="shared" ref="R18:R28" si="4">IF(P$12=0,0,P18/P$12)</f>
        <v>0</v>
      </c>
      <c r="S18" s="22"/>
      <c r="T18" s="22">
        <f>SUM(OSRRefT22x_0)</f>
        <v>202934.54884615383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-107036.53884615382</v>
      </c>
      <c r="Y18" s="4"/>
      <c r="Z18" s="31">
        <f t="shared" ref="Z18:Z28" si="7">IF(T18=0,0,X18/T18)</f>
        <v>-0.52744364848047143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1969.94</v>
      </c>
      <c r="E19" s="1"/>
      <c r="F19" s="5">
        <f t="shared" si="0"/>
        <v>0</v>
      </c>
      <c r="G19" s="1"/>
      <c r="H19" s="1">
        <f>SUM(OSRRefH22_0x_0)</f>
        <v>1703.426153846154</v>
      </c>
      <c r="I19" s="1"/>
      <c r="J19" s="5">
        <f t="shared" si="1"/>
        <v>0</v>
      </c>
      <c r="K19" s="1"/>
      <c r="L19" s="1">
        <f t="shared" si="2"/>
        <v>266.51384615384609</v>
      </c>
      <c r="M19" s="1"/>
      <c r="N19" s="5">
        <f t="shared" si="3"/>
        <v>0.15645752858266637</v>
      </c>
      <c r="O19" s="13"/>
      <c r="P19" s="1">
        <f>SUM(OSRRefP22_0x_0)</f>
        <v>20092.810000000001</v>
      </c>
      <c r="Q19" s="1"/>
      <c r="R19" s="5">
        <f t="shared" si="4"/>
        <v>0</v>
      </c>
      <c r="S19" s="1"/>
      <c r="T19" s="1">
        <f>SUM(OSRRefT22_0x_0)</f>
        <v>19462.548846153852</v>
      </c>
      <c r="U19" s="1"/>
      <c r="V19" s="5">
        <f t="shared" si="5"/>
        <v>0</v>
      </c>
      <c r="W19" s="1"/>
      <c r="X19" s="1">
        <f t="shared" si="6"/>
        <v>630.26115384614968</v>
      </c>
      <c r="Y19" s="1"/>
      <c r="Z19" s="5">
        <f t="shared" si="7"/>
        <v>3.23832792317282E-2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347.4</v>
      </c>
      <c r="E20" s="2"/>
      <c r="F20" s="6">
        <f t="shared" si="0"/>
        <v>0</v>
      </c>
      <c r="G20" s="2"/>
      <c r="H20" s="7">
        <v>459.18</v>
      </c>
      <c r="I20" s="2"/>
      <c r="J20" s="6">
        <f t="shared" si="1"/>
        <v>0</v>
      </c>
      <c r="K20" s="2"/>
      <c r="L20" s="7">
        <f t="shared" si="2"/>
        <v>-111.78000000000003</v>
      </c>
      <c r="M20" s="2"/>
      <c r="N20" s="6">
        <f t="shared" si="3"/>
        <v>-0.24343394747157984</v>
      </c>
      <c r="O20" s="11"/>
      <c r="P20" s="7">
        <v>4444.2700000000004</v>
      </c>
      <c r="Q20" s="2"/>
      <c r="R20" s="6">
        <f t="shared" si="4"/>
        <v>0</v>
      </c>
      <c r="S20" s="2"/>
      <c r="T20" s="7">
        <v>4706.5950000000003</v>
      </c>
      <c r="U20" s="2"/>
      <c r="V20" s="6">
        <f t="shared" si="5"/>
        <v>0</v>
      </c>
      <c r="W20" s="2"/>
      <c r="X20" s="7">
        <f t="shared" si="6"/>
        <v>-262.32499999999982</v>
      </c>
      <c r="Y20" s="2"/>
      <c r="Z20" s="6">
        <f t="shared" si="7"/>
        <v>-5.5735622036737771E-2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28.67</v>
      </c>
      <c r="E21" s="2"/>
      <c r="F21" s="6">
        <f t="shared" si="0"/>
        <v>0</v>
      </c>
      <c r="G21" s="2"/>
      <c r="H21" s="7">
        <v>19.8</v>
      </c>
      <c r="I21" s="2"/>
      <c r="J21" s="6">
        <f t="shared" si="1"/>
        <v>0</v>
      </c>
      <c r="K21" s="2"/>
      <c r="L21" s="7">
        <f t="shared" si="2"/>
        <v>8.870000000000001</v>
      </c>
      <c r="M21" s="2"/>
      <c r="N21" s="6">
        <f t="shared" si="3"/>
        <v>0.44797979797979803</v>
      </c>
      <c r="O21" s="11"/>
      <c r="P21" s="7">
        <v>235.66</v>
      </c>
      <c r="Q21" s="2"/>
      <c r="R21" s="6">
        <f t="shared" si="4"/>
        <v>0</v>
      </c>
      <c r="S21" s="2"/>
      <c r="T21" s="7">
        <v>237.6</v>
      </c>
      <c r="U21" s="2"/>
      <c r="V21" s="6">
        <f t="shared" si="5"/>
        <v>0</v>
      </c>
      <c r="W21" s="2"/>
      <c r="X21" s="7">
        <f t="shared" si="6"/>
        <v>-1.9399999999999977</v>
      </c>
      <c r="Y21" s="2"/>
      <c r="Z21" s="6">
        <f t="shared" si="7"/>
        <v>-8.1649831649831563E-3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704.62</v>
      </c>
      <c r="E22" s="2"/>
      <c r="F22" s="6">
        <f t="shared" si="0"/>
        <v>0</v>
      </c>
      <c r="G22" s="2"/>
      <c r="H22" s="7">
        <v>613.84615384615404</v>
      </c>
      <c r="I22" s="2"/>
      <c r="J22" s="6">
        <f t="shared" si="1"/>
        <v>0</v>
      </c>
      <c r="K22" s="2"/>
      <c r="L22" s="7">
        <f t="shared" si="2"/>
        <v>90.773846153845966</v>
      </c>
      <c r="M22" s="2"/>
      <c r="N22" s="6">
        <f t="shared" si="3"/>
        <v>0.1478771929824558</v>
      </c>
      <c r="O22" s="11"/>
      <c r="P22" s="7">
        <v>7728.32</v>
      </c>
      <c r="Q22" s="2"/>
      <c r="R22" s="6">
        <f t="shared" si="4"/>
        <v>0</v>
      </c>
      <c r="S22" s="2"/>
      <c r="T22" s="7">
        <v>7366.1538461538503</v>
      </c>
      <c r="U22" s="2"/>
      <c r="V22" s="6">
        <f t="shared" si="5"/>
        <v>0</v>
      </c>
      <c r="W22" s="2"/>
      <c r="X22" s="7">
        <f t="shared" si="6"/>
        <v>362.16615384614943</v>
      </c>
      <c r="Y22" s="2"/>
      <c r="Z22" s="6">
        <f t="shared" si="7"/>
        <v>4.9166248955722011E-2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22.59</v>
      </c>
      <c r="E23" s="2"/>
      <c r="F23" s="6">
        <f t="shared" si="0"/>
        <v>0</v>
      </c>
      <c r="G23" s="2"/>
      <c r="H23" s="7">
        <v>15.6</v>
      </c>
      <c r="I23" s="2"/>
      <c r="J23" s="6">
        <f t="shared" si="1"/>
        <v>0</v>
      </c>
      <c r="K23" s="2"/>
      <c r="L23" s="7">
        <f t="shared" si="2"/>
        <v>6.99</v>
      </c>
      <c r="M23" s="2"/>
      <c r="N23" s="6">
        <f t="shared" si="3"/>
        <v>0.44807692307692309</v>
      </c>
      <c r="O23" s="11"/>
      <c r="P23" s="7">
        <v>185.68</v>
      </c>
      <c r="Q23" s="2"/>
      <c r="R23" s="6">
        <f t="shared" si="4"/>
        <v>0</v>
      </c>
      <c r="S23" s="2"/>
      <c r="T23" s="7">
        <v>187.2</v>
      </c>
      <c r="U23" s="2"/>
      <c r="V23" s="6">
        <f t="shared" si="5"/>
        <v>0</v>
      </c>
      <c r="W23" s="2"/>
      <c r="X23" s="7">
        <f t="shared" si="6"/>
        <v>-1.5199999999999818</v>
      </c>
      <c r="Y23" s="2"/>
      <c r="Z23" s="6">
        <f t="shared" si="7"/>
        <v>-8.1196581196580232E-3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368.66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368.66</v>
      </c>
      <c r="M24" s="2"/>
      <c r="N24" s="6">
        <f t="shared" si="3"/>
        <v>0</v>
      </c>
      <c r="O24" s="11"/>
      <c r="P24" s="7">
        <v>1916.48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1916.48</v>
      </c>
      <c r="Y24" s="2"/>
      <c r="Z24" s="6">
        <f t="shared" si="7"/>
        <v>0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276.60000000000002</v>
      </c>
      <c r="E26" s="2"/>
      <c r="F26" s="6">
        <f t="shared" si="0"/>
        <v>0</v>
      </c>
      <c r="G26" s="2"/>
      <c r="H26" s="7">
        <v>240</v>
      </c>
      <c r="I26" s="2"/>
      <c r="J26" s="6">
        <f t="shared" si="1"/>
        <v>0</v>
      </c>
      <c r="K26" s="2"/>
      <c r="L26" s="7">
        <f t="shared" si="2"/>
        <v>36.600000000000023</v>
      </c>
      <c r="M26" s="2"/>
      <c r="N26" s="6">
        <f t="shared" si="3"/>
        <v>0.15250000000000011</v>
      </c>
      <c r="O26" s="11"/>
      <c r="P26" s="7">
        <v>2814.9</v>
      </c>
      <c r="Q26" s="2"/>
      <c r="R26" s="6">
        <f t="shared" si="4"/>
        <v>0</v>
      </c>
      <c r="S26" s="2"/>
      <c r="T26" s="7">
        <v>2880</v>
      </c>
      <c r="U26" s="2"/>
      <c r="V26" s="6">
        <f t="shared" si="5"/>
        <v>0</v>
      </c>
      <c r="W26" s="2"/>
      <c r="X26" s="7">
        <f t="shared" si="6"/>
        <v>-65.099999999999909</v>
      </c>
      <c r="Y26" s="2"/>
      <c r="Z26" s="6">
        <f t="shared" si="7"/>
        <v>-2.2604166666666634E-2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221.4</v>
      </c>
      <c r="E27" s="2"/>
      <c r="F27" s="6">
        <f t="shared" si="0"/>
        <v>0</v>
      </c>
      <c r="G27" s="2"/>
      <c r="H27" s="7">
        <v>180</v>
      </c>
      <c r="I27" s="2"/>
      <c r="J27" s="6">
        <f t="shared" si="1"/>
        <v>0</v>
      </c>
      <c r="K27" s="2"/>
      <c r="L27" s="7">
        <f t="shared" si="2"/>
        <v>41.400000000000006</v>
      </c>
      <c r="M27" s="2"/>
      <c r="N27" s="6">
        <f t="shared" si="3"/>
        <v>0.23000000000000004</v>
      </c>
      <c r="O27" s="11"/>
      <c r="P27" s="7">
        <v>2767.5</v>
      </c>
      <c r="Q27" s="2"/>
      <c r="R27" s="6">
        <f t="shared" si="4"/>
        <v>0</v>
      </c>
      <c r="S27" s="2"/>
      <c r="T27" s="7">
        <v>2160</v>
      </c>
      <c r="U27" s="2"/>
      <c r="V27" s="6">
        <f t="shared" si="5"/>
        <v>0</v>
      </c>
      <c r="W27" s="2"/>
      <c r="X27" s="7">
        <f t="shared" si="6"/>
        <v>607.5</v>
      </c>
      <c r="Y27" s="2"/>
      <c r="Z27" s="6">
        <f t="shared" si="7"/>
        <v>0.28125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>
        <v>175</v>
      </c>
      <c r="I28" s="2"/>
      <c r="J28" s="6">
        <f t="shared" si="1"/>
        <v>0</v>
      </c>
      <c r="K28" s="2"/>
      <c r="L28" s="7">
        <f t="shared" si="2"/>
        <v>-175</v>
      </c>
      <c r="M28" s="2"/>
      <c r="N28" s="6">
        <f t="shared" si="3"/>
        <v>-1</v>
      </c>
      <c r="O28" s="11"/>
      <c r="P28" s="7"/>
      <c r="Q28" s="2"/>
      <c r="R28" s="6">
        <f t="shared" si="4"/>
        <v>0</v>
      </c>
      <c r="S28" s="2"/>
      <c r="T28" s="7">
        <v>1925</v>
      </c>
      <c r="U28" s="2"/>
      <c r="V28" s="6">
        <f t="shared" si="5"/>
        <v>0</v>
      </c>
      <c r="W28" s="2"/>
      <c r="X28" s="7">
        <f t="shared" si="6"/>
        <v>-1925</v>
      </c>
      <c r="Y28" s="2"/>
      <c r="Z28" s="6">
        <f t="shared" si="7"/>
        <v>-1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5854.0599999999995</v>
      </c>
      <c r="E29" s="1"/>
      <c r="F29" s="5">
        <f t="shared" ref="F29:F39" si="8">IF(D$12=0,0,D29/D$12)</f>
        <v>0</v>
      </c>
      <c r="G29" s="1"/>
      <c r="H29" s="1">
        <f>SUM(OSRRefH22_1x_0)</f>
        <v>5676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178.05999999999949</v>
      </c>
      <c r="M29" s="1"/>
      <c r="N29" s="5">
        <f t="shared" ref="N29:N39" si="11">IF(H29=0,0,L29/H29)</f>
        <v>3.1370683579985813E-2</v>
      </c>
      <c r="O29" s="13"/>
      <c r="P29" s="1">
        <f>SUM(OSRRefP22_1x_0)</f>
        <v>71814.009999999995</v>
      </c>
      <c r="Q29" s="1"/>
      <c r="R29" s="5">
        <f t="shared" ref="R29:R39" si="12">IF(P$12=0,0,P29/P$12)</f>
        <v>0</v>
      </c>
      <c r="S29" s="1"/>
      <c r="T29" s="1">
        <f>SUM(OSRRefT22_1x_0)</f>
        <v>68112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3702.0099999999948</v>
      </c>
      <c r="Y29" s="1"/>
      <c r="Z29" s="5">
        <f t="shared" ref="Z29:Z39" si="15">IF(T29=0,0,X29/T29)</f>
        <v>5.4351802912849349E-2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>
        <v>4560</v>
      </c>
      <c r="E33" s="2"/>
      <c r="F33" s="6">
        <f t="shared" si="8"/>
        <v>0</v>
      </c>
      <c r="G33" s="2"/>
      <c r="H33" s="7">
        <v>4512</v>
      </c>
      <c r="I33" s="2"/>
      <c r="J33" s="6">
        <f t="shared" si="9"/>
        <v>0</v>
      </c>
      <c r="K33" s="2"/>
      <c r="L33" s="7">
        <f t="shared" si="10"/>
        <v>48</v>
      </c>
      <c r="M33" s="2"/>
      <c r="N33" s="6">
        <f t="shared" si="11"/>
        <v>1.0638297872340425E-2</v>
      </c>
      <c r="O33" s="11"/>
      <c r="P33" s="7">
        <v>57050.1</v>
      </c>
      <c r="Q33" s="2"/>
      <c r="R33" s="6">
        <f t="shared" si="12"/>
        <v>0</v>
      </c>
      <c r="S33" s="2"/>
      <c r="T33" s="7">
        <v>54144</v>
      </c>
      <c r="U33" s="2"/>
      <c r="V33" s="6">
        <f t="shared" si="13"/>
        <v>0</v>
      </c>
      <c r="W33" s="2"/>
      <c r="X33" s="7">
        <f t="shared" si="14"/>
        <v>2906.0999999999985</v>
      </c>
      <c r="Y33" s="2"/>
      <c r="Z33" s="6">
        <f t="shared" si="15"/>
        <v>5.3673537234042529E-2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1164</v>
      </c>
      <c r="I36" s="2"/>
      <c r="J36" s="6">
        <f t="shared" si="9"/>
        <v>0</v>
      </c>
      <c r="K36" s="2"/>
      <c r="L36" s="7">
        <f t="shared" si="10"/>
        <v>-1164</v>
      </c>
      <c r="M36" s="2"/>
      <c r="N36" s="6">
        <f t="shared" si="11"/>
        <v>-1</v>
      </c>
      <c r="O36" s="11"/>
      <c r="P36" s="7">
        <v>0</v>
      </c>
      <c r="Q36" s="2"/>
      <c r="R36" s="6">
        <f t="shared" si="12"/>
        <v>0</v>
      </c>
      <c r="S36" s="2"/>
      <c r="T36" s="7">
        <v>3783</v>
      </c>
      <c r="U36" s="2"/>
      <c r="V36" s="6">
        <f t="shared" si="13"/>
        <v>0</v>
      </c>
      <c r="W36" s="2"/>
      <c r="X36" s="7">
        <f t="shared" si="14"/>
        <v>-3783</v>
      </c>
      <c r="Y36" s="2"/>
      <c r="Z36" s="6">
        <f t="shared" si="15"/>
        <v>-1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>
        <v>1294.06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1294.06</v>
      </c>
      <c r="M37" s="2"/>
      <c r="N37" s="6">
        <f t="shared" si="11"/>
        <v>0</v>
      </c>
      <c r="O37" s="11"/>
      <c r="P37" s="7">
        <v>14763.91</v>
      </c>
      <c r="Q37" s="2"/>
      <c r="R37" s="6">
        <f t="shared" si="12"/>
        <v>0</v>
      </c>
      <c r="S37" s="2"/>
      <c r="T37" s="7">
        <v>10185</v>
      </c>
      <c r="U37" s="2"/>
      <c r="V37" s="6">
        <f t="shared" si="13"/>
        <v>0</v>
      </c>
      <c r="W37" s="2"/>
      <c r="X37" s="7">
        <f t="shared" si="14"/>
        <v>4578.91</v>
      </c>
      <c r="Y37" s="2"/>
      <c r="Z37" s="6">
        <f t="shared" si="15"/>
        <v>0.44957388316151203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173.21</v>
      </c>
      <c r="E40" s="1"/>
      <c r="F40" s="5">
        <f t="shared" ref="F40:F54" si="16">IF(D$12=0,0,D40/D$12)</f>
        <v>0</v>
      </c>
      <c r="G40" s="1"/>
      <c r="H40" s="1">
        <f>SUM(OSRRefH22_2x_0)</f>
        <v>8333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-8159.79</v>
      </c>
      <c r="M40" s="1"/>
      <c r="N40" s="5">
        <f t="shared" ref="N40:N54" si="19">IF(H40=0,0,L40/H40)</f>
        <v>-0.97921396855874232</v>
      </c>
      <c r="O40" s="13"/>
      <c r="P40" s="1">
        <f>SUM(OSRRefP22_2x_0)</f>
        <v>1732.1</v>
      </c>
      <c r="Q40" s="1"/>
      <c r="R40" s="5">
        <f t="shared" ref="R40:R54" si="20">IF(P$12=0,0,P40/P$12)</f>
        <v>0</v>
      </c>
      <c r="S40" s="1"/>
      <c r="T40" s="1">
        <f>SUM(OSRRefT22_2x_0)</f>
        <v>91663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-89930.9</v>
      </c>
      <c r="Y40" s="1"/>
      <c r="Z40" s="5">
        <f t="shared" ref="Z40:Z54" si="23">IF(T40=0,0,X40/T40)</f>
        <v>-0.98110360778067485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7">
        <v>173.21</v>
      </c>
      <c r="E41" s="2"/>
      <c r="F41" s="6">
        <f t="shared" si="16"/>
        <v>0</v>
      </c>
      <c r="G41" s="2"/>
      <c r="H41" s="7">
        <v>8333</v>
      </c>
      <c r="I41" s="2"/>
      <c r="J41" s="6">
        <f t="shared" si="17"/>
        <v>0</v>
      </c>
      <c r="K41" s="2"/>
      <c r="L41" s="7">
        <f t="shared" si="18"/>
        <v>-8159.79</v>
      </c>
      <c r="M41" s="2"/>
      <c r="N41" s="6">
        <f t="shared" si="19"/>
        <v>-0.97921396855874232</v>
      </c>
      <c r="O41" s="11"/>
      <c r="P41" s="7">
        <v>1732.1</v>
      </c>
      <c r="Q41" s="2"/>
      <c r="R41" s="6">
        <f t="shared" si="20"/>
        <v>0</v>
      </c>
      <c r="S41" s="2"/>
      <c r="T41" s="7">
        <v>91663</v>
      </c>
      <c r="U41" s="2"/>
      <c r="V41" s="6">
        <f t="shared" si="21"/>
        <v>0</v>
      </c>
      <c r="W41" s="2"/>
      <c r="X41" s="7">
        <f t="shared" si="22"/>
        <v>-89930.9</v>
      </c>
      <c r="Y41" s="2"/>
      <c r="Z41" s="6">
        <f t="shared" si="23"/>
        <v>-0.98110360778067485</v>
      </c>
    </row>
    <row r="42" spans="1:26" s="27" customFormat="1" outlineLevel="1" collapsed="1" x14ac:dyDescent="0.25">
      <c r="A42" s="26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SUM(OSRRefP22_3x_0)</f>
        <v>1898.94</v>
      </c>
      <c r="Q42" s="1"/>
      <c r="R42" s="5">
        <f t="shared" si="20"/>
        <v>0</v>
      </c>
      <c r="S42" s="1"/>
      <c r="T42" s="1">
        <f>SUM(OSRRefT22_3x_0)</f>
        <v>1897</v>
      </c>
      <c r="U42" s="1"/>
      <c r="V42" s="5">
        <f t="shared" si="21"/>
        <v>0</v>
      </c>
      <c r="W42" s="1"/>
      <c r="X42" s="1">
        <f t="shared" si="22"/>
        <v>1.9400000000000546</v>
      </c>
      <c r="Y42" s="1"/>
      <c r="Z42" s="5">
        <f t="shared" si="23"/>
        <v>1.022667369530867E-3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7"/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>
        <v>1898.94</v>
      </c>
      <c r="Q43" s="2"/>
      <c r="R43" s="6">
        <f t="shared" si="20"/>
        <v>0</v>
      </c>
      <c r="S43" s="2"/>
      <c r="T43" s="7">
        <v>1897</v>
      </c>
      <c r="U43" s="2"/>
      <c r="V43" s="6">
        <f t="shared" si="21"/>
        <v>0</v>
      </c>
      <c r="W43" s="2"/>
      <c r="X43" s="7">
        <f t="shared" si="22"/>
        <v>1.9400000000000546</v>
      </c>
      <c r="Y43" s="2"/>
      <c r="Z43" s="6">
        <f t="shared" si="23"/>
        <v>1.022667369530867E-3</v>
      </c>
    </row>
    <row r="44" spans="1:26" s="27" customFormat="1" outlineLevel="1" collapsed="1" x14ac:dyDescent="0.25">
      <c r="A44" s="26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500</v>
      </c>
      <c r="U44" s="1"/>
      <c r="V44" s="5">
        <f t="shared" si="21"/>
        <v>0</v>
      </c>
      <c r="W44" s="1"/>
      <c r="X44" s="1">
        <f t="shared" si="22"/>
        <v>-500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500</v>
      </c>
      <c r="U45" s="2"/>
      <c r="V45" s="6">
        <f t="shared" si="21"/>
        <v>0</v>
      </c>
      <c r="W45" s="2"/>
      <c r="X45" s="7">
        <f t="shared" si="22"/>
        <v>-500</v>
      </c>
      <c r="Y45" s="2"/>
      <c r="Z45" s="6">
        <f t="shared" si="23"/>
        <v>-1</v>
      </c>
    </row>
    <row r="46" spans="1:26" s="27" customFormat="1" outlineLevel="1" collapsed="1" x14ac:dyDescent="0.25">
      <c r="A46" s="26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667</v>
      </c>
      <c r="I46" s="1"/>
      <c r="J46" s="5">
        <f t="shared" si="17"/>
        <v>0</v>
      </c>
      <c r="K46" s="1"/>
      <c r="L46" s="1">
        <f t="shared" si="18"/>
        <v>-667</v>
      </c>
      <c r="M46" s="1"/>
      <c r="N46" s="5">
        <f t="shared" si="19"/>
        <v>-1</v>
      </c>
      <c r="O46" s="13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7337</v>
      </c>
      <c r="U46" s="1"/>
      <c r="V46" s="5">
        <f t="shared" si="21"/>
        <v>0</v>
      </c>
      <c r="W46" s="1"/>
      <c r="X46" s="1">
        <f t="shared" si="22"/>
        <v>-7337</v>
      </c>
      <c r="Y46" s="1"/>
      <c r="Z46" s="5">
        <f t="shared" si="23"/>
        <v>-1</v>
      </c>
    </row>
    <row r="47" spans="1:26" s="24" customFormat="1" hidden="1" outlineLevel="2" x14ac:dyDescent="0.25">
      <c r="A47" s="25"/>
      <c r="B47" s="11" t="str">
        <f>CONCATENATE("          ", "6371", " - ", "COMPUTER SOFTWARE MAINTENANCE")</f>
        <v xml:space="preserve">          6371 - COMPUTER SOFTWARE MAINTENANCE</v>
      </c>
      <c r="C47" s="11"/>
      <c r="D47" s="7"/>
      <c r="E47" s="2"/>
      <c r="F47" s="6">
        <f t="shared" si="16"/>
        <v>0</v>
      </c>
      <c r="G47" s="2"/>
      <c r="H47" s="7">
        <v>667</v>
      </c>
      <c r="I47" s="2"/>
      <c r="J47" s="6">
        <f t="shared" si="17"/>
        <v>0</v>
      </c>
      <c r="K47" s="2"/>
      <c r="L47" s="7">
        <f t="shared" si="18"/>
        <v>-667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7337</v>
      </c>
      <c r="U47" s="2"/>
      <c r="V47" s="6">
        <f t="shared" si="21"/>
        <v>0</v>
      </c>
      <c r="W47" s="2"/>
      <c r="X47" s="7">
        <f t="shared" si="22"/>
        <v>-7337</v>
      </c>
      <c r="Y47" s="2"/>
      <c r="Z47" s="6">
        <f t="shared" si="23"/>
        <v>-1</v>
      </c>
    </row>
    <row r="48" spans="1:26" s="27" customFormat="1" outlineLevel="1" collapsed="1" x14ac:dyDescent="0.25">
      <c r="A48" s="26"/>
      <c r="B48" s="13" t="str">
        <f>CONCATENATE("     ","Subscriptions &amp; Dues                              ")</f>
        <v xml:space="preserve">     Subscriptions &amp; Dues  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600</v>
      </c>
      <c r="U48" s="1"/>
      <c r="V48" s="5">
        <f t="shared" si="21"/>
        <v>0</v>
      </c>
      <c r="W48" s="1"/>
      <c r="X48" s="1">
        <f t="shared" si="22"/>
        <v>-600</v>
      </c>
      <c r="Y48" s="1"/>
      <c r="Z48" s="5">
        <f t="shared" si="23"/>
        <v>-1</v>
      </c>
    </row>
    <row r="49" spans="1:26" s="24" customFormat="1" hidden="1" outlineLevel="2" x14ac:dyDescent="0.25">
      <c r="A49" s="25"/>
      <c r="B49" s="11" t="str">
        <f>CONCATENATE("          ", "6258", " - ", "MEMBERSHIP DUES")</f>
        <v xml:space="preserve">          6258 - MEMBERSHIP DUES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/>
      <c r="Q49" s="2"/>
      <c r="R49" s="6">
        <f t="shared" si="20"/>
        <v>0</v>
      </c>
      <c r="S49" s="2"/>
      <c r="T49" s="7">
        <v>600</v>
      </c>
      <c r="U49" s="2"/>
      <c r="V49" s="6">
        <f t="shared" si="21"/>
        <v>0</v>
      </c>
      <c r="W49" s="2"/>
      <c r="X49" s="7">
        <f t="shared" si="22"/>
        <v>-600</v>
      </c>
      <c r="Y49" s="2"/>
      <c r="Z49" s="6">
        <f t="shared" si="23"/>
        <v>-1</v>
      </c>
    </row>
    <row r="50" spans="1:26" s="27" customFormat="1" outlineLevel="1" collapsed="1" x14ac:dyDescent="0.25">
      <c r="A50" s="26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833</v>
      </c>
      <c r="I50" s="1"/>
      <c r="J50" s="5">
        <f t="shared" si="17"/>
        <v>0</v>
      </c>
      <c r="K50" s="1"/>
      <c r="L50" s="1">
        <f t="shared" si="18"/>
        <v>-833</v>
      </c>
      <c r="M50" s="1"/>
      <c r="N50" s="5">
        <f t="shared" si="19"/>
        <v>-1</v>
      </c>
      <c r="O50" s="13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9163</v>
      </c>
      <c r="U50" s="1"/>
      <c r="V50" s="5">
        <f t="shared" si="21"/>
        <v>0</v>
      </c>
      <c r="W50" s="1"/>
      <c r="X50" s="1">
        <f t="shared" si="22"/>
        <v>-9163</v>
      </c>
      <c r="Y50" s="1"/>
      <c r="Z50" s="5">
        <f t="shared" si="23"/>
        <v>-1</v>
      </c>
    </row>
    <row r="51" spans="1:26" s="24" customFormat="1" hidden="1" outlineLevel="2" x14ac:dyDescent="0.25">
      <c r="A51" s="25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16"/>
        <v>0</v>
      </c>
      <c r="G51" s="2"/>
      <c r="H51" s="7">
        <v>833</v>
      </c>
      <c r="I51" s="2"/>
      <c r="J51" s="6">
        <f t="shared" si="17"/>
        <v>0</v>
      </c>
      <c r="K51" s="2"/>
      <c r="L51" s="7">
        <f t="shared" si="18"/>
        <v>-833</v>
      </c>
      <c r="M51" s="2"/>
      <c r="N51" s="6">
        <f t="shared" si="19"/>
        <v>-1</v>
      </c>
      <c r="O51" s="11"/>
      <c r="P51" s="7"/>
      <c r="Q51" s="2"/>
      <c r="R51" s="6">
        <f t="shared" si="20"/>
        <v>0</v>
      </c>
      <c r="S51" s="2"/>
      <c r="T51" s="7">
        <v>9163</v>
      </c>
      <c r="U51" s="2"/>
      <c r="V51" s="6">
        <f t="shared" si="21"/>
        <v>0</v>
      </c>
      <c r="W51" s="2"/>
      <c r="X51" s="7">
        <f t="shared" si="22"/>
        <v>-9163</v>
      </c>
      <c r="Y51" s="2"/>
      <c r="Z51" s="6">
        <f t="shared" si="23"/>
        <v>-1</v>
      </c>
    </row>
    <row r="52" spans="1:26" s="27" customFormat="1" outlineLevel="1" collapsed="1" x14ac:dyDescent="0.25">
      <c r="A52" s="26"/>
      <c r="B52" s="13" t="str">
        <f>CONCATENATE("     ","Telephone/Data Lines                              ")</f>
        <v xml:space="preserve">     Telephone/Data Lines                              </v>
      </c>
      <c r="C52" s="13"/>
      <c r="D52" s="1">
        <f>SUM(OSRRefD22_8x_0)</f>
        <v>36</v>
      </c>
      <c r="E52" s="1"/>
      <c r="F52" s="5">
        <f t="shared" si="16"/>
        <v>0</v>
      </c>
      <c r="G52" s="1"/>
      <c r="H52" s="1">
        <f>SUM(OSRRefH22_8x_0)</f>
        <v>0</v>
      </c>
      <c r="I52" s="1"/>
      <c r="J52" s="5">
        <f t="shared" si="17"/>
        <v>0</v>
      </c>
      <c r="K52" s="1"/>
      <c r="L52" s="1">
        <f t="shared" si="18"/>
        <v>36</v>
      </c>
      <c r="M52" s="1"/>
      <c r="N52" s="5">
        <f t="shared" si="19"/>
        <v>0</v>
      </c>
      <c r="O52" s="13"/>
      <c r="P52" s="1">
        <f>SUM(OSRRefP22_8x_0)</f>
        <v>360.15</v>
      </c>
      <c r="Q52" s="1"/>
      <c r="R52" s="5">
        <f t="shared" si="20"/>
        <v>0</v>
      </c>
      <c r="S52" s="1"/>
      <c r="T52" s="1">
        <f>SUM(OSRRefT22_8x_0)</f>
        <v>1800</v>
      </c>
      <c r="U52" s="1"/>
      <c r="V52" s="5">
        <f t="shared" si="21"/>
        <v>0</v>
      </c>
      <c r="W52" s="1"/>
      <c r="X52" s="1">
        <f t="shared" si="22"/>
        <v>-1439.85</v>
      </c>
      <c r="Y52" s="1"/>
      <c r="Z52" s="5">
        <f t="shared" si="23"/>
        <v>-0.79991666666666661</v>
      </c>
    </row>
    <row r="53" spans="1:26" s="24" customFormat="1" hidden="1" outlineLevel="2" x14ac:dyDescent="0.25">
      <c r="A53" s="25"/>
      <c r="B53" s="11" t="str">
        <f>CONCATENATE("          ", "6303", " - ", "DATA PHONE LINES")</f>
        <v xml:space="preserve">          6303 - DATA PHONE LINES</v>
      </c>
      <c r="C53" s="11"/>
      <c r="D53" s="7"/>
      <c r="E53" s="2"/>
      <c r="F53" s="6">
        <f t="shared" si="16"/>
        <v>0</v>
      </c>
      <c r="G53" s="2"/>
      <c r="H53" s="7"/>
      <c r="I53" s="2"/>
      <c r="J53" s="6">
        <f t="shared" si="17"/>
        <v>0</v>
      </c>
      <c r="K53" s="2"/>
      <c r="L53" s="7">
        <f t="shared" si="18"/>
        <v>0</v>
      </c>
      <c r="M53" s="2"/>
      <c r="N53" s="6">
        <f t="shared" si="19"/>
        <v>0</v>
      </c>
      <c r="O53" s="11"/>
      <c r="P53" s="7"/>
      <c r="Q53" s="2"/>
      <c r="R53" s="6">
        <f t="shared" si="20"/>
        <v>0</v>
      </c>
      <c r="S53" s="2"/>
      <c r="T53" s="7">
        <v>1800</v>
      </c>
      <c r="U53" s="2"/>
      <c r="V53" s="6">
        <f t="shared" si="21"/>
        <v>0</v>
      </c>
      <c r="W53" s="2"/>
      <c r="X53" s="7">
        <f t="shared" si="22"/>
        <v>-1800</v>
      </c>
      <c r="Y53" s="2"/>
      <c r="Z53" s="6">
        <f t="shared" si="23"/>
        <v>-1</v>
      </c>
    </row>
    <row r="54" spans="1:26" s="24" customFormat="1" hidden="1" outlineLevel="2" x14ac:dyDescent="0.25">
      <c r="A54" s="25"/>
      <c r="B54" s="11" t="str">
        <f>CONCATENATE("          ", "6309", " - ", "TELEPHONE")</f>
        <v xml:space="preserve">          6309 - TELEPHONE</v>
      </c>
      <c r="C54" s="11"/>
      <c r="D54" s="7">
        <v>36</v>
      </c>
      <c r="E54" s="2"/>
      <c r="F54" s="6">
        <f t="shared" si="16"/>
        <v>0</v>
      </c>
      <c r="G54" s="2"/>
      <c r="H54" s="7"/>
      <c r="I54" s="2"/>
      <c r="J54" s="6">
        <f t="shared" si="17"/>
        <v>0</v>
      </c>
      <c r="K54" s="2"/>
      <c r="L54" s="7">
        <f t="shared" si="18"/>
        <v>36</v>
      </c>
      <c r="M54" s="2"/>
      <c r="N54" s="6">
        <f t="shared" si="19"/>
        <v>0</v>
      </c>
      <c r="O54" s="11"/>
      <c r="P54" s="7">
        <v>360.15</v>
      </c>
      <c r="Q54" s="2"/>
      <c r="R54" s="6">
        <f t="shared" si="20"/>
        <v>0</v>
      </c>
      <c r="S54" s="2"/>
      <c r="T54" s="7"/>
      <c r="U54" s="2"/>
      <c r="V54" s="6">
        <f t="shared" si="21"/>
        <v>0</v>
      </c>
      <c r="W54" s="2"/>
      <c r="X54" s="7">
        <f t="shared" si="22"/>
        <v>360.15</v>
      </c>
      <c r="Y54" s="2"/>
      <c r="Z54" s="6">
        <f t="shared" si="23"/>
        <v>0</v>
      </c>
    </row>
    <row r="55" spans="1:26" s="27" customFormat="1" outlineLevel="1" collapsed="1" x14ac:dyDescent="0.25">
      <c r="A55" s="26"/>
      <c r="B55" s="13" t="str">
        <f>CONCATENATE("     ","Training                                          ")</f>
        <v xml:space="preserve">     Training                                          </v>
      </c>
      <c r="C55" s="13"/>
      <c r="D55" s="1">
        <f>SUM(OSRRefD22_9x_0)</f>
        <v>0</v>
      </c>
      <c r="E55" s="1"/>
      <c r="F55" s="5">
        <f t="shared" ref="F55:F56" si="24">IF(D$12=0,0,D55/D$12)</f>
        <v>0</v>
      </c>
      <c r="G55" s="1"/>
      <c r="H55" s="1">
        <f>SUM(OSRRefH22_9x_0)</f>
        <v>0</v>
      </c>
      <c r="I55" s="1"/>
      <c r="J55" s="5">
        <f t="shared" ref="J55:J56" si="25">IF(H$12=0,0,H55/H$12)</f>
        <v>0</v>
      </c>
      <c r="K55" s="1"/>
      <c r="L55" s="1">
        <f t="shared" ref="L55:L56" si="26">+D55-H55</f>
        <v>0</v>
      </c>
      <c r="M55" s="1"/>
      <c r="N55" s="5">
        <f t="shared" ref="N55:N56" si="27">IF(H55=0,0,L55/H55)</f>
        <v>0</v>
      </c>
      <c r="O55" s="13"/>
      <c r="P55" s="1">
        <f>SUM(OSRRefP22_9x_0)</f>
        <v>0</v>
      </c>
      <c r="Q55" s="1"/>
      <c r="R55" s="5">
        <f t="shared" ref="R55:R56" si="28">IF(P$12=0,0,P55/P$12)</f>
        <v>0</v>
      </c>
      <c r="S55" s="1"/>
      <c r="T55" s="1">
        <f>SUM(OSRRefT22_9x_0)</f>
        <v>2400</v>
      </c>
      <c r="U55" s="1"/>
      <c r="V55" s="5">
        <f t="shared" ref="V55:V56" si="29">IF(T$12=0,0,T55/T$12)</f>
        <v>0</v>
      </c>
      <c r="W55" s="1"/>
      <c r="X55" s="1">
        <f t="shared" ref="X55:X56" si="30">+P55-T55</f>
        <v>-2400</v>
      </c>
      <c r="Y55" s="1"/>
      <c r="Z55" s="5">
        <f t="shared" ref="Z55:Z56" si="31">IF(T55=0,0,X55/T55)</f>
        <v>-1</v>
      </c>
    </row>
    <row r="56" spans="1:26" s="24" customFormat="1" hidden="1" outlineLevel="2" x14ac:dyDescent="0.25">
      <c r="A56" s="25"/>
      <c r="B56" s="11" t="str">
        <f>CONCATENATE("          ", "6376", " - ", "TRAINING")</f>
        <v xml:space="preserve">          6376 - TRAINING</v>
      </c>
      <c r="C56" s="11"/>
      <c r="D56" s="7"/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0</v>
      </c>
      <c r="M56" s="2"/>
      <c r="N56" s="6">
        <f t="shared" si="27"/>
        <v>0</v>
      </c>
      <c r="O56" s="11"/>
      <c r="P56" s="7"/>
      <c r="Q56" s="2"/>
      <c r="R56" s="6">
        <f t="shared" si="28"/>
        <v>0</v>
      </c>
      <c r="S56" s="2"/>
      <c r="T56" s="7">
        <v>2400</v>
      </c>
      <c r="U56" s="2"/>
      <c r="V56" s="6">
        <f t="shared" si="29"/>
        <v>0</v>
      </c>
      <c r="W56" s="2"/>
      <c r="X56" s="7">
        <f t="shared" si="30"/>
        <v>-2400</v>
      </c>
      <c r="Y56" s="2"/>
      <c r="Z56" s="6">
        <f t="shared" si="31"/>
        <v>-1</v>
      </c>
    </row>
    <row r="57" spans="1:26" s="56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9" t="s">
        <v>293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8" t="s">
        <v>277</v>
      </c>
      <c r="C60" s="28"/>
      <c r="D60" s="20">
        <f>+D16-D18+D58</f>
        <v>-8033.21</v>
      </c>
      <c r="E60" s="14"/>
      <c r="F60" s="21">
        <f>IF(D$12=0,0,D60/D$12)</f>
        <v>0</v>
      </c>
      <c r="G60" s="14"/>
      <c r="H60" s="20">
        <f>+H16-H18+H58</f>
        <v>-17212.426153846154</v>
      </c>
      <c r="I60" s="14"/>
      <c r="J60" s="21">
        <f>IF(H$12=0,0,H60/H$12)</f>
        <v>0</v>
      </c>
      <c r="K60" s="15"/>
      <c r="L60" s="20">
        <f>+D60-H60</f>
        <v>9179.2161538461551</v>
      </c>
      <c r="M60" s="15"/>
      <c r="N60" s="21">
        <f>IF(H60=0,0,L60/H60)</f>
        <v>-0.53329008193275762</v>
      </c>
      <c r="O60" s="29"/>
      <c r="P60" s="20">
        <f>+P16-P18+P58</f>
        <v>-95898.010000000009</v>
      </c>
      <c r="Q60" s="14"/>
      <c r="R60" s="21">
        <f>IF(P$12=0,0,P60/P$12)</f>
        <v>0</v>
      </c>
      <c r="S60" s="14"/>
      <c r="T60" s="20">
        <f>+T16-T18+T58</f>
        <v>-202934.54884615383</v>
      </c>
      <c r="U60" s="14"/>
      <c r="V60" s="21">
        <f>IF(T$12=0,0,T60/T$12)</f>
        <v>0</v>
      </c>
      <c r="W60" s="15"/>
      <c r="X60" s="20">
        <f>+P60-T60</f>
        <v>107036.53884615382</v>
      </c>
      <c r="Y60" s="15"/>
      <c r="Z60" s="21">
        <f>IF(T60=0,0,X60/T60)</f>
        <v>-0.52744364848047143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2"/>
      <c r="B62" s="10" t="s">
        <v>128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8" t="s">
        <v>126</v>
      </c>
      <c r="C64" s="28"/>
      <c r="D64" s="35">
        <f>+D60-D62</f>
        <v>-8033.21</v>
      </c>
      <c r="E64" s="14"/>
      <c r="F64" s="34">
        <f>IF(D$12=0,0,D64/D$12)</f>
        <v>0</v>
      </c>
      <c r="G64" s="14"/>
      <c r="H64" s="35">
        <f>+H60-H62</f>
        <v>-17212.426153846154</v>
      </c>
      <c r="I64" s="14"/>
      <c r="J64" s="34">
        <f>IF(H$12=0,0,H64/H$12)</f>
        <v>0</v>
      </c>
      <c r="K64" s="15"/>
      <c r="L64" s="35">
        <f>D64-H64</f>
        <v>9179.2161538461551</v>
      </c>
      <c r="M64" s="15"/>
      <c r="N64" s="34">
        <f>IF(H64=0,0,L64/H64)</f>
        <v>-0.53329008193275762</v>
      </c>
      <c r="O64" s="29"/>
      <c r="P64" s="35">
        <f>+P60-P62</f>
        <v>-95898.010000000009</v>
      </c>
      <c r="Q64" s="14"/>
      <c r="R64" s="34">
        <f>IF(P$12=0,0,P64/P$12)</f>
        <v>0</v>
      </c>
      <c r="S64" s="14"/>
      <c r="T64" s="35">
        <f>+T60-T62</f>
        <v>-202934.54884615383</v>
      </c>
      <c r="U64" s="14"/>
      <c r="V64" s="34">
        <f>IF(T$12=0,0,T64/T$12)</f>
        <v>0</v>
      </c>
      <c r="W64" s="15"/>
      <c r="X64" s="35">
        <f>P64-T64</f>
        <v>107036.53884615382</v>
      </c>
      <c r="Y64" s="15"/>
      <c r="Z64" s="34">
        <f>IF(T64=0,0,X64/T64)</f>
        <v>-0.52744364848047143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294</v>
      </c>
      <c r="C67" s="28"/>
      <c r="D67" s="33">
        <f>SUM(D64:D66)</f>
        <v>-8033.21</v>
      </c>
      <c r="E67" s="14"/>
      <c r="F67" s="32">
        <f>IF(D$12=0,0,D67/D$12)</f>
        <v>0</v>
      </c>
      <c r="G67" s="14"/>
      <c r="H67" s="33">
        <f>SUM(H64:H66)</f>
        <v>-17212.426153846154</v>
      </c>
      <c r="I67" s="14"/>
      <c r="J67" s="32">
        <f>IF(H$12=0,0,H67/H$12)</f>
        <v>0</v>
      </c>
      <c r="K67" s="15"/>
      <c r="L67" s="33">
        <f>+D67-H67</f>
        <v>9179.2161538461551</v>
      </c>
      <c r="M67" s="15"/>
      <c r="N67" s="32">
        <f>IF(H67=0,0,L67/H67)</f>
        <v>-0.53329008193275762</v>
      </c>
      <c r="O67" s="29"/>
      <c r="P67" s="33">
        <f>SUM(P64:P66)</f>
        <v>-95898.010000000009</v>
      </c>
      <c r="Q67" s="14"/>
      <c r="R67" s="32">
        <f>IF(P$12=0,0,P67/P$12)</f>
        <v>0</v>
      </c>
      <c r="S67" s="14"/>
      <c r="T67" s="33">
        <f>SUM(T64:T66)</f>
        <v>-202934.54884615383</v>
      </c>
      <c r="U67" s="14"/>
      <c r="V67" s="32">
        <f>IF(T$12=0,0,T67/T$12)</f>
        <v>0</v>
      </c>
      <c r="W67" s="15"/>
      <c r="X67" s="33">
        <f>+P67-T67</f>
        <v>107036.53884615382</v>
      </c>
      <c r="Y67" s="15"/>
      <c r="Z67" s="32">
        <f>IF(T67=0,0,X67/T67)</f>
        <v>-0.52744364848047143</v>
      </c>
    </row>
    <row r="68" spans="1:26" ht="15.75" thickTop="1" x14ac:dyDescent="0.25">
      <c r="A68" s="9"/>
      <c r="C68" s="9"/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60">
        <v>44356.891834571761</v>
      </c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55" t="s">
        <v>56</v>
      </c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63"/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4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107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506766.3400000002</v>
      </c>
      <c r="E12" s="4"/>
      <c r="F12" s="12"/>
      <c r="G12" s="4"/>
      <c r="H12" s="4">
        <f>SUM(OSRRefH13x_0)</f>
        <v>630703</v>
      </c>
      <c r="I12" s="4"/>
      <c r="J12" s="12"/>
      <c r="K12" s="4"/>
      <c r="L12" s="4">
        <f t="shared" ref="L12:L80" si="0">+D12-H12</f>
        <v>-123936.6599999998</v>
      </c>
      <c r="M12" s="4"/>
      <c r="N12" s="12">
        <f t="shared" ref="N12:N80" si="1">IF(H12=0,0,L12/H12)</f>
        <v>-0.19650558186658348</v>
      </c>
      <c r="O12" s="10"/>
      <c r="P12" s="4">
        <f>SUM(OSRRefP13x_0)</f>
        <v>5212278.6800000006</v>
      </c>
      <c r="Q12" s="4"/>
      <c r="R12" s="12"/>
      <c r="S12" s="4"/>
      <c r="T12" s="4">
        <f>SUM(OSRRefT13x_0)</f>
        <v>9375923</v>
      </c>
      <c r="U12" s="4"/>
      <c r="V12" s="12"/>
      <c r="W12" s="4"/>
      <c r="X12" s="4">
        <f t="shared" ref="X12:X80" si="2">+P12-T12</f>
        <v>-4163644.3199999994</v>
      </c>
      <c r="Y12" s="4"/>
      <c r="Z12" s="12">
        <f t="shared" ref="Z12:Z80" si="3">IF(T12=0,0,X12/T12)</f>
        <v>-0.44407833980718481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-11353.84</f>
        <v>-11353.84</v>
      </c>
      <c r="E13" s="2"/>
      <c r="F13" s="19"/>
      <c r="G13" s="2"/>
      <c r="H13" s="2">
        <v>553500</v>
      </c>
      <c r="I13" s="2"/>
      <c r="J13" s="19"/>
      <c r="K13" s="2"/>
      <c r="L13" s="2">
        <f t="shared" si="0"/>
        <v>-564853.84</v>
      </c>
      <c r="M13" s="2"/>
      <c r="N13" s="19">
        <f t="shared" si="1"/>
        <v>-1.0205128093947606</v>
      </c>
      <c r="O13" s="11"/>
      <c r="P13" s="2">
        <f>-144449.03</f>
        <v>-144449.03</v>
      </c>
      <c r="Q13" s="2"/>
      <c r="R13" s="19"/>
      <c r="S13" s="2"/>
      <c r="T13" s="2">
        <v>8531205</v>
      </c>
      <c r="U13" s="2"/>
      <c r="V13" s="19"/>
      <c r="W13" s="2"/>
      <c r="X13" s="2">
        <f t="shared" si="2"/>
        <v>-8675654.0299999993</v>
      </c>
      <c r="Y13" s="2"/>
      <c r="Z13" s="19">
        <f t="shared" si="3"/>
        <v>-1.0169318437430586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--35278.2</f>
        <v>35278.199999999997</v>
      </c>
      <c r="E14" s="2"/>
      <c r="F14" s="19"/>
      <c r="G14" s="2"/>
      <c r="H14" s="2"/>
      <c r="I14" s="2"/>
      <c r="J14" s="19"/>
      <c r="K14" s="2"/>
      <c r="L14" s="2">
        <f t="shared" si="0"/>
        <v>35278.199999999997</v>
      </c>
      <c r="M14" s="2"/>
      <c r="N14" s="19">
        <f t="shared" si="1"/>
        <v>0</v>
      </c>
      <c r="O14" s="11"/>
      <c r="P14" s="2">
        <f>--1299088.56</f>
        <v>1299088.56</v>
      </c>
      <c r="Q14" s="2"/>
      <c r="R14" s="19"/>
      <c r="S14" s="2"/>
      <c r="T14" s="2"/>
      <c r="U14" s="2"/>
      <c r="V14" s="19"/>
      <c r="W14" s="2"/>
      <c r="X14" s="2">
        <f t="shared" si="2"/>
        <v>1299088.56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--11501.84</f>
        <v>11501.84</v>
      </c>
      <c r="E15" s="2"/>
      <c r="F15" s="19"/>
      <c r="G15" s="2"/>
      <c r="H15" s="2"/>
      <c r="I15" s="2"/>
      <c r="J15" s="19"/>
      <c r="K15" s="2"/>
      <c r="L15" s="2">
        <f t="shared" si="0"/>
        <v>11501.84</v>
      </c>
      <c r="M15" s="2"/>
      <c r="N15" s="19">
        <f t="shared" si="1"/>
        <v>0</v>
      </c>
      <c r="O15" s="11"/>
      <c r="P15" s="2">
        <f>--590270.47</f>
        <v>590270.47</v>
      </c>
      <c r="Q15" s="2"/>
      <c r="R15" s="19"/>
      <c r="S15" s="2"/>
      <c r="T15" s="2"/>
      <c r="U15" s="2"/>
      <c r="V15" s="19"/>
      <c r="W15" s="2"/>
      <c r="X15" s="2">
        <f t="shared" si="2"/>
        <v>590270.47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--494.96</f>
        <v>494.96</v>
      </c>
      <c r="E16" s="2"/>
      <c r="F16" s="19"/>
      <c r="G16" s="2"/>
      <c r="H16" s="2"/>
      <c r="I16" s="2"/>
      <c r="J16" s="19"/>
      <c r="K16" s="2"/>
      <c r="L16" s="2">
        <f t="shared" si="0"/>
        <v>494.96</v>
      </c>
      <c r="M16" s="2"/>
      <c r="N16" s="19">
        <f t="shared" si="1"/>
        <v>0</v>
      </c>
      <c r="O16" s="11"/>
      <c r="P16" s="2">
        <f>--18492.84</f>
        <v>18492.84</v>
      </c>
      <c r="Q16" s="2"/>
      <c r="R16" s="19"/>
      <c r="S16" s="2"/>
      <c r="T16" s="2"/>
      <c r="U16" s="2"/>
      <c r="V16" s="19"/>
      <c r="W16" s="2"/>
      <c r="X16" s="2">
        <f t="shared" si="2"/>
        <v>18492.84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--61.96</f>
        <v>61.96</v>
      </c>
      <c r="E18" s="2"/>
      <c r="F18" s="19"/>
      <c r="G18" s="2"/>
      <c r="H18" s="2"/>
      <c r="I18" s="2"/>
      <c r="J18" s="19"/>
      <c r="K18" s="2"/>
      <c r="L18" s="2">
        <f t="shared" si="0"/>
        <v>61.96</v>
      </c>
      <c r="M18" s="2"/>
      <c r="N18" s="19">
        <f t="shared" si="1"/>
        <v>0</v>
      </c>
      <c r="O18" s="11"/>
      <c r="P18" s="2">
        <f>--1325.79</f>
        <v>1325.79</v>
      </c>
      <c r="Q18" s="2"/>
      <c r="R18" s="19"/>
      <c r="S18" s="2"/>
      <c r="T18" s="2"/>
      <c r="U18" s="2"/>
      <c r="V18" s="19"/>
      <c r="W18" s="2"/>
      <c r="X18" s="2">
        <f t="shared" si="2"/>
        <v>1325.79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--31.17</f>
        <v>31.17</v>
      </c>
      <c r="E19" s="2"/>
      <c r="F19" s="19"/>
      <c r="G19" s="2"/>
      <c r="H19" s="2"/>
      <c r="I19" s="2"/>
      <c r="J19" s="19"/>
      <c r="K19" s="2"/>
      <c r="L19" s="2">
        <f t="shared" si="0"/>
        <v>31.17</v>
      </c>
      <c r="M19" s="2"/>
      <c r="N19" s="19">
        <f t="shared" si="1"/>
        <v>0</v>
      </c>
      <c r="O19" s="11"/>
      <c r="P19" s="2">
        <f>--515.72</f>
        <v>515.72</v>
      </c>
      <c r="Q19" s="2"/>
      <c r="R19" s="19"/>
      <c r="S19" s="2"/>
      <c r="T19" s="2"/>
      <c r="U19" s="2"/>
      <c r="V19" s="19"/>
      <c r="W19" s="2"/>
      <c r="X19" s="2">
        <f t="shared" si="2"/>
        <v>515.72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--35.38</f>
        <v>35.380000000000003</v>
      </c>
      <c r="E20" s="2"/>
      <c r="F20" s="19"/>
      <c r="G20" s="2"/>
      <c r="H20" s="2"/>
      <c r="I20" s="2"/>
      <c r="J20" s="19"/>
      <c r="K20" s="2"/>
      <c r="L20" s="2">
        <f t="shared" si="0"/>
        <v>35.380000000000003</v>
      </c>
      <c r="M20" s="2"/>
      <c r="N20" s="19">
        <f t="shared" si="1"/>
        <v>0</v>
      </c>
      <c r="O20" s="11"/>
      <c r="P20" s="2">
        <f>--508.48</f>
        <v>508.48</v>
      </c>
      <c r="Q20" s="2"/>
      <c r="R20" s="19"/>
      <c r="S20" s="2"/>
      <c r="T20" s="2"/>
      <c r="U20" s="2"/>
      <c r="V20" s="19"/>
      <c r="W20" s="2"/>
      <c r="X20" s="2">
        <f t="shared" si="2"/>
        <v>508.48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--36.37</f>
        <v>36.369999999999997</v>
      </c>
      <c r="E21" s="2"/>
      <c r="F21" s="19"/>
      <c r="G21" s="2"/>
      <c r="H21" s="2"/>
      <c r="I21" s="2"/>
      <c r="J21" s="19"/>
      <c r="K21" s="2"/>
      <c r="L21" s="2">
        <f t="shared" si="0"/>
        <v>36.369999999999997</v>
      </c>
      <c r="M21" s="2"/>
      <c r="N21" s="19">
        <f t="shared" si="1"/>
        <v>0</v>
      </c>
      <c r="O21" s="11"/>
      <c r="P21" s="2">
        <f>--522.54</f>
        <v>522.54</v>
      </c>
      <c r="Q21" s="2"/>
      <c r="R21" s="19"/>
      <c r="S21" s="2"/>
      <c r="T21" s="2"/>
      <c r="U21" s="2"/>
      <c r="V21" s="19"/>
      <c r="W21" s="2"/>
      <c r="X21" s="2">
        <f t="shared" si="2"/>
        <v>522.54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--6033.32</f>
        <v>6033.32</v>
      </c>
      <c r="E22" s="2"/>
      <c r="F22" s="19"/>
      <c r="G22" s="2"/>
      <c r="H22" s="2"/>
      <c r="I22" s="2"/>
      <c r="J22" s="19"/>
      <c r="K22" s="2"/>
      <c r="L22" s="2">
        <f t="shared" si="0"/>
        <v>6033.32</v>
      </c>
      <c r="M22" s="2"/>
      <c r="N22" s="19">
        <f t="shared" si="1"/>
        <v>0</v>
      </c>
      <c r="O22" s="11"/>
      <c r="P22" s="2">
        <f>--70104.29</f>
        <v>70104.289999999994</v>
      </c>
      <c r="Q22" s="2"/>
      <c r="R22" s="19"/>
      <c r="S22" s="2"/>
      <c r="T22" s="2"/>
      <c r="U22" s="2"/>
      <c r="V22" s="19"/>
      <c r="W22" s="2"/>
      <c r="X22" s="2">
        <f t="shared" si="2"/>
        <v>70104.289999999994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>--1495.15</f>
        <v>1495.15</v>
      </c>
      <c r="E23" s="2"/>
      <c r="F23" s="19"/>
      <c r="G23" s="2"/>
      <c r="H23" s="2"/>
      <c r="I23" s="2"/>
      <c r="J23" s="19"/>
      <c r="K23" s="2"/>
      <c r="L23" s="2">
        <f t="shared" si="0"/>
        <v>1495.15</v>
      </c>
      <c r="M23" s="2"/>
      <c r="N23" s="19">
        <f t="shared" si="1"/>
        <v>0</v>
      </c>
      <c r="O23" s="11"/>
      <c r="P23" s="2">
        <f>--48395.32</f>
        <v>48395.32</v>
      </c>
      <c r="Q23" s="2"/>
      <c r="R23" s="19"/>
      <c r="S23" s="2"/>
      <c r="T23" s="2"/>
      <c r="U23" s="2"/>
      <c r="V23" s="19"/>
      <c r="W23" s="2"/>
      <c r="X23" s="2">
        <f t="shared" si="2"/>
        <v>48395.32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>--490.12</f>
        <v>490.12</v>
      </c>
      <c r="E24" s="2"/>
      <c r="F24" s="19"/>
      <c r="G24" s="2"/>
      <c r="H24" s="2"/>
      <c r="I24" s="2"/>
      <c r="J24" s="19"/>
      <c r="K24" s="2"/>
      <c r="L24" s="2">
        <f t="shared" si="0"/>
        <v>490.12</v>
      </c>
      <c r="M24" s="2"/>
      <c r="N24" s="19">
        <f t="shared" si="1"/>
        <v>0</v>
      </c>
      <c r="O24" s="11"/>
      <c r="P24" s="2">
        <f>--4700.71</f>
        <v>4700.71</v>
      </c>
      <c r="Q24" s="2"/>
      <c r="R24" s="19"/>
      <c r="S24" s="2"/>
      <c r="T24" s="2"/>
      <c r="U24" s="2"/>
      <c r="V24" s="19"/>
      <c r="W24" s="2"/>
      <c r="X24" s="2">
        <f t="shared" si="2"/>
        <v>4700.71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4"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--444.59</f>
        <v>444.59</v>
      </c>
      <c r="Q25" s="2"/>
      <c r="R25" s="19"/>
      <c r="S25" s="2"/>
      <c r="T25" s="2"/>
      <c r="U25" s="2"/>
      <c r="V25" s="19"/>
      <c r="W25" s="2"/>
      <c r="X25" s="2">
        <f t="shared" si="2"/>
        <v>444.59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--6.78</f>
        <v>6.78</v>
      </c>
      <c r="Q26" s="2"/>
      <c r="R26" s="19"/>
      <c r="S26" s="2"/>
      <c r="T26" s="2"/>
      <c r="U26" s="2"/>
      <c r="V26" s="19"/>
      <c r="W26" s="2"/>
      <c r="X26" s="2">
        <f t="shared" si="2"/>
        <v>6.78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>--187399.42</f>
        <v>187399.42</v>
      </c>
      <c r="E27" s="2"/>
      <c r="F27" s="19"/>
      <c r="G27" s="2"/>
      <c r="H27" s="2"/>
      <c r="I27" s="2"/>
      <c r="J27" s="19"/>
      <c r="K27" s="2"/>
      <c r="L27" s="2">
        <f t="shared" si="0"/>
        <v>187399.42</v>
      </c>
      <c r="M27" s="2"/>
      <c r="N27" s="19">
        <f t="shared" si="1"/>
        <v>0</v>
      </c>
      <c r="O27" s="11"/>
      <c r="P27" s="2">
        <f>--1100580.15</f>
        <v>1100580.1499999999</v>
      </c>
      <c r="Q27" s="2"/>
      <c r="R27" s="19"/>
      <c r="S27" s="2"/>
      <c r="T27" s="2"/>
      <c r="U27" s="2"/>
      <c r="V27" s="19"/>
      <c r="W27" s="2"/>
      <c r="X27" s="2">
        <f t="shared" si="2"/>
        <v>1100580.1499999999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>--191315.61</f>
        <v>191315.61</v>
      </c>
      <c r="E28" s="2"/>
      <c r="F28" s="19"/>
      <c r="G28" s="2"/>
      <c r="H28" s="2"/>
      <c r="I28" s="2"/>
      <c r="J28" s="19"/>
      <c r="K28" s="2"/>
      <c r="L28" s="2">
        <f t="shared" si="0"/>
        <v>191315.61</v>
      </c>
      <c r="M28" s="2"/>
      <c r="N28" s="19">
        <f t="shared" si="1"/>
        <v>0</v>
      </c>
      <c r="O28" s="11"/>
      <c r="P28" s="2">
        <f>--631772.59</f>
        <v>631772.59</v>
      </c>
      <c r="Q28" s="2"/>
      <c r="R28" s="19"/>
      <c r="S28" s="2"/>
      <c r="T28" s="2"/>
      <c r="U28" s="2"/>
      <c r="V28" s="19"/>
      <c r="W28" s="2"/>
      <c r="X28" s="2">
        <f t="shared" si="2"/>
        <v>631772.59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--8228.03</f>
        <v>8228.0300000000007</v>
      </c>
      <c r="E29" s="2"/>
      <c r="F29" s="19"/>
      <c r="G29" s="2"/>
      <c r="H29" s="2"/>
      <c r="I29" s="2"/>
      <c r="J29" s="19"/>
      <c r="K29" s="2"/>
      <c r="L29" s="2">
        <f t="shared" si="0"/>
        <v>8228.0300000000007</v>
      </c>
      <c r="M29" s="2"/>
      <c r="N29" s="19">
        <f t="shared" si="1"/>
        <v>0</v>
      </c>
      <c r="O29" s="11"/>
      <c r="P29" s="2">
        <f>--108906.55</f>
        <v>108906.55</v>
      </c>
      <c r="Q29" s="2"/>
      <c r="R29" s="19"/>
      <c r="S29" s="2"/>
      <c r="T29" s="2"/>
      <c r="U29" s="2"/>
      <c r="V29" s="19"/>
      <c r="W29" s="2"/>
      <c r="X29" s="2">
        <f t="shared" si="2"/>
        <v>108906.55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>--7218.29</f>
        <v>7218.29</v>
      </c>
      <c r="E30" s="2"/>
      <c r="F30" s="19"/>
      <c r="G30" s="2"/>
      <c r="H30" s="2"/>
      <c r="I30" s="2"/>
      <c r="J30" s="19"/>
      <c r="K30" s="2"/>
      <c r="L30" s="2">
        <f t="shared" si="0"/>
        <v>7218.29</v>
      </c>
      <c r="M30" s="2"/>
      <c r="N30" s="19">
        <f t="shared" si="1"/>
        <v>0</v>
      </c>
      <c r="O30" s="11"/>
      <c r="P30" s="2">
        <f>--144077.67</f>
        <v>144077.67000000001</v>
      </c>
      <c r="Q30" s="2"/>
      <c r="R30" s="19"/>
      <c r="S30" s="2"/>
      <c r="T30" s="2"/>
      <c r="U30" s="2"/>
      <c r="V30" s="19"/>
      <c r="W30" s="2"/>
      <c r="X30" s="2">
        <f t="shared" si="2"/>
        <v>144077.67000000001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>--5024.1</f>
        <v>5024.1000000000004</v>
      </c>
      <c r="E31" s="2"/>
      <c r="F31" s="19"/>
      <c r="G31" s="2"/>
      <c r="H31" s="2"/>
      <c r="I31" s="2"/>
      <c r="J31" s="19"/>
      <c r="K31" s="2"/>
      <c r="L31" s="2">
        <f t="shared" si="0"/>
        <v>5024.1000000000004</v>
      </c>
      <c r="M31" s="2"/>
      <c r="N31" s="19">
        <f t="shared" si="1"/>
        <v>0</v>
      </c>
      <c r="O31" s="11"/>
      <c r="P31" s="2">
        <f>--41116.33</f>
        <v>41116.33</v>
      </c>
      <c r="Q31" s="2"/>
      <c r="R31" s="19"/>
      <c r="S31" s="2"/>
      <c r="T31" s="2"/>
      <c r="U31" s="2"/>
      <c r="V31" s="19"/>
      <c r="W31" s="2"/>
      <c r="X31" s="2">
        <f t="shared" si="2"/>
        <v>41116.33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--26335.59</f>
        <v>26335.59</v>
      </c>
      <c r="E32" s="2"/>
      <c r="F32" s="19"/>
      <c r="G32" s="2"/>
      <c r="H32" s="2"/>
      <c r="I32" s="2"/>
      <c r="J32" s="19"/>
      <c r="K32" s="2"/>
      <c r="L32" s="2">
        <f t="shared" si="0"/>
        <v>26335.59</v>
      </c>
      <c r="M32" s="2"/>
      <c r="N32" s="19">
        <f t="shared" si="1"/>
        <v>0</v>
      </c>
      <c r="O32" s="11"/>
      <c r="P32" s="2">
        <f>--233577.93</f>
        <v>233577.93</v>
      </c>
      <c r="Q32" s="2"/>
      <c r="R32" s="19"/>
      <c r="S32" s="2"/>
      <c r="T32" s="2"/>
      <c r="U32" s="2"/>
      <c r="V32" s="19"/>
      <c r="W32" s="2"/>
      <c r="X32" s="2">
        <f t="shared" si="2"/>
        <v>233577.93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"4081", " - ", "TAXABLE SALES-ELECTRONICS")</f>
        <v xml:space="preserve">          4081 - TAXABLE SALES-ELECTRONICS</v>
      </c>
      <c r="C33" s="11"/>
      <c r="D33" s="2">
        <f t="shared" ref="D33:D34" si="5"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--71.95</f>
        <v>71.95</v>
      </c>
      <c r="Q33" s="2"/>
      <c r="R33" s="19"/>
      <c r="S33" s="2"/>
      <c r="T33" s="2"/>
      <c r="U33" s="2"/>
      <c r="V33" s="19"/>
      <c r="W33" s="2"/>
      <c r="X33" s="2">
        <f t="shared" si="2"/>
        <v>71.95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 t="shared" si="5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--9.99</f>
        <v>9.99</v>
      </c>
      <c r="Q34" s="2"/>
      <c r="R34" s="19"/>
      <c r="S34" s="2"/>
      <c r="T34" s="2"/>
      <c r="U34" s="2"/>
      <c r="V34" s="19"/>
      <c r="W34" s="2"/>
      <c r="X34" s="2">
        <f t="shared" si="2"/>
        <v>9.99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"4095", " - ", "TAXABLE SALES-CUSTOMER SERVICE")</f>
        <v xml:space="preserve">          4095 - TAXABLE SALES-CUSTOMER SERVICE</v>
      </c>
      <c r="C35" s="11"/>
      <c r="D35" s="2">
        <f>--10891.24</f>
        <v>10891.24</v>
      </c>
      <c r="E35" s="2"/>
      <c r="F35" s="19"/>
      <c r="G35" s="2"/>
      <c r="H35" s="2"/>
      <c r="I35" s="2"/>
      <c r="J35" s="19"/>
      <c r="K35" s="2"/>
      <c r="L35" s="2">
        <f t="shared" si="0"/>
        <v>10891.24</v>
      </c>
      <c r="M35" s="2"/>
      <c r="N35" s="19">
        <f t="shared" si="1"/>
        <v>0</v>
      </c>
      <c r="O35" s="11"/>
      <c r="P35" s="2">
        <f>--13925.83</f>
        <v>13925.83</v>
      </c>
      <c r="Q35" s="2"/>
      <c r="R35" s="19"/>
      <c r="S35" s="2"/>
      <c r="T35" s="2"/>
      <c r="U35" s="2"/>
      <c r="V35" s="19"/>
      <c r="W35" s="2"/>
      <c r="X35" s="2">
        <f t="shared" si="2"/>
        <v>13925.83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"4100", " - ", "NON-TAXABLE SALES")</f>
        <v xml:space="preserve">          4100 - NON-TAXABLE SALES</v>
      </c>
      <c r="C36" s="11"/>
      <c r="D36" s="2">
        <f>--3546.21</f>
        <v>3546.21</v>
      </c>
      <c r="E36" s="2"/>
      <c r="F36" s="19"/>
      <c r="G36" s="2"/>
      <c r="H36" s="2">
        <v>77203</v>
      </c>
      <c r="I36" s="2"/>
      <c r="J36" s="19"/>
      <c r="K36" s="2"/>
      <c r="L36" s="2">
        <f t="shared" si="0"/>
        <v>-73656.789999999994</v>
      </c>
      <c r="M36" s="2"/>
      <c r="N36" s="19">
        <f t="shared" si="1"/>
        <v>-0.95406642228928917</v>
      </c>
      <c r="O36" s="11"/>
      <c r="P36" s="2">
        <f>--277384.98</f>
        <v>277384.98</v>
      </c>
      <c r="Q36" s="2"/>
      <c r="R36" s="19"/>
      <c r="S36" s="2"/>
      <c r="T36" s="2">
        <v>844718</v>
      </c>
      <c r="U36" s="2"/>
      <c r="V36" s="19"/>
      <c r="W36" s="2"/>
      <c r="X36" s="2">
        <f t="shared" si="2"/>
        <v>-567333.02</v>
      </c>
      <c r="Y36" s="2"/>
      <c r="Z36" s="19">
        <f t="shared" si="3"/>
        <v>-0.67162416333024755</v>
      </c>
    </row>
    <row r="37" spans="1:26" s="24" customFormat="1" hidden="1" outlineLevel="1" x14ac:dyDescent="0.25">
      <c r="A37" s="44"/>
      <c r="B37" s="11" t="str">
        <f>CONCATENATE("          ", "4101", " - ", "NON-TAXABLE SALES-NEW TEXT")</f>
        <v xml:space="preserve">          4101 - NON-TAXABLE SALES-NEW TEXT</v>
      </c>
      <c r="C37" s="11"/>
      <c r="D37" s="2">
        <f>--6450.33</f>
        <v>6450.33</v>
      </c>
      <c r="E37" s="2"/>
      <c r="F37" s="19"/>
      <c r="G37" s="2"/>
      <c r="H37" s="2"/>
      <c r="I37" s="2"/>
      <c r="J37" s="19"/>
      <c r="K37" s="2"/>
      <c r="L37" s="2">
        <f t="shared" si="0"/>
        <v>6450.33</v>
      </c>
      <c r="M37" s="2"/>
      <c r="N37" s="19">
        <f t="shared" si="1"/>
        <v>0</v>
      </c>
      <c r="O37" s="11"/>
      <c r="P37" s="2">
        <f>--119247.07</f>
        <v>119247.07</v>
      </c>
      <c r="Q37" s="2"/>
      <c r="R37" s="19"/>
      <c r="S37" s="2"/>
      <c r="T37" s="2"/>
      <c r="U37" s="2"/>
      <c r="V37" s="19"/>
      <c r="W37" s="2"/>
      <c r="X37" s="2">
        <f t="shared" si="2"/>
        <v>119247.07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"4102", " - ", "NON-TAXABLE SALES-USED TEXT")</f>
        <v xml:space="preserve">          4102 - NON-TAXABLE SALES-USED TEXT</v>
      </c>
      <c r="C38" s="11"/>
      <c r="D38" s="2">
        <f>--2343.31</f>
        <v>2343.31</v>
      </c>
      <c r="E38" s="2"/>
      <c r="F38" s="19"/>
      <c r="G38" s="2"/>
      <c r="H38" s="2"/>
      <c r="I38" s="2"/>
      <c r="J38" s="19"/>
      <c r="K38" s="2"/>
      <c r="L38" s="2">
        <f t="shared" si="0"/>
        <v>2343.31</v>
      </c>
      <c r="M38" s="2"/>
      <c r="N38" s="19">
        <f t="shared" si="1"/>
        <v>0</v>
      </c>
      <c r="O38" s="11"/>
      <c r="P38" s="2">
        <f>--51046.73</f>
        <v>51046.73</v>
      </c>
      <c r="Q38" s="2"/>
      <c r="R38" s="19"/>
      <c r="S38" s="2"/>
      <c r="T38" s="2"/>
      <c r="U38" s="2"/>
      <c r="V38" s="19"/>
      <c r="W38" s="2"/>
      <c r="X38" s="2">
        <f t="shared" si="2"/>
        <v>51046.73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"4103", " - ", "NON-TAXABLE SALES-RENTAL TEXT")</f>
        <v xml:space="preserve">          4103 - NON-TAXABLE SALES-RENTAL TEXT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--1138.95</f>
        <v>1138.95</v>
      </c>
      <c r="Q39" s="2"/>
      <c r="R39" s="19"/>
      <c r="S39" s="2"/>
      <c r="T39" s="2"/>
      <c r="U39" s="2"/>
      <c r="V39" s="19"/>
      <c r="W39" s="2"/>
      <c r="X39" s="2">
        <f t="shared" si="2"/>
        <v>1138.95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"4104", " - ", "NON-TAXABLE SALES-DIGITAL TEXT")</f>
        <v xml:space="preserve">          4104 - NON-TAXABLE SALES-DIGITAL TEXT</v>
      </c>
      <c r="C40" s="11"/>
      <c r="D40" s="2">
        <f>--10484.56</f>
        <v>10484.56</v>
      </c>
      <c r="E40" s="2"/>
      <c r="F40" s="19"/>
      <c r="G40" s="2"/>
      <c r="H40" s="2"/>
      <c r="I40" s="2"/>
      <c r="J40" s="19"/>
      <c r="K40" s="2"/>
      <c r="L40" s="2">
        <f t="shared" si="0"/>
        <v>10484.56</v>
      </c>
      <c r="M40" s="2"/>
      <c r="N40" s="19">
        <f t="shared" si="1"/>
        <v>0</v>
      </c>
      <c r="O40" s="11"/>
      <c r="P40" s="2">
        <f>--490887.73</f>
        <v>490887.73</v>
      </c>
      <c r="Q40" s="2"/>
      <c r="R40" s="19"/>
      <c r="S40" s="2"/>
      <c r="T40" s="2"/>
      <c r="U40" s="2"/>
      <c r="V40" s="19"/>
      <c r="W40" s="2"/>
      <c r="X40" s="2">
        <f t="shared" si="2"/>
        <v>490887.73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"4113", " - ", "NON-TAXABLE SALES-TRADE BOOKS")</f>
        <v xml:space="preserve">          4113 - NON-TAXABLE SALES-TRADE BOOKS</v>
      </c>
      <c r="C41" s="11"/>
      <c r="D41" s="2">
        <f t="shared" ref="D41:D43" si="6"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--12127.25</f>
        <v>12127.25</v>
      </c>
      <c r="Q41" s="2"/>
      <c r="R41" s="19"/>
      <c r="S41" s="2"/>
      <c r="T41" s="2"/>
      <c r="U41" s="2"/>
      <c r="V41" s="19"/>
      <c r="W41" s="2"/>
      <c r="X41" s="2">
        <f t="shared" si="2"/>
        <v>12127.25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"4118", " - ", "NON-TAXABLE SALES-STUDY GUIDES")</f>
        <v xml:space="preserve">          4118 - NON-TAXABLE SALES-STUDY GUIDES</v>
      </c>
      <c r="C42" s="11"/>
      <c r="D42" s="2">
        <f t="shared" si="6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--771.73</f>
        <v>771.73</v>
      </c>
      <c r="Q42" s="2"/>
      <c r="R42" s="19"/>
      <c r="S42" s="2"/>
      <c r="T42" s="2"/>
      <c r="U42" s="2"/>
      <c r="V42" s="19"/>
      <c r="W42" s="2"/>
      <c r="X42" s="2">
        <f t="shared" si="2"/>
        <v>771.73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"4126", " - ", "NON-TAXABLE SALES-WRITING INST")</f>
        <v xml:space="preserve">          4126 - NON-TAXABLE SALES-WRITING INST</v>
      </c>
      <c r="C43" s="11"/>
      <c r="D43" s="2">
        <f t="shared" si="6"/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--52.68</f>
        <v>52.68</v>
      </c>
      <c r="Q43" s="2"/>
      <c r="R43" s="19"/>
      <c r="S43" s="2"/>
      <c r="T43" s="2"/>
      <c r="U43" s="2"/>
      <c r="V43" s="19"/>
      <c r="W43" s="2"/>
      <c r="X43" s="2">
        <f t="shared" si="2"/>
        <v>52.68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"4127", " - ", "NON-TAXABLE SALES-SCHOOL SUPPL")</f>
        <v xml:space="preserve">          4127 - NON-TAXABLE SALES-SCHOOL SUPPL</v>
      </c>
      <c r="C44" s="11"/>
      <c r="D44" s="2">
        <f>--548.05</f>
        <v>548.04999999999995</v>
      </c>
      <c r="E44" s="2"/>
      <c r="F44" s="19"/>
      <c r="G44" s="2"/>
      <c r="H44" s="2"/>
      <c r="I44" s="2"/>
      <c r="J44" s="19"/>
      <c r="K44" s="2"/>
      <c r="L44" s="2">
        <f t="shared" si="0"/>
        <v>548.04999999999995</v>
      </c>
      <c r="M44" s="2"/>
      <c r="N44" s="19">
        <f t="shared" si="1"/>
        <v>0</v>
      </c>
      <c r="O44" s="11"/>
      <c r="P44" s="2">
        <f>--7648.73</f>
        <v>7648.73</v>
      </c>
      <c r="Q44" s="2"/>
      <c r="R44" s="19"/>
      <c r="S44" s="2"/>
      <c r="T44" s="2"/>
      <c r="U44" s="2"/>
      <c r="V44" s="19"/>
      <c r="W44" s="2"/>
      <c r="X44" s="2">
        <f t="shared" si="2"/>
        <v>7648.73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"4128", " - ", "NON-TAXABLE SALES-ART/TECH")</f>
        <v xml:space="preserve">          4128 - NON-TAXABLE SALES-ART/TECH</v>
      </c>
      <c r="C45" s="11"/>
      <c r="D45" s="2">
        <f>--45.96</f>
        <v>45.96</v>
      </c>
      <c r="E45" s="2"/>
      <c r="F45" s="19"/>
      <c r="G45" s="2"/>
      <c r="H45" s="2"/>
      <c r="I45" s="2"/>
      <c r="J45" s="19"/>
      <c r="K45" s="2"/>
      <c r="L45" s="2">
        <f t="shared" si="0"/>
        <v>45.96</v>
      </c>
      <c r="M45" s="2"/>
      <c r="N45" s="19">
        <f t="shared" si="1"/>
        <v>0</v>
      </c>
      <c r="O45" s="11"/>
      <c r="P45" s="2">
        <f>--115.91</f>
        <v>115.91</v>
      </c>
      <c r="Q45" s="2"/>
      <c r="R45" s="19"/>
      <c r="S45" s="2"/>
      <c r="T45" s="2"/>
      <c r="U45" s="2"/>
      <c r="V45" s="19"/>
      <c r="W45" s="2"/>
      <c r="X45" s="2">
        <f t="shared" si="2"/>
        <v>115.91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"4131", " - ", "NON-TAXABLE SALES-FOOD")</f>
        <v xml:space="preserve">          4131 - NON-TAXABLE SALES-FOOD</v>
      </c>
      <c r="C46" s="11"/>
      <c r="D46" s="2">
        <f>--775.78</f>
        <v>775.78</v>
      </c>
      <c r="E46" s="2"/>
      <c r="F46" s="19"/>
      <c r="G46" s="2"/>
      <c r="H46" s="2"/>
      <c r="I46" s="2"/>
      <c r="J46" s="19"/>
      <c r="K46" s="2"/>
      <c r="L46" s="2">
        <f t="shared" si="0"/>
        <v>775.78</v>
      </c>
      <c r="M46" s="2"/>
      <c r="N46" s="19">
        <f t="shared" si="1"/>
        <v>0</v>
      </c>
      <c r="O46" s="11"/>
      <c r="P46" s="2">
        <f>--12156.14</f>
        <v>12156.14</v>
      </c>
      <c r="Q46" s="2"/>
      <c r="R46" s="19"/>
      <c r="S46" s="2"/>
      <c r="T46" s="2"/>
      <c r="U46" s="2"/>
      <c r="V46" s="19"/>
      <c r="W46" s="2"/>
      <c r="X46" s="2">
        <f t="shared" si="2"/>
        <v>12156.14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"4132", " - ", "NON-TAXABLE SALES-JUICE")</f>
        <v xml:space="preserve">          4132 - NON-TAXABLE SALES-JUICE</v>
      </c>
      <c r="C47" s="11"/>
      <c r="D47" s="2">
        <f t="shared" ref="D47:D50" si="7"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--2054.37</f>
        <v>2054.37</v>
      </c>
      <c r="Q47" s="2"/>
      <c r="R47" s="19"/>
      <c r="S47" s="2"/>
      <c r="T47" s="2"/>
      <c r="U47" s="2"/>
      <c r="V47" s="19"/>
      <c r="W47" s="2"/>
      <c r="X47" s="2">
        <f t="shared" si="2"/>
        <v>2054.37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"4133", " - ", "NON-TAXABLE SALES-CANDY")</f>
        <v xml:space="preserve">          4133 - NON-TAXABLE SALES-CANDY</v>
      </c>
      <c r="C48" s="11"/>
      <c r="D48" s="2">
        <f t="shared" si="7"/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--80.71</f>
        <v>80.709999999999994</v>
      </c>
      <c r="Q48" s="2"/>
      <c r="R48" s="19"/>
      <c r="S48" s="2"/>
      <c r="T48" s="2"/>
      <c r="U48" s="2"/>
      <c r="V48" s="19"/>
      <c r="W48" s="2"/>
      <c r="X48" s="2">
        <f t="shared" si="2"/>
        <v>80.709999999999994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"4134", " - ", "NON-TAXABLE SALES-SODA")</f>
        <v xml:space="preserve">          4134 - NON-TAXABLE SALES-SODA</v>
      </c>
      <c r="C49" s="11"/>
      <c r="D49" s="2">
        <f t="shared" si="7"/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--45.53</f>
        <v>45.53</v>
      </c>
      <c r="Q49" s="2"/>
      <c r="R49" s="19"/>
      <c r="S49" s="2"/>
      <c r="T49" s="2"/>
      <c r="U49" s="2"/>
      <c r="V49" s="19"/>
      <c r="W49" s="2"/>
      <c r="X49" s="2">
        <f t="shared" si="2"/>
        <v>45.53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"4137", " - ", "NON-TAXABLE SALES-WATER")</f>
        <v xml:space="preserve">          4137 - NON-TAXABLE SALES-WATER</v>
      </c>
      <c r="C50" s="11"/>
      <c r="D50" s="2">
        <f t="shared" si="7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--68.25</f>
        <v>68.25</v>
      </c>
      <c r="Q50" s="2"/>
      <c r="R50" s="19"/>
      <c r="S50" s="2"/>
      <c r="T50" s="2"/>
      <c r="U50" s="2"/>
      <c r="V50" s="19"/>
      <c r="W50" s="2"/>
      <c r="X50" s="2">
        <f t="shared" si="2"/>
        <v>68.25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"4140", " - ", "NON-TAXABLE SALES-LOGO CLOTHIN")</f>
        <v xml:space="preserve">          4140 - NON-TAXABLE SALES-LOGO CLOTHIN</v>
      </c>
      <c r="C51" s="11"/>
      <c r="D51" s="2">
        <f>--16733.37</f>
        <v>16733.37</v>
      </c>
      <c r="E51" s="2"/>
      <c r="F51" s="19"/>
      <c r="G51" s="2"/>
      <c r="H51" s="2"/>
      <c r="I51" s="2"/>
      <c r="J51" s="19"/>
      <c r="K51" s="2"/>
      <c r="L51" s="2">
        <f t="shared" si="0"/>
        <v>16733.37</v>
      </c>
      <c r="M51" s="2"/>
      <c r="N51" s="19">
        <f t="shared" si="1"/>
        <v>0</v>
      </c>
      <c r="O51" s="11"/>
      <c r="P51" s="2">
        <f>--171525.76</f>
        <v>171525.76000000001</v>
      </c>
      <c r="Q51" s="2"/>
      <c r="R51" s="19"/>
      <c r="S51" s="2"/>
      <c r="T51" s="2"/>
      <c r="U51" s="2"/>
      <c r="V51" s="19"/>
      <c r="W51" s="2"/>
      <c r="X51" s="2">
        <f t="shared" si="2"/>
        <v>171525.76000000001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"4141", " - ", "NON-TAXABLE SALES-LOGO GIFTS")</f>
        <v xml:space="preserve">          4141 - NON-TAXABLE SALES-LOGO GIFTS</v>
      </c>
      <c r="C52" s="11"/>
      <c r="D52" s="2">
        <f>--2359.22</f>
        <v>2359.2199999999998</v>
      </c>
      <c r="E52" s="2"/>
      <c r="F52" s="19"/>
      <c r="G52" s="2"/>
      <c r="H52" s="2"/>
      <c r="I52" s="2"/>
      <c r="J52" s="19"/>
      <c r="K52" s="2"/>
      <c r="L52" s="2">
        <f t="shared" si="0"/>
        <v>2359.2199999999998</v>
      </c>
      <c r="M52" s="2"/>
      <c r="N52" s="19">
        <f t="shared" si="1"/>
        <v>0</v>
      </c>
      <c r="O52" s="11"/>
      <c r="P52" s="2">
        <f>--39156.03</f>
        <v>39156.03</v>
      </c>
      <c r="Q52" s="2"/>
      <c r="R52" s="19"/>
      <c r="S52" s="2"/>
      <c r="T52" s="2"/>
      <c r="U52" s="2"/>
      <c r="V52" s="19"/>
      <c r="W52" s="2"/>
      <c r="X52" s="2">
        <f t="shared" si="2"/>
        <v>39156.03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"4142", " - ", "NON-TAXABLE SALES-EVERYDAY GIF")</f>
        <v xml:space="preserve">          4142 - NON-TAXABLE SALES-EVERYDAY GIF</v>
      </c>
      <c r="C53" s="11"/>
      <c r="D53" s="2">
        <f>--16.35</f>
        <v>16.350000000000001</v>
      </c>
      <c r="E53" s="2"/>
      <c r="F53" s="19"/>
      <c r="G53" s="2"/>
      <c r="H53" s="2"/>
      <c r="I53" s="2"/>
      <c r="J53" s="19"/>
      <c r="K53" s="2"/>
      <c r="L53" s="2">
        <f t="shared" si="0"/>
        <v>16.350000000000001</v>
      </c>
      <c r="M53" s="2"/>
      <c r="N53" s="19">
        <f t="shared" si="1"/>
        <v>0</v>
      </c>
      <c r="O53" s="11"/>
      <c r="P53" s="2">
        <f>--2604.45</f>
        <v>2604.4499999999998</v>
      </c>
      <c r="Q53" s="2"/>
      <c r="R53" s="19"/>
      <c r="S53" s="2"/>
      <c r="T53" s="2"/>
      <c r="U53" s="2"/>
      <c r="V53" s="19"/>
      <c r="W53" s="2"/>
      <c r="X53" s="2">
        <f t="shared" si="2"/>
        <v>2604.4499999999998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"4143", " - ", "NON-TAXABLE SALES-CARDS")</f>
        <v xml:space="preserve">          4143 - NON-TAXABLE SALES-CARDS</v>
      </c>
      <c r="C54" s="11"/>
      <c r="D54" s="2">
        <f>--120.71</f>
        <v>120.71</v>
      </c>
      <c r="E54" s="2"/>
      <c r="F54" s="19"/>
      <c r="G54" s="2"/>
      <c r="H54" s="2"/>
      <c r="I54" s="2"/>
      <c r="J54" s="19"/>
      <c r="K54" s="2"/>
      <c r="L54" s="2">
        <f t="shared" si="0"/>
        <v>120.71</v>
      </c>
      <c r="M54" s="2"/>
      <c r="N54" s="19">
        <f t="shared" si="1"/>
        <v>0</v>
      </c>
      <c r="O54" s="11"/>
      <c r="P54" s="2">
        <f>--2552.16</f>
        <v>2552.16</v>
      </c>
      <c r="Q54" s="2"/>
      <c r="R54" s="19"/>
      <c r="S54" s="2"/>
      <c r="T54" s="2"/>
      <c r="U54" s="2"/>
      <c r="V54" s="19"/>
      <c r="W54" s="2"/>
      <c r="X54" s="2">
        <f t="shared" si="2"/>
        <v>2552.16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"4144", " - ", "NON-TAXABLE SALES-ACCESSORIES")</f>
        <v xml:space="preserve">          4144 - NON-TAXABLE SALES-ACCESSORIES</v>
      </c>
      <c r="C55" s="11"/>
      <c r="D55" s="2">
        <f>--164.7</f>
        <v>164.7</v>
      </c>
      <c r="E55" s="2"/>
      <c r="F55" s="19"/>
      <c r="G55" s="2"/>
      <c r="H55" s="2"/>
      <c r="I55" s="2"/>
      <c r="J55" s="19"/>
      <c r="K55" s="2"/>
      <c r="L55" s="2">
        <f t="shared" si="0"/>
        <v>164.7</v>
      </c>
      <c r="M55" s="2"/>
      <c r="N55" s="19">
        <f t="shared" si="1"/>
        <v>0</v>
      </c>
      <c r="O55" s="11"/>
      <c r="P55" s="2">
        <f>--873.8</f>
        <v>873.8</v>
      </c>
      <c r="Q55" s="2"/>
      <c r="R55" s="19"/>
      <c r="S55" s="2"/>
      <c r="T55" s="2"/>
      <c r="U55" s="2"/>
      <c r="V55" s="19"/>
      <c r="W55" s="2"/>
      <c r="X55" s="2">
        <f t="shared" si="2"/>
        <v>873.8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"4145", " - ", "NON-TAXABLE SALES-SPECIAL ORDE")</f>
        <v xml:space="preserve">          4145 - NON-TAXABLE SALES-SPECIAL ORDE</v>
      </c>
      <c r="C56" s="11"/>
      <c r="D56" s="2">
        <f>0</f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--74066.89</f>
        <v>74066.89</v>
      </c>
      <c r="Q56" s="2"/>
      <c r="R56" s="19"/>
      <c r="S56" s="2"/>
      <c r="T56" s="2"/>
      <c r="U56" s="2"/>
      <c r="V56" s="19"/>
      <c r="W56" s="2"/>
      <c r="X56" s="2">
        <f t="shared" si="2"/>
        <v>74066.89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"4146", " - ", "NON-TAXABLE SALES-COIN OP MACH")</f>
        <v xml:space="preserve">          4146 - NON-TAXABLE SALES-COIN OP MACH</v>
      </c>
      <c r="C57" s="11"/>
      <c r="D57" s="2">
        <f>--56.6</f>
        <v>56.6</v>
      </c>
      <c r="E57" s="2"/>
      <c r="F57" s="19"/>
      <c r="G57" s="2"/>
      <c r="H57" s="2"/>
      <c r="I57" s="2"/>
      <c r="J57" s="19"/>
      <c r="K57" s="2"/>
      <c r="L57" s="2">
        <f t="shared" si="0"/>
        <v>56.6</v>
      </c>
      <c r="M57" s="2"/>
      <c r="N57" s="19">
        <f t="shared" si="1"/>
        <v>0</v>
      </c>
      <c r="O57" s="11"/>
      <c r="P57" s="2">
        <f>--385.9</f>
        <v>385.9</v>
      </c>
      <c r="Q57" s="2"/>
      <c r="R57" s="19"/>
      <c r="S57" s="2"/>
      <c r="T57" s="2"/>
      <c r="U57" s="2"/>
      <c r="V57" s="19"/>
      <c r="W57" s="2"/>
      <c r="X57" s="2">
        <f t="shared" si="2"/>
        <v>385.9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"4147", " - ", "NON-TAXABLE SALES-MISC")</f>
        <v xml:space="preserve">          4147 - NON-TAXABLE SALES-MISC</v>
      </c>
      <c r="C58" s="11"/>
      <c r="D58" s="2">
        <f>--13.5</f>
        <v>13.5</v>
      </c>
      <c r="E58" s="2"/>
      <c r="F58" s="19"/>
      <c r="G58" s="2"/>
      <c r="H58" s="2"/>
      <c r="I58" s="2"/>
      <c r="J58" s="19"/>
      <c r="K58" s="2"/>
      <c r="L58" s="2">
        <f t="shared" si="0"/>
        <v>13.5</v>
      </c>
      <c r="M58" s="2"/>
      <c r="N58" s="19">
        <f t="shared" si="1"/>
        <v>0</v>
      </c>
      <c r="O58" s="11"/>
      <c r="P58" s="2">
        <f>--168</f>
        <v>168</v>
      </c>
      <c r="Q58" s="2"/>
      <c r="R58" s="19"/>
      <c r="S58" s="2"/>
      <c r="T58" s="2"/>
      <c r="U58" s="2"/>
      <c r="V58" s="19"/>
      <c r="W58" s="2"/>
      <c r="X58" s="2">
        <f t="shared" si="2"/>
        <v>168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"4153", " - ", "NON-TAXABLE SALES-FOOD")</f>
        <v xml:space="preserve">          4153 - NON-TAXABLE SALES-FOOD</v>
      </c>
      <c r="C59" s="11"/>
      <c r="D59" s="2">
        <f>--4</f>
        <v>4</v>
      </c>
      <c r="E59" s="2"/>
      <c r="F59" s="19"/>
      <c r="G59" s="2"/>
      <c r="H59" s="2"/>
      <c r="I59" s="2"/>
      <c r="J59" s="19"/>
      <c r="K59" s="2"/>
      <c r="L59" s="2">
        <f t="shared" si="0"/>
        <v>4</v>
      </c>
      <c r="M59" s="2"/>
      <c r="N59" s="19">
        <f t="shared" si="1"/>
        <v>0</v>
      </c>
      <c r="O59" s="11"/>
      <c r="P59" s="2">
        <f>--400.45</f>
        <v>400.45</v>
      </c>
      <c r="Q59" s="2"/>
      <c r="R59" s="19"/>
      <c r="S59" s="2"/>
      <c r="T59" s="2"/>
      <c r="U59" s="2"/>
      <c r="V59" s="19"/>
      <c r="W59" s="2"/>
      <c r="X59" s="2">
        <f t="shared" si="2"/>
        <v>400.45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"4201", " - ", "SALES RETURN TAXABLE-NEW TEXT")</f>
        <v xml:space="preserve">          4201 - SALES RETURN TAXABLE-NEW TEXT</v>
      </c>
      <c r="C60" s="11"/>
      <c r="D60" s="2">
        <f>-658.4</f>
        <v>-658.4</v>
      </c>
      <c r="E60" s="2"/>
      <c r="F60" s="19"/>
      <c r="G60" s="2"/>
      <c r="H60" s="2"/>
      <c r="I60" s="2"/>
      <c r="J60" s="19"/>
      <c r="K60" s="2"/>
      <c r="L60" s="2">
        <f t="shared" si="0"/>
        <v>-658.4</v>
      </c>
      <c r="M60" s="2"/>
      <c r="N60" s="19">
        <f t="shared" si="1"/>
        <v>0</v>
      </c>
      <c r="O60" s="11"/>
      <c r="P60" s="2">
        <f>-52296.42</f>
        <v>-52296.42</v>
      </c>
      <c r="Q60" s="2"/>
      <c r="R60" s="19"/>
      <c r="S60" s="2"/>
      <c r="T60" s="2"/>
      <c r="U60" s="2"/>
      <c r="V60" s="19"/>
      <c r="W60" s="2"/>
      <c r="X60" s="2">
        <f t="shared" si="2"/>
        <v>-52296.42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"4202", " - ", "SALES RETURN TAXABLE-USED TEXT")</f>
        <v xml:space="preserve">          4202 - SALES RETURN TAXABLE-USED TEXT</v>
      </c>
      <c r="C61" s="11"/>
      <c r="D61" s="2">
        <f>-359.4</f>
        <v>-359.4</v>
      </c>
      <c r="E61" s="2"/>
      <c r="F61" s="19"/>
      <c r="G61" s="2"/>
      <c r="H61" s="2"/>
      <c r="I61" s="2"/>
      <c r="J61" s="19"/>
      <c r="K61" s="2"/>
      <c r="L61" s="2">
        <f t="shared" si="0"/>
        <v>-359.4</v>
      </c>
      <c r="M61" s="2"/>
      <c r="N61" s="19">
        <f t="shared" si="1"/>
        <v>0</v>
      </c>
      <c r="O61" s="11"/>
      <c r="P61" s="2">
        <f>-20455.66</f>
        <v>-20455.66</v>
      </c>
      <c r="Q61" s="2"/>
      <c r="R61" s="19"/>
      <c r="S61" s="2"/>
      <c r="T61" s="2"/>
      <c r="U61" s="2"/>
      <c r="V61" s="19"/>
      <c r="W61" s="2"/>
      <c r="X61" s="2">
        <f t="shared" si="2"/>
        <v>-20455.66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"4204", " - ", "SALES RETURN TAXABLE-DIGITAL T")</f>
        <v xml:space="preserve">          4204 - SALES RETURN TAXABLE-DIGITAL T</v>
      </c>
      <c r="C62" s="11"/>
      <c r="D62" s="2">
        <f>0</f>
        <v>0</v>
      </c>
      <c r="E62" s="2"/>
      <c r="F62" s="19"/>
      <c r="G62" s="2"/>
      <c r="H62" s="2"/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-1763.1</f>
        <v>-1763.1</v>
      </c>
      <c r="Q62" s="2"/>
      <c r="R62" s="19"/>
      <c r="S62" s="2"/>
      <c r="T62" s="2"/>
      <c r="U62" s="2"/>
      <c r="V62" s="19"/>
      <c r="W62" s="2"/>
      <c r="X62" s="2">
        <f t="shared" si="2"/>
        <v>-1763.1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"4213", " - ", "NON-TAXABLE SALES-TRADE BOOKS")</f>
        <v xml:space="preserve">          4213 - NON-TAXABLE SALES-TRADE BOOKS</v>
      </c>
      <c r="C63" s="11"/>
      <c r="D63" s="2">
        <f>-8.99</f>
        <v>-8.99</v>
      </c>
      <c r="E63" s="2"/>
      <c r="F63" s="19"/>
      <c r="G63" s="2"/>
      <c r="H63" s="2"/>
      <c r="I63" s="2"/>
      <c r="J63" s="19"/>
      <c r="K63" s="2"/>
      <c r="L63" s="2">
        <f t="shared" si="0"/>
        <v>-8.99</v>
      </c>
      <c r="M63" s="2"/>
      <c r="N63" s="19">
        <f t="shared" si="1"/>
        <v>0</v>
      </c>
      <c r="O63" s="11"/>
      <c r="P63" s="2">
        <f>-78.92</f>
        <v>-78.92</v>
      </c>
      <c r="Q63" s="2"/>
      <c r="R63" s="19"/>
      <c r="S63" s="2"/>
      <c r="T63" s="2"/>
      <c r="U63" s="2"/>
      <c r="V63" s="19"/>
      <c r="W63" s="2"/>
      <c r="X63" s="2">
        <f t="shared" si="2"/>
        <v>-78.92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"4218", " - ", "SALES RETURN TAXABLE-STUDY GUI")</f>
        <v xml:space="preserve">          4218 - SALES RETURN TAXABLE-STUDY GUI</v>
      </c>
      <c r="C64" s="11"/>
      <c r="D64" s="2">
        <f>0</f>
        <v>0</v>
      </c>
      <c r="E64" s="2"/>
      <c r="F64" s="19"/>
      <c r="G64" s="2"/>
      <c r="H64" s="2"/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>-5.21</f>
        <v>-5.21</v>
      </c>
      <c r="Q64" s="2"/>
      <c r="R64" s="19"/>
      <c r="S64" s="2"/>
      <c r="T64" s="2"/>
      <c r="U64" s="2"/>
      <c r="V64" s="19"/>
      <c r="W64" s="2"/>
      <c r="X64" s="2">
        <f t="shared" si="2"/>
        <v>-5.21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"4226", " - ", "SALES RETURN TAXABLE-WRITING I")</f>
        <v xml:space="preserve">          4226 - SALES RETURN TAXABLE-WRITING I</v>
      </c>
      <c r="C65" s="11"/>
      <c r="D65" s="2">
        <f>-0.79</f>
        <v>-0.79</v>
      </c>
      <c r="E65" s="2"/>
      <c r="F65" s="19"/>
      <c r="G65" s="2"/>
      <c r="H65" s="2"/>
      <c r="I65" s="2"/>
      <c r="J65" s="19"/>
      <c r="K65" s="2"/>
      <c r="L65" s="2">
        <f t="shared" si="0"/>
        <v>-0.79</v>
      </c>
      <c r="M65" s="2"/>
      <c r="N65" s="19">
        <f t="shared" si="1"/>
        <v>0</v>
      </c>
      <c r="O65" s="11"/>
      <c r="P65" s="2">
        <f>-35.02</f>
        <v>-35.020000000000003</v>
      </c>
      <c r="Q65" s="2"/>
      <c r="R65" s="19"/>
      <c r="S65" s="2"/>
      <c r="T65" s="2"/>
      <c r="U65" s="2"/>
      <c r="V65" s="19"/>
      <c r="W65" s="2"/>
      <c r="X65" s="2">
        <f t="shared" si="2"/>
        <v>-35.020000000000003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"4227", " - ", "SALES RETURN TAXABLE-SCHOOL SU")</f>
        <v xml:space="preserve">          4227 - SALES RETURN TAXABLE-SCHOOL SU</v>
      </c>
      <c r="C66" s="11"/>
      <c r="D66" s="2">
        <f>-137.82</f>
        <v>-137.82</v>
      </c>
      <c r="E66" s="2"/>
      <c r="F66" s="19"/>
      <c r="G66" s="2"/>
      <c r="H66" s="2"/>
      <c r="I66" s="2"/>
      <c r="J66" s="19"/>
      <c r="K66" s="2"/>
      <c r="L66" s="2">
        <f t="shared" si="0"/>
        <v>-137.82</v>
      </c>
      <c r="M66" s="2"/>
      <c r="N66" s="19">
        <f t="shared" si="1"/>
        <v>0</v>
      </c>
      <c r="O66" s="11"/>
      <c r="P66" s="2">
        <f>-1484.48</f>
        <v>-1484.48</v>
      </c>
      <c r="Q66" s="2"/>
      <c r="R66" s="19"/>
      <c r="S66" s="2"/>
      <c r="T66" s="2"/>
      <c r="U66" s="2"/>
      <c r="V66" s="19"/>
      <c r="W66" s="2"/>
      <c r="X66" s="2">
        <f t="shared" si="2"/>
        <v>-1484.48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"4228", " - ", "SALES RETURN TAXABLE-ART/TECH")</f>
        <v xml:space="preserve">          4228 - SALES RETURN TAXABLE-ART/TECH</v>
      </c>
      <c r="C67" s="11"/>
      <c r="D67" s="2">
        <f>0</f>
        <v>0</v>
      </c>
      <c r="E67" s="2"/>
      <c r="F67" s="19"/>
      <c r="G67" s="2"/>
      <c r="H67" s="2"/>
      <c r="I67" s="2"/>
      <c r="J67" s="19"/>
      <c r="K67" s="2"/>
      <c r="L67" s="2">
        <f t="shared" si="0"/>
        <v>0</v>
      </c>
      <c r="M67" s="2"/>
      <c r="N67" s="19">
        <f t="shared" si="1"/>
        <v>0</v>
      </c>
      <c r="O67" s="11"/>
      <c r="P67" s="2">
        <f>-12973.73</f>
        <v>-12973.73</v>
      </c>
      <c r="Q67" s="2"/>
      <c r="R67" s="19"/>
      <c r="S67" s="2"/>
      <c r="T67" s="2"/>
      <c r="U67" s="2"/>
      <c r="V67" s="19"/>
      <c r="W67" s="2"/>
      <c r="X67" s="2">
        <f t="shared" si="2"/>
        <v>-12973.73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"4240", " - ", "SALES RETURN TAXABLE-LOGO CLOT")</f>
        <v xml:space="preserve">          4240 - SALES RETURN TAXABLE-LOGO CLOT</v>
      </c>
      <c r="C68" s="11"/>
      <c r="D68" s="2">
        <f>-6427.17</f>
        <v>-6427.17</v>
      </c>
      <c r="E68" s="2"/>
      <c r="F68" s="19"/>
      <c r="G68" s="2"/>
      <c r="H68" s="2"/>
      <c r="I68" s="2"/>
      <c r="J68" s="19"/>
      <c r="K68" s="2"/>
      <c r="L68" s="2">
        <f t="shared" si="0"/>
        <v>-6427.17</v>
      </c>
      <c r="M68" s="2"/>
      <c r="N68" s="19">
        <f t="shared" si="1"/>
        <v>0</v>
      </c>
      <c r="O68" s="11"/>
      <c r="P68" s="2">
        <f>-47093.44</f>
        <v>-47093.440000000002</v>
      </c>
      <c r="Q68" s="2"/>
      <c r="R68" s="19"/>
      <c r="S68" s="2"/>
      <c r="T68" s="2"/>
      <c r="U68" s="2"/>
      <c r="V68" s="19"/>
      <c r="W68" s="2"/>
      <c r="X68" s="2">
        <f t="shared" si="2"/>
        <v>-47093.440000000002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"4241", " - ", "SALES RETURN TAXABLE-LOGO GIFT")</f>
        <v xml:space="preserve">          4241 - SALES RETURN TAXABLE-LOGO GIFT</v>
      </c>
      <c r="C69" s="11"/>
      <c r="D69" s="2">
        <f>-4505.29</f>
        <v>-4505.29</v>
      </c>
      <c r="E69" s="2"/>
      <c r="F69" s="19"/>
      <c r="G69" s="2"/>
      <c r="H69" s="2"/>
      <c r="I69" s="2"/>
      <c r="J69" s="19"/>
      <c r="K69" s="2"/>
      <c r="L69" s="2">
        <f t="shared" si="0"/>
        <v>-4505.29</v>
      </c>
      <c r="M69" s="2"/>
      <c r="N69" s="19">
        <f t="shared" si="1"/>
        <v>0</v>
      </c>
      <c r="O69" s="11"/>
      <c r="P69" s="2">
        <f>-16680.54</f>
        <v>-16680.54</v>
      </c>
      <c r="Q69" s="2"/>
      <c r="R69" s="19"/>
      <c r="S69" s="2"/>
      <c r="T69" s="2"/>
      <c r="U69" s="2"/>
      <c r="V69" s="19"/>
      <c r="W69" s="2"/>
      <c r="X69" s="2">
        <f t="shared" si="2"/>
        <v>-16680.54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"4242", " - ", "SALES RETURN TAXABLE-EVERYDAY")</f>
        <v xml:space="preserve">          4242 - SALES RETURN TAXABLE-EVERYDAY</v>
      </c>
      <c r="C70" s="11"/>
      <c r="D70" s="2">
        <f>-107</f>
        <v>-107</v>
      </c>
      <c r="E70" s="2"/>
      <c r="F70" s="19"/>
      <c r="G70" s="2"/>
      <c r="H70" s="2"/>
      <c r="I70" s="2"/>
      <c r="J70" s="19"/>
      <c r="K70" s="2"/>
      <c r="L70" s="2">
        <f t="shared" si="0"/>
        <v>-107</v>
      </c>
      <c r="M70" s="2"/>
      <c r="N70" s="19">
        <f t="shared" si="1"/>
        <v>0</v>
      </c>
      <c r="O70" s="11"/>
      <c r="P70" s="2">
        <f>-2743.09</f>
        <v>-2743.09</v>
      </c>
      <c r="Q70" s="2"/>
      <c r="R70" s="19"/>
      <c r="S70" s="2"/>
      <c r="T70" s="2"/>
      <c r="U70" s="2"/>
      <c r="V70" s="19"/>
      <c r="W70" s="2"/>
      <c r="X70" s="2">
        <f t="shared" si="2"/>
        <v>-2743.09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"4243", " - ", "SALES RETURN TAXABLE-CARDS")</f>
        <v xml:space="preserve">          4243 - SALES RETURN TAXABLE-CARDS</v>
      </c>
      <c r="C71" s="11"/>
      <c r="D71" s="2">
        <f>-76.9</f>
        <v>-76.900000000000006</v>
      </c>
      <c r="E71" s="2"/>
      <c r="F71" s="19"/>
      <c r="G71" s="2"/>
      <c r="H71" s="2"/>
      <c r="I71" s="2"/>
      <c r="J71" s="19"/>
      <c r="K71" s="2"/>
      <c r="L71" s="2">
        <f t="shared" si="0"/>
        <v>-76.900000000000006</v>
      </c>
      <c r="M71" s="2"/>
      <c r="N71" s="19">
        <f t="shared" si="1"/>
        <v>0</v>
      </c>
      <c r="O71" s="11"/>
      <c r="P71" s="2">
        <f>-6218.99</f>
        <v>-6218.99</v>
      </c>
      <c r="Q71" s="2"/>
      <c r="R71" s="19"/>
      <c r="S71" s="2"/>
      <c r="T71" s="2"/>
      <c r="U71" s="2"/>
      <c r="V71" s="19"/>
      <c r="W71" s="2"/>
      <c r="X71" s="2">
        <f t="shared" si="2"/>
        <v>-6218.99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"4244", " - ", "SALES RETURN TAXABLE-ACCESSORI")</f>
        <v xml:space="preserve">          4244 - SALES RETURN TAXABLE-ACCESSORI</v>
      </c>
      <c r="C72" s="11"/>
      <c r="D72" s="2">
        <f>-24.41</f>
        <v>-24.41</v>
      </c>
      <c r="E72" s="2"/>
      <c r="F72" s="19"/>
      <c r="G72" s="2"/>
      <c r="H72" s="2"/>
      <c r="I72" s="2"/>
      <c r="J72" s="19"/>
      <c r="K72" s="2"/>
      <c r="L72" s="2">
        <f t="shared" si="0"/>
        <v>-24.41</v>
      </c>
      <c r="M72" s="2"/>
      <c r="N72" s="19">
        <f t="shared" si="1"/>
        <v>0</v>
      </c>
      <c r="O72" s="11"/>
      <c r="P72" s="2">
        <f>-1267.91</f>
        <v>-1267.9100000000001</v>
      </c>
      <c r="Q72" s="2"/>
      <c r="R72" s="19"/>
      <c r="S72" s="2"/>
      <c r="T72" s="2"/>
      <c r="U72" s="2"/>
      <c r="V72" s="19"/>
      <c r="W72" s="2"/>
      <c r="X72" s="2">
        <f t="shared" si="2"/>
        <v>-1267.9100000000001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"4245", " - ", "SALES RETURN TAXABLE-SPECIAL O")</f>
        <v xml:space="preserve">          4245 - SALES RETURN TAXABLE-SPECIAL O</v>
      </c>
      <c r="C73" s="11"/>
      <c r="D73" s="2">
        <f>-36</f>
        <v>-36</v>
      </c>
      <c r="E73" s="2"/>
      <c r="F73" s="19"/>
      <c r="G73" s="2"/>
      <c r="H73" s="2"/>
      <c r="I73" s="2"/>
      <c r="J73" s="19"/>
      <c r="K73" s="2"/>
      <c r="L73" s="2">
        <f t="shared" si="0"/>
        <v>-36</v>
      </c>
      <c r="M73" s="2"/>
      <c r="N73" s="19">
        <f t="shared" si="1"/>
        <v>0</v>
      </c>
      <c r="O73" s="11"/>
      <c r="P73" s="2">
        <f>-15460.73</f>
        <v>-15460.73</v>
      </c>
      <c r="Q73" s="2"/>
      <c r="R73" s="19"/>
      <c r="S73" s="2"/>
      <c r="T73" s="2"/>
      <c r="U73" s="2"/>
      <c r="V73" s="19"/>
      <c r="W73" s="2"/>
      <c r="X73" s="2">
        <f t="shared" si="2"/>
        <v>-15460.73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"4301", " - ", "SALES RETURN NON TAXABLE-NEW T")</f>
        <v xml:space="preserve">          4301 - SALES RETURN NON TAXABLE-NEW T</v>
      </c>
      <c r="C74" s="11"/>
      <c r="D74" s="2">
        <f>-1333.16</f>
        <v>-1333.16</v>
      </c>
      <c r="E74" s="2"/>
      <c r="F74" s="19"/>
      <c r="G74" s="2"/>
      <c r="H74" s="2"/>
      <c r="I74" s="2"/>
      <c r="J74" s="19"/>
      <c r="K74" s="2"/>
      <c r="L74" s="2">
        <f t="shared" si="0"/>
        <v>-1333.16</v>
      </c>
      <c r="M74" s="2"/>
      <c r="N74" s="19">
        <f t="shared" si="1"/>
        <v>0</v>
      </c>
      <c r="O74" s="11"/>
      <c r="P74" s="2">
        <f>-4796.36</f>
        <v>-4796.3599999999997</v>
      </c>
      <c r="Q74" s="2"/>
      <c r="R74" s="19"/>
      <c r="S74" s="2"/>
      <c r="T74" s="2"/>
      <c r="U74" s="2"/>
      <c r="V74" s="19"/>
      <c r="W74" s="2"/>
      <c r="X74" s="2">
        <f t="shared" si="2"/>
        <v>-4796.3599999999997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"4302", " - ", "SALES RETURN NON TAXABLE-TEXT")</f>
        <v xml:space="preserve">          4302 - SALES RETURN NON TAXABLE-TEXT</v>
      </c>
      <c r="C75" s="11"/>
      <c r="D75" s="2">
        <f>-134.22</f>
        <v>-134.22</v>
      </c>
      <c r="E75" s="2"/>
      <c r="F75" s="19"/>
      <c r="G75" s="2"/>
      <c r="H75" s="2"/>
      <c r="I75" s="2"/>
      <c r="J75" s="19"/>
      <c r="K75" s="2"/>
      <c r="L75" s="2">
        <f t="shared" si="0"/>
        <v>-134.22</v>
      </c>
      <c r="M75" s="2"/>
      <c r="N75" s="19">
        <f t="shared" si="1"/>
        <v>0</v>
      </c>
      <c r="O75" s="11"/>
      <c r="P75" s="2">
        <f>-2577.54</f>
        <v>-2577.54</v>
      </c>
      <c r="Q75" s="2"/>
      <c r="R75" s="19"/>
      <c r="S75" s="2"/>
      <c r="T75" s="2"/>
      <c r="U75" s="2"/>
      <c r="V75" s="19"/>
      <c r="W75" s="2"/>
      <c r="X75" s="2">
        <f t="shared" si="2"/>
        <v>-2577.54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"4304", " - ", "SALES RETURN NON TAXABLE-DIGIT")</f>
        <v xml:space="preserve">          4304 - SALES RETURN NON TAXABLE-DIGIT</v>
      </c>
      <c r="C76" s="11"/>
      <c r="D76" s="2">
        <f>-3338.22</f>
        <v>-3338.22</v>
      </c>
      <c r="E76" s="2"/>
      <c r="F76" s="19"/>
      <c r="G76" s="2"/>
      <c r="H76" s="2"/>
      <c r="I76" s="2"/>
      <c r="J76" s="19"/>
      <c r="K76" s="2"/>
      <c r="L76" s="2">
        <f t="shared" si="0"/>
        <v>-3338.22</v>
      </c>
      <c r="M76" s="2"/>
      <c r="N76" s="19">
        <f t="shared" si="1"/>
        <v>0</v>
      </c>
      <c r="O76" s="11"/>
      <c r="P76" s="2">
        <f>-30881.98</f>
        <v>-30881.98</v>
      </c>
      <c r="Q76" s="2"/>
      <c r="R76" s="19"/>
      <c r="S76" s="2"/>
      <c r="T76" s="2"/>
      <c r="U76" s="2"/>
      <c r="V76" s="19"/>
      <c r="W76" s="2"/>
      <c r="X76" s="2">
        <f t="shared" si="2"/>
        <v>-30881.98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"4327", " - ", "SALES RETURN NON TAXABLE-SCHOO")</f>
        <v xml:space="preserve">          4327 - SALES RETURN NON TAXABLE-SCHOO</v>
      </c>
      <c r="C77" s="11"/>
      <c r="D77" s="2">
        <f>-17.41</f>
        <v>-17.41</v>
      </c>
      <c r="E77" s="2"/>
      <c r="F77" s="19"/>
      <c r="G77" s="2"/>
      <c r="H77" s="2"/>
      <c r="I77" s="2"/>
      <c r="J77" s="19"/>
      <c r="K77" s="2"/>
      <c r="L77" s="2">
        <f t="shared" si="0"/>
        <v>-17.41</v>
      </c>
      <c r="M77" s="2"/>
      <c r="N77" s="19">
        <f t="shared" si="1"/>
        <v>0</v>
      </c>
      <c r="O77" s="11"/>
      <c r="P77" s="2">
        <f>-17.41</f>
        <v>-17.41</v>
      </c>
      <c r="Q77" s="2"/>
      <c r="R77" s="19"/>
      <c r="S77" s="2"/>
      <c r="T77" s="2"/>
      <c r="U77" s="2"/>
      <c r="V77" s="19"/>
      <c r="W77" s="2"/>
      <c r="X77" s="2">
        <f t="shared" si="2"/>
        <v>-17.41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"4340", " - ", "SALES RETURN NON TAXABLE-LOGO")</f>
        <v xml:space="preserve">          4340 - SALES RETURN NON TAXABLE-LOGO</v>
      </c>
      <c r="C78" s="11"/>
      <c r="D78" s="2">
        <f>-143.74</f>
        <v>-143.74</v>
      </c>
      <c r="E78" s="2"/>
      <c r="F78" s="19"/>
      <c r="G78" s="2"/>
      <c r="H78" s="2"/>
      <c r="I78" s="2"/>
      <c r="J78" s="19"/>
      <c r="K78" s="2"/>
      <c r="L78" s="2">
        <f t="shared" si="0"/>
        <v>-143.74</v>
      </c>
      <c r="M78" s="2"/>
      <c r="N78" s="19">
        <f t="shared" si="1"/>
        <v>0</v>
      </c>
      <c r="O78" s="11"/>
      <c r="P78" s="2">
        <f>-3451.26</f>
        <v>-3451.26</v>
      </c>
      <c r="Q78" s="2"/>
      <c r="R78" s="19"/>
      <c r="S78" s="2"/>
      <c r="T78" s="2"/>
      <c r="U78" s="2"/>
      <c r="V78" s="19"/>
      <c r="W78" s="2"/>
      <c r="X78" s="2">
        <f t="shared" si="2"/>
        <v>-3451.26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"4341", " - ", "SALES RETURN NON TAXABLE-LOGO")</f>
        <v xml:space="preserve">          4341 - SALES RETURN NON TAXABLE-LOGO</v>
      </c>
      <c r="C79" s="11"/>
      <c r="D79" s="2">
        <f>-104.3</f>
        <v>-104.3</v>
      </c>
      <c r="E79" s="2"/>
      <c r="F79" s="19"/>
      <c r="G79" s="2"/>
      <c r="H79" s="2"/>
      <c r="I79" s="2"/>
      <c r="J79" s="19"/>
      <c r="K79" s="2"/>
      <c r="L79" s="2">
        <f t="shared" si="0"/>
        <v>-104.3</v>
      </c>
      <c r="M79" s="2"/>
      <c r="N79" s="19">
        <f t="shared" si="1"/>
        <v>0</v>
      </c>
      <c r="O79" s="11"/>
      <c r="P79" s="2">
        <f>-506.74</f>
        <v>-506.74</v>
      </c>
      <c r="Q79" s="2"/>
      <c r="R79" s="19"/>
      <c r="S79" s="2"/>
      <c r="T79" s="2"/>
      <c r="U79" s="2"/>
      <c r="V79" s="19"/>
      <c r="W79" s="2"/>
      <c r="X79" s="2">
        <f t="shared" si="2"/>
        <v>-506.74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"4342", " - ", "SALES RETURN NON TAXABLE-EVERY")</f>
        <v xml:space="preserve">          4342 - SALES RETURN NON TAXABLE-EVERY</v>
      </c>
      <c r="C80" s="11"/>
      <c r="D80" s="2">
        <f>0</f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-118.7</f>
        <v>-118.7</v>
      </c>
      <c r="Q80" s="2"/>
      <c r="R80" s="19"/>
      <c r="S80" s="2"/>
      <c r="T80" s="2"/>
      <c r="U80" s="2"/>
      <c r="V80" s="19"/>
      <c r="W80" s="2"/>
      <c r="X80" s="2">
        <f t="shared" si="2"/>
        <v>-118.7</v>
      </c>
      <c r="Y80" s="2"/>
      <c r="Z80" s="19">
        <f t="shared" si="3"/>
        <v>0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collapsed="1" x14ac:dyDescent="0.25">
      <c r="A82" s="10"/>
      <c r="B82" s="29" t="s">
        <v>257</v>
      </c>
      <c r="C82" s="10"/>
      <c r="D82" s="4">
        <f>SUM(OSRRefD16x_0)</f>
        <v>248594.07</v>
      </c>
      <c r="E82" s="4"/>
      <c r="F82" s="12">
        <f t="shared" ref="F82:F123" si="8">IF(D$12=0,0,D82/D$12)</f>
        <v>0.49054968804755245</v>
      </c>
      <c r="G82" s="4"/>
      <c r="H82" s="4">
        <f>SUM(OSRRefH16x_0)</f>
        <v>287379</v>
      </c>
      <c r="I82" s="4"/>
      <c r="J82" s="12">
        <f t="shared" ref="J82:J123" si="9">IF(H$12=0,0,H82/H$12)</f>
        <v>0.45564869677169761</v>
      </c>
      <c r="K82" s="4"/>
      <c r="L82" s="4">
        <f t="shared" ref="L82:L123" si="10">+D82-H82</f>
        <v>-38784.929999999993</v>
      </c>
      <c r="M82" s="4"/>
      <c r="N82" s="12">
        <f t="shared" ref="N82:N123" si="11">IF(H82=0,0,L82/H82)</f>
        <v>-0.13496090528535484</v>
      </c>
      <c r="O82" s="10"/>
      <c r="P82" s="4">
        <f>SUM(OSRRefP16x_0)</f>
        <v>3221171.6600000015</v>
      </c>
      <c r="Q82" s="4"/>
      <c r="R82" s="12">
        <f t="shared" ref="R82:R123" si="12">IF(P$12=0,0,P82/P$12)</f>
        <v>0.6179968220732206</v>
      </c>
      <c r="S82" s="4"/>
      <c r="T82" s="4">
        <f>SUM(OSRRefT16x_0)</f>
        <v>5329237</v>
      </c>
      <c r="U82" s="4"/>
      <c r="V82" s="12">
        <f t="shared" ref="V82:V123" si="13">IF(T$12=0,0,T82/T$12)</f>
        <v>0.56839598618717324</v>
      </c>
      <c r="W82" s="4"/>
      <c r="X82" s="4">
        <f t="shared" ref="X82:X123" si="14">+P82-T82</f>
        <v>-2108065.3399999985</v>
      </c>
      <c r="Y82" s="4"/>
      <c r="Z82" s="12">
        <f t="shared" ref="Z82:Z123" si="15">IF(T82=0,0,X82/T82)</f>
        <v>-0.3955660707151884</v>
      </c>
    </row>
    <row r="83" spans="1:26" s="24" customFormat="1" hidden="1" outlineLevel="1" x14ac:dyDescent="0.25">
      <c r="A83" s="44"/>
      <c r="B83" s="11" t="str">
        <f>CONCATENATE("          ", "5000", " - ", "PURCHASES @ COST")</f>
        <v xml:space="preserve">          5000 - PURCHASES @ COST</v>
      </c>
      <c r="C83" s="11"/>
      <c r="D83" s="2"/>
      <c r="E83" s="2"/>
      <c r="F83" s="19">
        <f t="shared" si="8"/>
        <v>0</v>
      </c>
      <c r="G83" s="2"/>
      <c r="H83" s="2">
        <v>287379</v>
      </c>
      <c r="I83" s="2"/>
      <c r="J83" s="19">
        <f t="shared" si="9"/>
        <v>0.45564869677169761</v>
      </c>
      <c r="K83" s="2"/>
      <c r="L83" s="2">
        <f t="shared" si="10"/>
        <v>-287379</v>
      </c>
      <c r="M83" s="2"/>
      <c r="N83" s="19">
        <f t="shared" si="11"/>
        <v>-1</v>
      </c>
      <c r="O83" s="11"/>
      <c r="P83" s="2">
        <v>0</v>
      </c>
      <c r="Q83" s="2"/>
      <c r="R83" s="19">
        <f t="shared" si="12"/>
        <v>0</v>
      </c>
      <c r="S83" s="2"/>
      <c r="T83" s="2">
        <v>5329237</v>
      </c>
      <c r="U83" s="2"/>
      <c r="V83" s="19">
        <f t="shared" si="13"/>
        <v>0.56839598618717324</v>
      </c>
      <c r="W83" s="2"/>
      <c r="X83" s="2">
        <f t="shared" si="14"/>
        <v>-5329237</v>
      </c>
      <c r="Y83" s="2"/>
      <c r="Z83" s="19">
        <f t="shared" si="15"/>
        <v>-1</v>
      </c>
    </row>
    <row r="84" spans="1:26" s="24" customFormat="1" hidden="1" outlineLevel="1" x14ac:dyDescent="0.25">
      <c r="A84" s="44"/>
      <c r="B84" s="11" t="str">
        <f>CONCATENATE("          ", "5001", " - ", "PURCHASES @ COST-NEW TEXT")</f>
        <v xml:space="preserve">          5001 - PURCHASES @ COST-NEW TEXT</v>
      </c>
      <c r="C84" s="11"/>
      <c r="D84" s="2">
        <v>65020.01</v>
      </c>
      <c r="E84" s="2"/>
      <c r="F84" s="19">
        <f t="shared" si="8"/>
        <v>0.12830372672344414</v>
      </c>
      <c r="G84" s="2"/>
      <c r="H84" s="2"/>
      <c r="I84" s="2"/>
      <c r="J84" s="19">
        <f t="shared" si="9"/>
        <v>0</v>
      </c>
      <c r="K84" s="2"/>
      <c r="L84" s="2">
        <f t="shared" si="10"/>
        <v>65020.01</v>
      </c>
      <c r="M84" s="2"/>
      <c r="N84" s="19">
        <f t="shared" si="11"/>
        <v>0</v>
      </c>
      <c r="O84" s="11"/>
      <c r="P84" s="2">
        <v>1071566.48</v>
      </c>
      <c r="Q84" s="2"/>
      <c r="R84" s="19">
        <f t="shared" si="12"/>
        <v>0.20558503214950891</v>
      </c>
      <c r="S84" s="2"/>
      <c r="T84" s="2"/>
      <c r="U84" s="2"/>
      <c r="V84" s="19">
        <f t="shared" si="13"/>
        <v>0</v>
      </c>
      <c r="W84" s="2"/>
      <c r="X84" s="2">
        <f t="shared" si="14"/>
        <v>1071566.48</v>
      </c>
      <c r="Y84" s="2"/>
      <c r="Z84" s="19">
        <f t="shared" si="15"/>
        <v>0</v>
      </c>
    </row>
    <row r="85" spans="1:26" s="24" customFormat="1" hidden="1" outlineLevel="1" x14ac:dyDescent="0.25">
      <c r="A85" s="44"/>
      <c r="B85" s="11" t="str">
        <f>CONCATENATE("          ", "5002", " - ", "PURCHASES @ COST-USED TEXT")</f>
        <v xml:space="preserve">          5002 - PURCHASES @ COST-USED TEXT</v>
      </c>
      <c r="C85" s="11"/>
      <c r="D85" s="2">
        <v>4952.26</v>
      </c>
      <c r="E85" s="2"/>
      <c r="F85" s="19">
        <f t="shared" si="8"/>
        <v>9.772274930493605E-3</v>
      </c>
      <c r="G85" s="2"/>
      <c r="H85" s="2"/>
      <c r="I85" s="2"/>
      <c r="J85" s="19">
        <f t="shared" si="9"/>
        <v>0</v>
      </c>
      <c r="K85" s="2"/>
      <c r="L85" s="2">
        <f t="shared" si="10"/>
        <v>4952.26</v>
      </c>
      <c r="M85" s="2"/>
      <c r="N85" s="19">
        <f t="shared" si="11"/>
        <v>0</v>
      </c>
      <c r="O85" s="11"/>
      <c r="P85" s="2">
        <v>279913.28000000003</v>
      </c>
      <c r="Q85" s="2"/>
      <c r="R85" s="19">
        <f t="shared" si="12"/>
        <v>5.3702669635461622E-2</v>
      </c>
      <c r="S85" s="2"/>
      <c r="T85" s="2"/>
      <c r="U85" s="2"/>
      <c r="V85" s="19">
        <f t="shared" si="13"/>
        <v>0</v>
      </c>
      <c r="W85" s="2"/>
      <c r="X85" s="2">
        <f t="shared" si="14"/>
        <v>279913.28000000003</v>
      </c>
      <c r="Y85" s="2"/>
      <c r="Z85" s="19">
        <f t="shared" si="15"/>
        <v>0</v>
      </c>
    </row>
    <row r="86" spans="1:26" s="24" customFormat="1" hidden="1" outlineLevel="1" x14ac:dyDescent="0.25">
      <c r="A86" s="44"/>
      <c r="B86" s="11" t="str">
        <f>CONCATENATE("          ", "5003", " - ", "PURCHASES @ COST-RENTAL TEXT")</f>
        <v xml:space="preserve">          5003 - PURCHASES @ COST-RENTAL TEXT</v>
      </c>
      <c r="C86" s="11"/>
      <c r="D86" s="2">
        <v>7179.56</v>
      </c>
      <c r="E86" s="2"/>
      <c r="F86" s="19">
        <f t="shared" si="8"/>
        <v>1.416739714796369E-2</v>
      </c>
      <c r="G86" s="2"/>
      <c r="H86" s="2"/>
      <c r="I86" s="2"/>
      <c r="J86" s="19">
        <f t="shared" si="9"/>
        <v>0</v>
      </c>
      <c r="K86" s="2"/>
      <c r="L86" s="2">
        <f t="shared" si="10"/>
        <v>7179.56</v>
      </c>
      <c r="M86" s="2"/>
      <c r="N86" s="19">
        <f t="shared" si="11"/>
        <v>0</v>
      </c>
      <c r="O86" s="11"/>
      <c r="P86" s="2">
        <v>7212.08</v>
      </c>
      <c r="Q86" s="2"/>
      <c r="R86" s="19">
        <f t="shared" si="12"/>
        <v>1.3836712199739862E-3</v>
      </c>
      <c r="S86" s="2"/>
      <c r="T86" s="2"/>
      <c r="U86" s="2"/>
      <c r="V86" s="19">
        <f t="shared" si="13"/>
        <v>0</v>
      </c>
      <c r="W86" s="2"/>
      <c r="X86" s="2">
        <f t="shared" si="14"/>
        <v>7212.08</v>
      </c>
      <c r="Y86" s="2"/>
      <c r="Z86" s="19">
        <f t="shared" si="15"/>
        <v>0</v>
      </c>
    </row>
    <row r="87" spans="1:26" s="24" customFormat="1" hidden="1" outlineLevel="1" x14ac:dyDescent="0.25">
      <c r="A87" s="44"/>
      <c r="B87" s="11" t="str">
        <f>CONCATENATE("          ", "5004", " - ", "PURCHASES @ COST-DIGITAL TEXT")</f>
        <v xml:space="preserve">          5004 - PURCHASES @ COST-DIGITAL TEXT</v>
      </c>
      <c r="C87" s="11"/>
      <c r="D87" s="2">
        <v>-7843.95</v>
      </c>
      <c r="E87" s="2"/>
      <c r="F87" s="19">
        <f t="shared" si="8"/>
        <v>-1.5478435288342151E-2</v>
      </c>
      <c r="G87" s="2"/>
      <c r="H87" s="2"/>
      <c r="I87" s="2"/>
      <c r="J87" s="19">
        <f t="shared" si="9"/>
        <v>0</v>
      </c>
      <c r="K87" s="2"/>
      <c r="L87" s="2">
        <f t="shared" si="10"/>
        <v>-7843.95</v>
      </c>
      <c r="M87" s="2"/>
      <c r="N87" s="19">
        <f t="shared" si="11"/>
        <v>0</v>
      </c>
      <c r="O87" s="11"/>
      <c r="P87" s="2">
        <v>199606.43</v>
      </c>
      <c r="Q87" s="2"/>
      <c r="R87" s="19">
        <f t="shared" si="12"/>
        <v>3.8295425523947615E-2</v>
      </c>
      <c r="S87" s="2"/>
      <c r="T87" s="2"/>
      <c r="U87" s="2"/>
      <c r="V87" s="19">
        <f t="shared" si="13"/>
        <v>0</v>
      </c>
      <c r="W87" s="2"/>
      <c r="X87" s="2">
        <f t="shared" si="14"/>
        <v>199606.43</v>
      </c>
      <c r="Y87" s="2"/>
      <c r="Z87" s="19">
        <f t="shared" si="15"/>
        <v>0</v>
      </c>
    </row>
    <row r="88" spans="1:26" s="24" customFormat="1" hidden="1" outlineLevel="1" x14ac:dyDescent="0.25">
      <c r="A88" s="44"/>
      <c r="B88" s="11" t="str">
        <f>CONCATENATE("          ", "5011", " - ", "PURCHASES @ COST-NO VALUE TEXT")</f>
        <v xml:space="preserve">          5011 - PURCHASES @ COST-NO VALUE TEXT</v>
      </c>
      <c r="C88" s="11"/>
      <c r="D88" s="2"/>
      <c r="E88" s="2"/>
      <c r="F88" s="19">
        <f t="shared" si="8"/>
        <v>0</v>
      </c>
      <c r="G88" s="2"/>
      <c r="H88" s="2"/>
      <c r="I88" s="2"/>
      <c r="J88" s="19">
        <f t="shared" si="9"/>
        <v>0</v>
      </c>
      <c r="K88" s="2"/>
      <c r="L88" s="2">
        <f t="shared" si="10"/>
        <v>0</v>
      </c>
      <c r="M88" s="2"/>
      <c r="N88" s="19">
        <f t="shared" si="11"/>
        <v>0</v>
      </c>
      <c r="O88" s="11"/>
      <c r="P88" s="2">
        <v>67.17</v>
      </c>
      <c r="Q88" s="2"/>
      <c r="R88" s="19">
        <f t="shared" si="12"/>
        <v>1.2886878105297315E-5</v>
      </c>
      <c r="S88" s="2"/>
      <c r="T88" s="2"/>
      <c r="U88" s="2"/>
      <c r="V88" s="19">
        <f t="shared" si="13"/>
        <v>0</v>
      </c>
      <c r="W88" s="2"/>
      <c r="X88" s="2">
        <f t="shared" si="14"/>
        <v>67.17</v>
      </c>
      <c r="Y88" s="2"/>
      <c r="Z88" s="19">
        <f t="shared" si="15"/>
        <v>0</v>
      </c>
    </row>
    <row r="89" spans="1:26" s="24" customFormat="1" hidden="1" outlineLevel="1" x14ac:dyDescent="0.25">
      <c r="A89" s="44"/>
      <c r="B89" s="11" t="str">
        <f>CONCATENATE("          ", "5013", " - ", "PURCHASES @ COST-TRADE BOOKS")</f>
        <v xml:space="preserve">          5013 - PURCHASES @ COST-TRADE BOOKS</v>
      </c>
      <c r="C89" s="11"/>
      <c r="D89" s="2"/>
      <c r="E89" s="2"/>
      <c r="F89" s="19">
        <f t="shared" si="8"/>
        <v>0</v>
      </c>
      <c r="G89" s="2"/>
      <c r="H89" s="2"/>
      <c r="I89" s="2"/>
      <c r="J89" s="19">
        <f t="shared" si="9"/>
        <v>0</v>
      </c>
      <c r="K89" s="2"/>
      <c r="L89" s="2">
        <f t="shared" si="10"/>
        <v>0</v>
      </c>
      <c r="M89" s="2"/>
      <c r="N89" s="19">
        <f t="shared" si="11"/>
        <v>0</v>
      </c>
      <c r="O89" s="11"/>
      <c r="P89" s="2">
        <v>9670.02</v>
      </c>
      <c r="Q89" s="2"/>
      <c r="R89" s="19">
        <f t="shared" si="12"/>
        <v>1.8552384846774921E-3</v>
      </c>
      <c r="S89" s="2"/>
      <c r="T89" s="2"/>
      <c r="U89" s="2"/>
      <c r="V89" s="19">
        <f t="shared" si="13"/>
        <v>0</v>
      </c>
      <c r="W89" s="2"/>
      <c r="X89" s="2">
        <f t="shared" si="14"/>
        <v>9670.02</v>
      </c>
      <c r="Y89" s="2"/>
      <c r="Z89" s="19">
        <f t="shared" si="15"/>
        <v>0</v>
      </c>
    </row>
    <row r="90" spans="1:26" s="24" customFormat="1" hidden="1" outlineLevel="1" x14ac:dyDescent="0.25">
      <c r="A90" s="44"/>
      <c r="B90" s="11" t="str">
        <f>CONCATENATE("          ", "5014", " - ", "PURCHASES @ COST-REMAINDERS")</f>
        <v xml:space="preserve">          5014 - PURCHASES @ COST-REMAINDERS</v>
      </c>
      <c r="C90" s="11"/>
      <c r="D90" s="2"/>
      <c r="E90" s="2"/>
      <c r="F90" s="19">
        <f t="shared" si="8"/>
        <v>0</v>
      </c>
      <c r="G90" s="2"/>
      <c r="H90" s="2"/>
      <c r="I90" s="2"/>
      <c r="J90" s="19">
        <f t="shared" si="9"/>
        <v>0</v>
      </c>
      <c r="K90" s="2"/>
      <c r="L90" s="2">
        <f t="shared" si="10"/>
        <v>0</v>
      </c>
      <c r="M90" s="2"/>
      <c r="N90" s="19">
        <f t="shared" si="11"/>
        <v>0</v>
      </c>
      <c r="O90" s="11"/>
      <c r="P90" s="2">
        <v>111.57</v>
      </c>
      <c r="Q90" s="2"/>
      <c r="R90" s="19">
        <f t="shared" si="12"/>
        <v>2.1405225401340204E-5</v>
      </c>
      <c r="S90" s="2"/>
      <c r="T90" s="2"/>
      <c r="U90" s="2"/>
      <c r="V90" s="19">
        <f t="shared" si="13"/>
        <v>0</v>
      </c>
      <c r="W90" s="2"/>
      <c r="X90" s="2">
        <f t="shared" si="14"/>
        <v>111.57</v>
      </c>
      <c r="Y90" s="2"/>
      <c r="Z90" s="19">
        <f t="shared" si="15"/>
        <v>0</v>
      </c>
    </row>
    <row r="91" spans="1:26" s="24" customFormat="1" hidden="1" outlineLevel="1" x14ac:dyDescent="0.25">
      <c r="A91" s="44"/>
      <c r="B91" s="11" t="str">
        <f>CONCATENATE("          ", "5018", " - ", "PURCHASES @ COST-STUDY GUIDES")</f>
        <v xml:space="preserve">          5018 - PURCHASES @ COST-STUDY GUIDES</v>
      </c>
      <c r="C91" s="11"/>
      <c r="D91" s="2"/>
      <c r="E91" s="2"/>
      <c r="F91" s="19">
        <f t="shared" si="8"/>
        <v>0</v>
      </c>
      <c r="G91" s="2"/>
      <c r="H91" s="2"/>
      <c r="I91" s="2"/>
      <c r="J91" s="19">
        <f t="shared" si="9"/>
        <v>0</v>
      </c>
      <c r="K91" s="2"/>
      <c r="L91" s="2">
        <f t="shared" si="10"/>
        <v>0</v>
      </c>
      <c r="M91" s="2"/>
      <c r="N91" s="19">
        <f t="shared" si="11"/>
        <v>0</v>
      </c>
      <c r="O91" s="11"/>
      <c r="P91" s="2">
        <v>967.21</v>
      </c>
      <c r="Q91" s="2"/>
      <c r="R91" s="19">
        <f t="shared" si="12"/>
        <v>1.8556375423886581E-4</v>
      </c>
      <c r="S91" s="2"/>
      <c r="T91" s="2"/>
      <c r="U91" s="2"/>
      <c r="V91" s="19">
        <f t="shared" si="13"/>
        <v>0</v>
      </c>
      <c r="W91" s="2"/>
      <c r="X91" s="2">
        <f t="shared" si="14"/>
        <v>967.21</v>
      </c>
      <c r="Y91" s="2"/>
      <c r="Z91" s="19">
        <f t="shared" si="15"/>
        <v>0</v>
      </c>
    </row>
    <row r="92" spans="1:26" s="24" customFormat="1" hidden="1" outlineLevel="1" x14ac:dyDescent="0.25">
      <c r="A92" s="44"/>
      <c r="B92" s="11" t="str">
        <f>CONCATENATE("          ", "5025", " - ", "PURCHASES @ COST-TEST FORMS")</f>
        <v xml:space="preserve">          5025 - PURCHASES @ COST-TEST FORMS</v>
      </c>
      <c r="C92" s="11"/>
      <c r="D92" s="2"/>
      <c r="E92" s="2"/>
      <c r="F92" s="19">
        <f t="shared" si="8"/>
        <v>0</v>
      </c>
      <c r="G92" s="2"/>
      <c r="H92" s="2"/>
      <c r="I92" s="2"/>
      <c r="J92" s="19">
        <f t="shared" si="9"/>
        <v>0</v>
      </c>
      <c r="K92" s="2"/>
      <c r="L92" s="2">
        <f t="shared" si="10"/>
        <v>0</v>
      </c>
      <c r="M92" s="2"/>
      <c r="N92" s="19">
        <f t="shared" si="11"/>
        <v>0</v>
      </c>
      <c r="O92" s="11"/>
      <c r="P92" s="2">
        <v>599.29</v>
      </c>
      <c r="Q92" s="2"/>
      <c r="R92" s="19">
        <f t="shared" si="12"/>
        <v>1.1497658448300771E-4</v>
      </c>
      <c r="S92" s="2"/>
      <c r="T92" s="2"/>
      <c r="U92" s="2"/>
      <c r="V92" s="19">
        <f t="shared" si="13"/>
        <v>0</v>
      </c>
      <c r="W92" s="2"/>
      <c r="X92" s="2">
        <f t="shared" si="14"/>
        <v>599.29</v>
      </c>
      <c r="Y92" s="2"/>
      <c r="Z92" s="19">
        <f t="shared" si="15"/>
        <v>0</v>
      </c>
    </row>
    <row r="93" spans="1:26" s="24" customFormat="1" hidden="1" outlineLevel="1" x14ac:dyDescent="0.25">
      <c r="A93" s="44"/>
      <c r="B93" s="11" t="str">
        <f>CONCATENATE("          ", "5026", " - ", "PURCHASES @ COST-WRITING INSTR")</f>
        <v xml:space="preserve">          5026 - PURCHASES @ COST-WRITING INSTR</v>
      </c>
      <c r="C93" s="11"/>
      <c r="D93" s="2">
        <v>-2.0499999999999998</v>
      </c>
      <c r="E93" s="2"/>
      <c r="F93" s="19">
        <f t="shared" si="8"/>
        <v>-4.0452568337510324E-6</v>
      </c>
      <c r="G93" s="2"/>
      <c r="H93" s="2"/>
      <c r="I93" s="2"/>
      <c r="J93" s="19">
        <f t="shared" si="9"/>
        <v>0</v>
      </c>
      <c r="K93" s="2"/>
      <c r="L93" s="2">
        <f t="shared" si="10"/>
        <v>-2.0499999999999998</v>
      </c>
      <c r="M93" s="2"/>
      <c r="N93" s="19">
        <f t="shared" si="11"/>
        <v>0</v>
      </c>
      <c r="O93" s="11"/>
      <c r="P93" s="2">
        <v>582.5</v>
      </c>
      <c r="Q93" s="2"/>
      <c r="R93" s="19">
        <f t="shared" si="12"/>
        <v>1.1175534459335545E-4</v>
      </c>
      <c r="S93" s="2"/>
      <c r="T93" s="2"/>
      <c r="U93" s="2"/>
      <c r="V93" s="19">
        <f t="shared" si="13"/>
        <v>0</v>
      </c>
      <c r="W93" s="2"/>
      <c r="X93" s="2">
        <f t="shared" si="14"/>
        <v>582.5</v>
      </c>
      <c r="Y93" s="2"/>
      <c r="Z93" s="19">
        <f t="shared" si="15"/>
        <v>0</v>
      </c>
    </row>
    <row r="94" spans="1:26" s="24" customFormat="1" hidden="1" outlineLevel="1" x14ac:dyDescent="0.25">
      <c r="A94" s="44"/>
      <c r="B94" s="11" t="str">
        <f>CONCATENATE("          ", "5027", " - ", "PURCHASES @ COST-SCHOOL SUPPLI")</f>
        <v xml:space="preserve">          5027 - PURCHASES @ COST-SCHOOL SUPPLI</v>
      </c>
      <c r="C94" s="11"/>
      <c r="D94" s="2">
        <v>0.39</v>
      </c>
      <c r="E94" s="2"/>
      <c r="F94" s="19">
        <f t="shared" si="8"/>
        <v>7.695854464209282E-7</v>
      </c>
      <c r="G94" s="2"/>
      <c r="H94" s="2"/>
      <c r="I94" s="2"/>
      <c r="J94" s="19">
        <f t="shared" si="9"/>
        <v>0</v>
      </c>
      <c r="K94" s="2"/>
      <c r="L94" s="2">
        <f t="shared" si="10"/>
        <v>0.39</v>
      </c>
      <c r="M94" s="2"/>
      <c r="N94" s="19">
        <f t="shared" si="11"/>
        <v>0</v>
      </c>
      <c r="O94" s="11"/>
      <c r="P94" s="2">
        <v>23734.99</v>
      </c>
      <c r="Q94" s="2"/>
      <c r="R94" s="19">
        <f t="shared" si="12"/>
        <v>4.5536686461284913E-3</v>
      </c>
      <c r="S94" s="2"/>
      <c r="T94" s="2"/>
      <c r="U94" s="2"/>
      <c r="V94" s="19">
        <f t="shared" si="13"/>
        <v>0</v>
      </c>
      <c r="W94" s="2"/>
      <c r="X94" s="2">
        <f t="shared" si="14"/>
        <v>23734.99</v>
      </c>
      <c r="Y94" s="2"/>
      <c r="Z94" s="19">
        <f t="shared" si="15"/>
        <v>0</v>
      </c>
    </row>
    <row r="95" spans="1:26" s="24" customFormat="1" hidden="1" outlineLevel="1" x14ac:dyDescent="0.25">
      <c r="A95" s="44"/>
      <c r="B95" s="11" t="str">
        <f>CONCATENATE("          ", "5028", " - ", "PURCHASES @ COST-ART/TECH")</f>
        <v xml:space="preserve">          5028 - PURCHASES @ COST-ART/TECH</v>
      </c>
      <c r="C95" s="11"/>
      <c r="D95" s="2">
        <v>674.12</v>
      </c>
      <c r="E95" s="2"/>
      <c r="F95" s="19">
        <f t="shared" si="8"/>
        <v>1.3302383106186565E-3</v>
      </c>
      <c r="G95" s="2"/>
      <c r="H95" s="2"/>
      <c r="I95" s="2"/>
      <c r="J95" s="19">
        <f t="shared" si="9"/>
        <v>0</v>
      </c>
      <c r="K95" s="2"/>
      <c r="L95" s="2">
        <f t="shared" si="10"/>
        <v>674.12</v>
      </c>
      <c r="M95" s="2"/>
      <c r="N95" s="19">
        <f t="shared" si="11"/>
        <v>0</v>
      </c>
      <c r="O95" s="11"/>
      <c r="P95" s="2">
        <v>47680.74</v>
      </c>
      <c r="Q95" s="2"/>
      <c r="R95" s="19">
        <f t="shared" si="12"/>
        <v>9.1477725822595481E-3</v>
      </c>
      <c r="S95" s="2"/>
      <c r="T95" s="2"/>
      <c r="U95" s="2"/>
      <c r="V95" s="19">
        <f t="shared" si="13"/>
        <v>0</v>
      </c>
      <c r="W95" s="2"/>
      <c r="X95" s="2">
        <f t="shared" si="14"/>
        <v>47680.74</v>
      </c>
      <c r="Y95" s="2"/>
      <c r="Z95" s="19">
        <f t="shared" si="15"/>
        <v>0</v>
      </c>
    </row>
    <row r="96" spans="1:26" s="24" customFormat="1" hidden="1" outlineLevel="1" x14ac:dyDescent="0.25">
      <c r="A96" s="44"/>
      <c r="B96" s="11" t="str">
        <f>CONCATENATE("          ", "5031", " - ", "PURCHASES @ COST-FOOD")</f>
        <v xml:space="preserve">          5031 - PURCHASES @ COST-FOOD</v>
      </c>
      <c r="C96" s="11"/>
      <c r="D96" s="2">
        <v>280.37</v>
      </c>
      <c r="E96" s="2"/>
      <c r="F96" s="19">
        <f t="shared" si="8"/>
        <v>5.5325300413598872E-4</v>
      </c>
      <c r="G96" s="2"/>
      <c r="H96" s="2"/>
      <c r="I96" s="2"/>
      <c r="J96" s="19">
        <f t="shared" si="9"/>
        <v>0</v>
      </c>
      <c r="K96" s="2"/>
      <c r="L96" s="2">
        <f t="shared" si="10"/>
        <v>280.37</v>
      </c>
      <c r="M96" s="2"/>
      <c r="N96" s="19">
        <f t="shared" si="11"/>
        <v>0</v>
      </c>
      <c r="O96" s="11"/>
      <c r="P96" s="2">
        <v>8066.09</v>
      </c>
      <c r="Q96" s="2"/>
      <c r="R96" s="19">
        <f t="shared" si="12"/>
        <v>1.5475170257013193E-3</v>
      </c>
      <c r="S96" s="2"/>
      <c r="T96" s="2"/>
      <c r="U96" s="2"/>
      <c r="V96" s="19">
        <f t="shared" si="13"/>
        <v>0</v>
      </c>
      <c r="W96" s="2"/>
      <c r="X96" s="2">
        <f t="shared" si="14"/>
        <v>8066.09</v>
      </c>
      <c r="Y96" s="2"/>
      <c r="Z96" s="19">
        <f t="shared" si="15"/>
        <v>0</v>
      </c>
    </row>
    <row r="97" spans="1:26" s="24" customFormat="1" hidden="1" outlineLevel="1" x14ac:dyDescent="0.25">
      <c r="A97" s="44"/>
      <c r="B97" s="11" t="str">
        <f>CONCATENATE("          ", "5040", " - ", "PURCHASES @ COST-LOGO CLOTHING")</f>
        <v xml:space="preserve">          5040 - PURCHASES @ COST-LOGO CLOTHING</v>
      </c>
      <c r="C97" s="11"/>
      <c r="D97" s="2">
        <v>48288.73</v>
      </c>
      <c r="E97" s="2"/>
      <c r="F97" s="19">
        <f t="shared" si="8"/>
        <v>9.5287958549101714E-2</v>
      </c>
      <c r="G97" s="2"/>
      <c r="H97" s="2"/>
      <c r="I97" s="2"/>
      <c r="J97" s="19">
        <f t="shared" si="9"/>
        <v>0</v>
      </c>
      <c r="K97" s="2"/>
      <c r="L97" s="2">
        <f t="shared" si="10"/>
        <v>48288.73</v>
      </c>
      <c r="M97" s="2"/>
      <c r="N97" s="19">
        <f t="shared" si="11"/>
        <v>0</v>
      </c>
      <c r="O97" s="11"/>
      <c r="P97" s="2">
        <v>327378.98</v>
      </c>
      <c r="Q97" s="2"/>
      <c r="R97" s="19">
        <f t="shared" si="12"/>
        <v>6.2809185789736002E-2</v>
      </c>
      <c r="S97" s="2"/>
      <c r="T97" s="2"/>
      <c r="U97" s="2"/>
      <c r="V97" s="19">
        <f t="shared" si="13"/>
        <v>0</v>
      </c>
      <c r="W97" s="2"/>
      <c r="X97" s="2">
        <f t="shared" si="14"/>
        <v>327378.98</v>
      </c>
      <c r="Y97" s="2"/>
      <c r="Z97" s="19">
        <f t="shared" si="15"/>
        <v>0</v>
      </c>
    </row>
    <row r="98" spans="1:26" s="24" customFormat="1" hidden="1" outlineLevel="1" x14ac:dyDescent="0.25">
      <c r="A98" s="44"/>
      <c r="B98" s="11" t="str">
        <f>CONCATENATE("          ", "5041", " - ", "PURCHASES @ COST-LOGO GIFTS")</f>
        <v xml:space="preserve">          5041 - PURCHASES @ COST-LOGO GIFTS</v>
      </c>
      <c r="C98" s="11"/>
      <c r="D98" s="2">
        <v>22136.9</v>
      </c>
      <c r="E98" s="2"/>
      <c r="F98" s="19">
        <f t="shared" si="8"/>
        <v>4.3682656586860116E-2</v>
      </c>
      <c r="G98" s="2"/>
      <c r="H98" s="2"/>
      <c r="I98" s="2"/>
      <c r="J98" s="19">
        <f t="shared" si="9"/>
        <v>0</v>
      </c>
      <c r="K98" s="2"/>
      <c r="L98" s="2">
        <f t="shared" si="10"/>
        <v>22136.9</v>
      </c>
      <c r="M98" s="2"/>
      <c r="N98" s="19">
        <f t="shared" si="11"/>
        <v>0</v>
      </c>
      <c r="O98" s="11"/>
      <c r="P98" s="2">
        <v>106398.85</v>
      </c>
      <c r="Q98" s="2"/>
      <c r="R98" s="19">
        <f t="shared" si="12"/>
        <v>2.0413116130621013E-2</v>
      </c>
      <c r="S98" s="2"/>
      <c r="T98" s="2"/>
      <c r="U98" s="2"/>
      <c r="V98" s="19">
        <f t="shared" si="13"/>
        <v>0</v>
      </c>
      <c r="W98" s="2"/>
      <c r="X98" s="2">
        <f t="shared" si="14"/>
        <v>106398.85</v>
      </c>
      <c r="Y98" s="2"/>
      <c r="Z98" s="19">
        <f t="shared" si="15"/>
        <v>0</v>
      </c>
    </row>
    <row r="99" spans="1:26" s="24" customFormat="1" hidden="1" outlineLevel="1" x14ac:dyDescent="0.25">
      <c r="A99" s="44"/>
      <c r="B99" s="11" t="str">
        <f>CONCATENATE("          ", "5042", " - ", "PURCHASES @ COST-EVERYDAY GIFT")</f>
        <v xml:space="preserve">          5042 - PURCHASES @ COST-EVERYDAY GIFT</v>
      </c>
      <c r="C99" s="11"/>
      <c r="D99" s="2">
        <v>-0.11</v>
      </c>
      <c r="E99" s="2"/>
      <c r="F99" s="19">
        <f t="shared" si="8"/>
        <v>-2.1706256181103101E-7</v>
      </c>
      <c r="G99" s="2"/>
      <c r="H99" s="2"/>
      <c r="I99" s="2"/>
      <c r="J99" s="19">
        <f t="shared" si="9"/>
        <v>0</v>
      </c>
      <c r="K99" s="2"/>
      <c r="L99" s="2">
        <f t="shared" si="10"/>
        <v>-0.11</v>
      </c>
      <c r="M99" s="2"/>
      <c r="N99" s="19">
        <f t="shared" si="11"/>
        <v>0</v>
      </c>
      <c r="O99" s="11"/>
      <c r="P99" s="2">
        <v>18748.07</v>
      </c>
      <c r="Q99" s="2"/>
      <c r="R99" s="19">
        <f t="shared" si="12"/>
        <v>3.5969047610478104E-3</v>
      </c>
      <c r="S99" s="2"/>
      <c r="T99" s="2"/>
      <c r="U99" s="2"/>
      <c r="V99" s="19">
        <f t="shared" si="13"/>
        <v>0</v>
      </c>
      <c r="W99" s="2"/>
      <c r="X99" s="2">
        <f t="shared" si="14"/>
        <v>18748.07</v>
      </c>
      <c r="Y99" s="2"/>
      <c r="Z99" s="19">
        <f t="shared" si="15"/>
        <v>0</v>
      </c>
    </row>
    <row r="100" spans="1:26" s="24" customFormat="1" hidden="1" outlineLevel="1" x14ac:dyDescent="0.25">
      <c r="A100" s="44"/>
      <c r="B100" s="11" t="str">
        <f>CONCATENATE("          ", "5043", " - ", "PURCHASES @ COST-CARDS")</f>
        <v xml:space="preserve">          5043 - PURCHASES @ COST-CARDS</v>
      </c>
      <c r="C100" s="11"/>
      <c r="D100" s="2">
        <v>178</v>
      </c>
      <c r="E100" s="2"/>
      <c r="F100" s="19">
        <f t="shared" si="8"/>
        <v>3.5124669093057745E-4</v>
      </c>
      <c r="G100" s="2"/>
      <c r="H100" s="2"/>
      <c r="I100" s="2"/>
      <c r="J100" s="19">
        <f t="shared" si="9"/>
        <v>0</v>
      </c>
      <c r="K100" s="2"/>
      <c r="L100" s="2">
        <f t="shared" si="10"/>
        <v>178</v>
      </c>
      <c r="M100" s="2"/>
      <c r="N100" s="19">
        <f t="shared" si="11"/>
        <v>0</v>
      </c>
      <c r="O100" s="11"/>
      <c r="P100" s="2">
        <v>55583.33</v>
      </c>
      <c r="Q100" s="2"/>
      <c r="R100" s="19">
        <f t="shared" si="12"/>
        <v>1.0663921369607197E-2</v>
      </c>
      <c r="S100" s="2"/>
      <c r="T100" s="2"/>
      <c r="U100" s="2"/>
      <c r="V100" s="19">
        <f t="shared" si="13"/>
        <v>0</v>
      </c>
      <c r="W100" s="2"/>
      <c r="X100" s="2">
        <f t="shared" si="14"/>
        <v>55583.33</v>
      </c>
      <c r="Y100" s="2"/>
      <c r="Z100" s="19">
        <f t="shared" si="15"/>
        <v>0</v>
      </c>
    </row>
    <row r="101" spans="1:26" s="24" customFormat="1" hidden="1" outlineLevel="1" x14ac:dyDescent="0.25">
      <c r="A101" s="44"/>
      <c r="B101" s="11" t="str">
        <f>CONCATENATE("          ", "5044", " - ", "PURCHASES @ COST-ACCESSORIES")</f>
        <v xml:space="preserve">          5044 - PURCHASES @ COST-ACCESSORIES</v>
      </c>
      <c r="C101" s="11"/>
      <c r="D101" s="2"/>
      <c r="E101" s="2"/>
      <c r="F101" s="19">
        <f t="shared" si="8"/>
        <v>0</v>
      </c>
      <c r="G101" s="2"/>
      <c r="H101" s="2"/>
      <c r="I101" s="2"/>
      <c r="J101" s="19">
        <f t="shared" si="9"/>
        <v>0</v>
      </c>
      <c r="K101" s="2"/>
      <c r="L101" s="2">
        <f t="shared" si="10"/>
        <v>0</v>
      </c>
      <c r="M101" s="2"/>
      <c r="N101" s="19">
        <f t="shared" si="11"/>
        <v>0</v>
      </c>
      <c r="O101" s="11"/>
      <c r="P101" s="2">
        <v>2555.71</v>
      </c>
      <c r="Q101" s="2"/>
      <c r="R101" s="19">
        <f t="shared" si="12"/>
        <v>4.9032489567499477E-4</v>
      </c>
      <c r="S101" s="2"/>
      <c r="T101" s="2"/>
      <c r="U101" s="2"/>
      <c r="V101" s="19">
        <f t="shared" si="13"/>
        <v>0</v>
      </c>
      <c r="W101" s="2"/>
      <c r="X101" s="2">
        <f t="shared" si="14"/>
        <v>2555.71</v>
      </c>
      <c r="Y101" s="2"/>
      <c r="Z101" s="19">
        <f t="shared" si="15"/>
        <v>0</v>
      </c>
    </row>
    <row r="102" spans="1:26" s="24" customFormat="1" hidden="1" outlineLevel="1" x14ac:dyDescent="0.25">
      <c r="A102" s="44"/>
      <c r="B102" s="11" t="str">
        <f>CONCATENATE("          ", "5045", " - ", "PURCHASES @ COST-SPECIAL ORDER")</f>
        <v xml:space="preserve">          5045 - PURCHASES @ COST-SPECIAL ORDER</v>
      </c>
      <c r="C102" s="11"/>
      <c r="D102" s="2">
        <v>24141.17</v>
      </c>
      <c r="E102" s="2"/>
      <c r="F102" s="19">
        <f t="shared" si="8"/>
        <v>4.7637674593778247E-2</v>
      </c>
      <c r="G102" s="2"/>
      <c r="H102" s="2"/>
      <c r="I102" s="2"/>
      <c r="J102" s="19">
        <f t="shared" si="9"/>
        <v>0</v>
      </c>
      <c r="K102" s="2"/>
      <c r="L102" s="2">
        <f t="shared" si="10"/>
        <v>24141.17</v>
      </c>
      <c r="M102" s="2"/>
      <c r="N102" s="19">
        <f t="shared" si="11"/>
        <v>0</v>
      </c>
      <c r="O102" s="11"/>
      <c r="P102" s="2">
        <v>139139.24</v>
      </c>
      <c r="Q102" s="2"/>
      <c r="R102" s="19">
        <f t="shared" si="12"/>
        <v>2.6694512811429334E-2</v>
      </c>
      <c r="S102" s="2"/>
      <c r="T102" s="2"/>
      <c r="U102" s="2"/>
      <c r="V102" s="19">
        <f t="shared" si="13"/>
        <v>0</v>
      </c>
      <c r="W102" s="2"/>
      <c r="X102" s="2">
        <f t="shared" si="14"/>
        <v>139139.24</v>
      </c>
      <c r="Y102" s="2"/>
      <c r="Z102" s="19">
        <f t="shared" si="15"/>
        <v>0</v>
      </c>
    </row>
    <row r="103" spans="1:26" s="24" customFormat="1" hidden="1" outlineLevel="1" x14ac:dyDescent="0.25">
      <c r="A103" s="44"/>
      <c r="B103" s="11" t="str">
        <f>CONCATENATE("          ", "5053", " - ", "PURCHASES @ COST-FOOD")</f>
        <v xml:space="preserve">          5053 - PURCHASES @ COST-FOOD</v>
      </c>
      <c r="C103" s="11"/>
      <c r="D103" s="2">
        <v>-29</v>
      </c>
      <c r="E103" s="2"/>
      <c r="F103" s="19">
        <f t="shared" si="8"/>
        <v>-5.7225584477453627E-5</v>
      </c>
      <c r="G103" s="2"/>
      <c r="H103" s="2"/>
      <c r="I103" s="2"/>
      <c r="J103" s="19">
        <f t="shared" si="9"/>
        <v>0</v>
      </c>
      <c r="K103" s="2"/>
      <c r="L103" s="2">
        <f t="shared" si="10"/>
        <v>-29</v>
      </c>
      <c r="M103" s="2"/>
      <c r="N103" s="19">
        <f t="shared" si="11"/>
        <v>0</v>
      </c>
      <c r="O103" s="11"/>
      <c r="P103" s="2">
        <v>-2499.15</v>
      </c>
      <c r="Q103" s="2"/>
      <c r="R103" s="19">
        <f t="shared" si="12"/>
        <v>-4.7947359560598164E-4</v>
      </c>
      <c r="S103" s="2"/>
      <c r="T103" s="2"/>
      <c r="U103" s="2"/>
      <c r="V103" s="19">
        <f t="shared" si="13"/>
        <v>0</v>
      </c>
      <c r="W103" s="2"/>
      <c r="X103" s="2">
        <f t="shared" si="14"/>
        <v>-2499.15</v>
      </c>
      <c r="Y103" s="2"/>
      <c r="Z103" s="19">
        <f t="shared" si="15"/>
        <v>0</v>
      </c>
    </row>
    <row r="104" spans="1:26" s="24" customFormat="1" hidden="1" outlineLevel="1" x14ac:dyDescent="0.25">
      <c r="A104" s="44"/>
      <c r="B104" s="11" t="str">
        <f>CONCATENATE("          ", "5059", " - ", "PURCHASES @ COST-FOOD")</f>
        <v xml:space="preserve">          5059 - PURCHASES @ COST-FOOD</v>
      </c>
      <c r="C104" s="11"/>
      <c r="D104" s="2"/>
      <c r="E104" s="2"/>
      <c r="F104" s="19">
        <f t="shared" si="8"/>
        <v>0</v>
      </c>
      <c r="G104" s="2"/>
      <c r="H104" s="2"/>
      <c r="I104" s="2"/>
      <c r="J104" s="19">
        <f t="shared" si="9"/>
        <v>0</v>
      </c>
      <c r="K104" s="2"/>
      <c r="L104" s="2">
        <f t="shared" si="10"/>
        <v>0</v>
      </c>
      <c r="M104" s="2"/>
      <c r="N104" s="19">
        <f t="shared" si="11"/>
        <v>0</v>
      </c>
      <c r="O104" s="11"/>
      <c r="P104" s="2">
        <v>30889.99</v>
      </c>
      <c r="Q104" s="2"/>
      <c r="R104" s="19">
        <f t="shared" si="12"/>
        <v>5.9263888016056728E-3</v>
      </c>
      <c r="S104" s="2"/>
      <c r="T104" s="2"/>
      <c r="U104" s="2"/>
      <c r="V104" s="19">
        <f t="shared" si="13"/>
        <v>0</v>
      </c>
      <c r="W104" s="2"/>
      <c r="X104" s="2">
        <f t="shared" si="14"/>
        <v>30889.99</v>
      </c>
      <c r="Y104" s="2"/>
      <c r="Z104" s="19">
        <f t="shared" si="15"/>
        <v>0</v>
      </c>
    </row>
    <row r="105" spans="1:26" s="24" customFormat="1" hidden="1" outlineLevel="1" x14ac:dyDescent="0.25">
      <c r="A105" s="44"/>
      <c r="B105" s="11" t="str">
        <f>CONCATENATE("          ", "5086", " - ", "PURCHASES @ COST-COMPUTER SUPP")</f>
        <v xml:space="preserve">          5086 - PURCHASES @ COST-COMPUTER SUPP</v>
      </c>
      <c r="C105" s="11"/>
      <c r="D105" s="2"/>
      <c r="E105" s="2"/>
      <c r="F105" s="19">
        <f t="shared" si="8"/>
        <v>0</v>
      </c>
      <c r="G105" s="2"/>
      <c r="H105" s="2"/>
      <c r="I105" s="2"/>
      <c r="J105" s="19">
        <f t="shared" si="9"/>
        <v>0</v>
      </c>
      <c r="K105" s="2"/>
      <c r="L105" s="2">
        <f t="shared" si="10"/>
        <v>0</v>
      </c>
      <c r="M105" s="2"/>
      <c r="N105" s="19">
        <f t="shared" si="11"/>
        <v>0</v>
      </c>
      <c r="O105" s="11"/>
      <c r="P105" s="2">
        <v>13.21</v>
      </c>
      <c r="Q105" s="2"/>
      <c r="R105" s="19">
        <f t="shared" si="12"/>
        <v>2.5344001752415892E-6</v>
      </c>
      <c r="S105" s="2"/>
      <c r="T105" s="2"/>
      <c r="U105" s="2"/>
      <c r="V105" s="19">
        <f t="shared" si="13"/>
        <v>0</v>
      </c>
      <c r="W105" s="2"/>
      <c r="X105" s="2">
        <f t="shared" si="14"/>
        <v>13.21</v>
      </c>
      <c r="Y105" s="2"/>
      <c r="Z105" s="19">
        <f t="shared" si="15"/>
        <v>0</v>
      </c>
    </row>
    <row r="106" spans="1:26" s="24" customFormat="1" hidden="1" outlineLevel="1" x14ac:dyDescent="0.25">
      <c r="A106" s="44"/>
      <c r="B106" s="11" t="str">
        <f>CONCATENATE("          ", "5092", " - ", "PURCHASES @ COST-GRAD MERCH")</f>
        <v xml:space="preserve">          5092 - PURCHASES @ COST-GRAD MERCH</v>
      </c>
      <c r="C106" s="11"/>
      <c r="D106" s="2"/>
      <c r="E106" s="2"/>
      <c r="F106" s="19">
        <f t="shared" si="8"/>
        <v>0</v>
      </c>
      <c r="G106" s="2"/>
      <c r="H106" s="2"/>
      <c r="I106" s="2"/>
      <c r="J106" s="19">
        <f t="shared" si="9"/>
        <v>0</v>
      </c>
      <c r="K106" s="2"/>
      <c r="L106" s="2">
        <f t="shared" si="10"/>
        <v>0</v>
      </c>
      <c r="M106" s="2"/>
      <c r="N106" s="19">
        <f t="shared" si="11"/>
        <v>0</v>
      </c>
      <c r="O106" s="11"/>
      <c r="P106" s="2">
        <v>0</v>
      </c>
      <c r="Q106" s="2"/>
      <c r="R106" s="19">
        <f t="shared" si="12"/>
        <v>0</v>
      </c>
      <c r="S106" s="2"/>
      <c r="T106" s="2"/>
      <c r="U106" s="2"/>
      <c r="V106" s="19">
        <f t="shared" si="13"/>
        <v>0</v>
      </c>
      <c r="W106" s="2"/>
      <c r="X106" s="2">
        <f t="shared" si="14"/>
        <v>0</v>
      </c>
      <c r="Y106" s="2"/>
      <c r="Z106" s="19">
        <f t="shared" si="15"/>
        <v>0</v>
      </c>
    </row>
    <row r="107" spans="1:26" s="24" customFormat="1" hidden="1" outlineLevel="1" x14ac:dyDescent="0.25">
      <c r="A107" s="44"/>
      <c r="B107" s="11" t="str">
        <f>CONCATENATE("          ", "5200", " - ", "PURCHASES OFFSET")</f>
        <v xml:space="preserve">          5200 - PURCHASES OFFSET</v>
      </c>
      <c r="C107" s="11"/>
      <c r="D107" s="2">
        <v>-162582.03</v>
      </c>
      <c r="E107" s="2"/>
      <c r="F107" s="19">
        <f t="shared" si="8"/>
        <v>-0.32082247214761728</v>
      </c>
      <c r="G107" s="2"/>
      <c r="H107" s="2"/>
      <c r="I107" s="2"/>
      <c r="J107" s="19">
        <f t="shared" si="9"/>
        <v>0</v>
      </c>
      <c r="K107" s="2"/>
      <c r="L107" s="2">
        <f t="shared" si="10"/>
        <v>-162582.03</v>
      </c>
      <c r="M107" s="2"/>
      <c r="N107" s="19">
        <f t="shared" si="11"/>
        <v>0</v>
      </c>
      <c r="O107" s="11"/>
      <c r="P107" s="2">
        <v>-1847967.16</v>
      </c>
      <c r="Q107" s="2"/>
      <c r="R107" s="19">
        <f t="shared" si="12"/>
        <v>-0.35454112749013639</v>
      </c>
      <c r="S107" s="2"/>
      <c r="T107" s="2"/>
      <c r="U107" s="2"/>
      <c r="V107" s="19">
        <f t="shared" si="13"/>
        <v>0</v>
      </c>
      <c r="W107" s="2"/>
      <c r="X107" s="2">
        <f t="shared" si="14"/>
        <v>-1847967.16</v>
      </c>
      <c r="Y107" s="2"/>
      <c r="Z107" s="19">
        <f t="shared" si="15"/>
        <v>0</v>
      </c>
    </row>
    <row r="108" spans="1:26" s="24" customFormat="1" hidden="1" outlineLevel="1" x14ac:dyDescent="0.25">
      <c r="A108" s="44"/>
      <c r="B108" s="11" t="str">
        <f>CONCATENATE("          ", "5300", " - ", "COG$ OFFSET")</f>
        <v xml:space="preserve">          5300 - COG$ OFFSET</v>
      </c>
      <c r="C108" s="11"/>
      <c r="D108" s="2">
        <v>241236</v>
      </c>
      <c r="E108" s="2"/>
      <c r="F108" s="19">
        <f t="shared" si="8"/>
        <v>0.47603003782768977</v>
      </c>
      <c r="G108" s="2"/>
      <c r="H108" s="2"/>
      <c r="I108" s="2"/>
      <c r="J108" s="19">
        <f t="shared" si="9"/>
        <v>0</v>
      </c>
      <c r="K108" s="2"/>
      <c r="L108" s="2">
        <f t="shared" si="10"/>
        <v>241236</v>
      </c>
      <c r="M108" s="2"/>
      <c r="N108" s="19">
        <f t="shared" si="11"/>
        <v>0</v>
      </c>
      <c r="O108" s="11"/>
      <c r="P108" s="2">
        <v>2641632</v>
      </c>
      <c r="Q108" s="2"/>
      <c r="R108" s="19">
        <f t="shared" si="12"/>
        <v>0.5068094325301884</v>
      </c>
      <c r="S108" s="2"/>
      <c r="T108" s="2"/>
      <c r="U108" s="2"/>
      <c r="V108" s="19">
        <f t="shared" si="13"/>
        <v>0</v>
      </c>
      <c r="W108" s="2"/>
      <c r="X108" s="2">
        <f t="shared" si="14"/>
        <v>2641632</v>
      </c>
      <c r="Y108" s="2"/>
      <c r="Z108" s="19">
        <f t="shared" si="15"/>
        <v>0</v>
      </c>
    </row>
    <row r="109" spans="1:26" s="24" customFormat="1" hidden="1" outlineLevel="1" x14ac:dyDescent="0.25">
      <c r="A109" s="44"/>
      <c r="B109" s="11" t="str">
        <f>CONCATENATE("          ", "5500", " - ", "FREIGHT-IN")</f>
        <v xml:space="preserve">          5500 - FREIGHT-IN</v>
      </c>
      <c r="C109" s="11"/>
      <c r="D109" s="2">
        <v>0</v>
      </c>
      <c r="E109" s="2"/>
      <c r="F109" s="19">
        <f t="shared" si="8"/>
        <v>0</v>
      </c>
      <c r="G109" s="2"/>
      <c r="H109" s="2"/>
      <c r="I109" s="2"/>
      <c r="J109" s="19">
        <f t="shared" si="9"/>
        <v>0</v>
      </c>
      <c r="K109" s="2"/>
      <c r="L109" s="2">
        <f t="shared" si="10"/>
        <v>0</v>
      </c>
      <c r="M109" s="2"/>
      <c r="N109" s="19">
        <f t="shared" si="11"/>
        <v>0</v>
      </c>
      <c r="O109" s="11"/>
      <c r="P109" s="2">
        <v>0</v>
      </c>
      <c r="Q109" s="2"/>
      <c r="R109" s="19">
        <f t="shared" si="12"/>
        <v>0</v>
      </c>
      <c r="S109" s="2"/>
      <c r="T109" s="2"/>
      <c r="U109" s="2"/>
      <c r="V109" s="19">
        <f t="shared" si="13"/>
        <v>0</v>
      </c>
      <c r="W109" s="2"/>
      <c r="X109" s="2">
        <f t="shared" si="14"/>
        <v>0</v>
      </c>
      <c r="Y109" s="2"/>
      <c r="Z109" s="19">
        <f t="shared" si="15"/>
        <v>0</v>
      </c>
    </row>
    <row r="110" spans="1:26" s="24" customFormat="1" hidden="1" outlineLevel="1" x14ac:dyDescent="0.25">
      <c r="A110" s="44"/>
      <c r="B110" s="11" t="str">
        <f>CONCATENATE("          ", "5501", " - ", "FREIGHT-IN-NEW TEXT")</f>
        <v xml:space="preserve">          5501 - FREIGHT-IN-NEW TEXT</v>
      </c>
      <c r="C110" s="11"/>
      <c r="D110" s="2">
        <v>1522.41</v>
      </c>
      <c r="E110" s="2"/>
      <c r="F110" s="19">
        <f t="shared" si="8"/>
        <v>3.0041655884248341E-3</v>
      </c>
      <c r="G110" s="2"/>
      <c r="H110" s="2"/>
      <c r="I110" s="2"/>
      <c r="J110" s="19">
        <f t="shared" si="9"/>
        <v>0</v>
      </c>
      <c r="K110" s="2"/>
      <c r="L110" s="2">
        <f t="shared" si="10"/>
        <v>1522.41</v>
      </c>
      <c r="M110" s="2"/>
      <c r="N110" s="19">
        <f t="shared" si="11"/>
        <v>0</v>
      </c>
      <c r="O110" s="11"/>
      <c r="P110" s="2">
        <v>51836.14</v>
      </c>
      <c r="Q110" s="2"/>
      <c r="R110" s="19">
        <f t="shared" si="12"/>
        <v>9.9450054731148787E-3</v>
      </c>
      <c r="S110" s="2"/>
      <c r="T110" s="2"/>
      <c r="U110" s="2"/>
      <c r="V110" s="19">
        <f t="shared" si="13"/>
        <v>0</v>
      </c>
      <c r="W110" s="2"/>
      <c r="X110" s="2">
        <f t="shared" si="14"/>
        <v>51836.14</v>
      </c>
      <c r="Y110" s="2"/>
      <c r="Z110" s="19">
        <f t="shared" si="15"/>
        <v>0</v>
      </c>
    </row>
    <row r="111" spans="1:26" s="24" customFormat="1" hidden="1" outlineLevel="1" x14ac:dyDescent="0.25">
      <c r="A111" s="44"/>
      <c r="B111" s="11" t="str">
        <f>CONCATENATE("          ", "5502", " - ", "FREIGHT-IN-USED TEXT")</f>
        <v xml:space="preserve">          5502 - FREIGHT-IN-USED TEXT</v>
      </c>
      <c r="C111" s="11"/>
      <c r="D111" s="2">
        <v>133.97</v>
      </c>
      <c r="E111" s="2"/>
      <c r="F111" s="19">
        <f t="shared" si="8"/>
        <v>2.6436246732567114E-4</v>
      </c>
      <c r="G111" s="2"/>
      <c r="H111" s="2"/>
      <c r="I111" s="2"/>
      <c r="J111" s="19">
        <f t="shared" si="9"/>
        <v>0</v>
      </c>
      <c r="K111" s="2"/>
      <c r="L111" s="2">
        <f t="shared" si="10"/>
        <v>133.97</v>
      </c>
      <c r="M111" s="2"/>
      <c r="N111" s="19">
        <f t="shared" si="11"/>
        <v>0</v>
      </c>
      <c r="O111" s="11"/>
      <c r="P111" s="2">
        <v>17992.87</v>
      </c>
      <c r="Q111" s="2"/>
      <c r="R111" s="19">
        <f t="shared" si="12"/>
        <v>3.4520161151475495E-3</v>
      </c>
      <c r="S111" s="2"/>
      <c r="T111" s="2"/>
      <c r="U111" s="2"/>
      <c r="V111" s="19">
        <f t="shared" si="13"/>
        <v>0</v>
      </c>
      <c r="W111" s="2"/>
      <c r="X111" s="2">
        <f t="shared" si="14"/>
        <v>17992.87</v>
      </c>
      <c r="Y111" s="2"/>
      <c r="Z111" s="19">
        <f t="shared" si="15"/>
        <v>0</v>
      </c>
    </row>
    <row r="112" spans="1:26" s="24" customFormat="1" hidden="1" outlineLevel="1" x14ac:dyDescent="0.25">
      <c r="A112" s="44"/>
      <c r="B112" s="11" t="str">
        <f>CONCATENATE("          ", "5504", " - ", "FREIGHT-IN-DIGITAL TEXT")</f>
        <v xml:space="preserve">          5504 - FREIGHT-IN-DIGITAL TEXT</v>
      </c>
      <c r="C112" s="11"/>
      <c r="D112" s="2"/>
      <c r="E112" s="2"/>
      <c r="F112" s="19">
        <f t="shared" si="8"/>
        <v>0</v>
      </c>
      <c r="G112" s="2"/>
      <c r="H112" s="2"/>
      <c r="I112" s="2"/>
      <c r="J112" s="19">
        <f t="shared" si="9"/>
        <v>0</v>
      </c>
      <c r="K112" s="2"/>
      <c r="L112" s="2">
        <f t="shared" si="10"/>
        <v>0</v>
      </c>
      <c r="M112" s="2"/>
      <c r="N112" s="19">
        <f t="shared" si="11"/>
        <v>0</v>
      </c>
      <c r="O112" s="11"/>
      <c r="P112" s="2">
        <v>28.92</v>
      </c>
      <c r="Q112" s="2"/>
      <c r="R112" s="19">
        <f t="shared" si="12"/>
        <v>5.5484370225576653E-6</v>
      </c>
      <c r="S112" s="2"/>
      <c r="T112" s="2"/>
      <c r="U112" s="2"/>
      <c r="V112" s="19">
        <f t="shared" si="13"/>
        <v>0</v>
      </c>
      <c r="W112" s="2"/>
      <c r="X112" s="2">
        <f t="shared" si="14"/>
        <v>28.92</v>
      </c>
      <c r="Y112" s="2"/>
      <c r="Z112" s="19">
        <f t="shared" si="15"/>
        <v>0</v>
      </c>
    </row>
    <row r="113" spans="1:26" s="24" customFormat="1" hidden="1" outlineLevel="1" x14ac:dyDescent="0.25">
      <c r="A113" s="44"/>
      <c r="B113" s="11" t="str">
        <f>CONCATENATE("          ", "5513", " - ", "FREIGHT-IN-TRADE BOOKS")</f>
        <v xml:space="preserve">          5513 - FREIGHT-IN-TRADE BOOKS</v>
      </c>
      <c r="C113" s="11"/>
      <c r="D113" s="2"/>
      <c r="E113" s="2"/>
      <c r="F113" s="19">
        <f t="shared" si="8"/>
        <v>0</v>
      </c>
      <c r="G113" s="2"/>
      <c r="H113" s="2"/>
      <c r="I113" s="2"/>
      <c r="J113" s="19">
        <f t="shared" si="9"/>
        <v>0</v>
      </c>
      <c r="K113" s="2"/>
      <c r="L113" s="2">
        <f t="shared" si="10"/>
        <v>0</v>
      </c>
      <c r="M113" s="2"/>
      <c r="N113" s="19">
        <f t="shared" si="11"/>
        <v>0</v>
      </c>
      <c r="O113" s="11"/>
      <c r="P113" s="2">
        <v>85.28</v>
      </c>
      <c r="Q113" s="2"/>
      <c r="R113" s="19">
        <f t="shared" si="12"/>
        <v>1.63613661578049E-5</v>
      </c>
      <c r="S113" s="2"/>
      <c r="T113" s="2"/>
      <c r="U113" s="2"/>
      <c r="V113" s="19">
        <f t="shared" si="13"/>
        <v>0</v>
      </c>
      <c r="W113" s="2"/>
      <c r="X113" s="2">
        <f t="shared" si="14"/>
        <v>85.28</v>
      </c>
      <c r="Y113" s="2"/>
      <c r="Z113" s="19">
        <f t="shared" si="15"/>
        <v>0</v>
      </c>
    </row>
    <row r="114" spans="1:26" s="24" customFormat="1" hidden="1" outlineLevel="1" x14ac:dyDescent="0.25">
      <c r="A114" s="44"/>
      <c r="B114" s="11" t="str">
        <f>CONCATENATE("          ", "5525", " - ", "FREIGHT-IN-TEST FORMS")</f>
        <v xml:space="preserve">          5525 - FREIGHT-IN-TEST FORMS</v>
      </c>
      <c r="C114" s="11"/>
      <c r="D114" s="2"/>
      <c r="E114" s="2"/>
      <c r="F114" s="19">
        <f t="shared" si="8"/>
        <v>0</v>
      </c>
      <c r="G114" s="2"/>
      <c r="H114" s="2"/>
      <c r="I114" s="2"/>
      <c r="J114" s="19">
        <f t="shared" si="9"/>
        <v>0</v>
      </c>
      <c r="K114" s="2"/>
      <c r="L114" s="2">
        <f t="shared" si="10"/>
        <v>0</v>
      </c>
      <c r="M114" s="2"/>
      <c r="N114" s="19">
        <f t="shared" si="11"/>
        <v>0</v>
      </c>
      <c r="O114" s="11"/>
      <c r="P114" s="2">
        <v>48.14</v>
      </c>
      <c r="Q114" s="2"/>
      <c r="R114" s="19">
        <f t="shared" si="12"/>
        <v>9.2358837574663207E-6</v>
      </c>
      <c r="S114" s="2"/>
      <c r="T114" s="2"/>
      <c r="U114" s="2"/>
      <c r="V114" s="19">
        <f t="shared" si="13"/>
        <v>0</v>
      </c>
      <c r="W114" s="2"/>
      <c r="X114" s="2">
        <f t="shared" si="14"/>
        <v>48.14</v>
      </c>
      <c r="Y114" s="2"/>
      <c r="Z114" s="19">
        <f t="shared" si="15"/>
        <v>0</v>
      </c>
    </row>
    <row r="115" spans="1:26" s="24" customFormat="1" hidden="1" outlineLevel="1" x14ac:dyDescent="0.25">
      <c r="A115" s="44"/>
      <c r="B115" s="11" t="str">
        <f>CONCATENATE("          ", "5526", " - ", "FREIGHT-IN-WRITING INSTRUMENTS")</f>
        <v xml:space="preserve">          5526 - FREIGHT-IN-WRITING INSTRUMENTS</v>
      </c>
      <c r="C115" s="11"/>
      <c r="D115" s="2"/>
      <c r="E115" s="2"/>
      <c r="F115" s="19">
        <f t="shared" si="8"/>
        <v>0</v>
      </c>
      <c r="G115" s="2"/>
      <c r="H115" s="2"/>
      <c r="I115" s="2"/>
      <c r="J115" s="19">
        <f t="shared" si="9"/>
        <v>0</v>
      </c>
      <c r="K115" s="2"/>
      <c r="L115" s="2">
        <f t="shared" si="10"/>
        <v>0</v>
      </c>
      <c r="M115" s="2"/>
      <c r="N115" s="19">
        <f t="shared" si="11"/>
        <v>0</v>
      </c>
      <c r="O115" s="11"/>
      <c r="P115" s="2">
        <v>0</v>
      </c>
      <c r="Q115" s="2"/>
      <c r="R115" s="19">
        <f t="shared" si="12"/>
        <v>0</v>
      </c>
      <c r="S115" s="2"/>
      <c r="T115" s="2"/>
      <c r="U115" s="2"/>
      <c r="V115" s="19">
        <f t="shared" si="13"/>
        <v>0</v>
      </c>
      <c r="W115" s="2"/>
      <c r="X115" s="2">
        <f t="shared" si="14"/>
        <v>0</v>
      </c>
      <c r="Y115" s="2"/>
      <c r="Z115" s="19">
        <f t="shared" si="15"/>
        <v>0</v>
      </c>
    </row>
    <row r="116" spans="1:26" s="24" customFormat="1" hidden="1" outlineLevel="1" x14ac:dyDescent="0.25">
      <c r="A116" s="44"/>
      <c r="B116" s="11" t="str">
        <f>CONCATENATE("          ", "5527", " - ", "FREIGHT-IN-SCHOOL SUPPLIES")</f>
        <v xml:space="preserve">          5527 - FREIGHT-IN-SCHOOL SUPPLIES</v>
      </c>
      <c r="C116" s="11"/>
      <c r="D116" s="2"/>
      <c r="E116" s="2"/>
      <c r="F116" s="19">
        <f t="shared" si="8"/>
        <v>0</v>
      </c>
      <c r="G116" s="2"/>
      <c r="H116" s="2"/>
      <c r="I116" s="2"/>
      <c r="J116" s="19">
        <f t="shared" si="9"/>
        <v>0</v>
      </c>
      <c r="K116" s="2"/>
      <c r="L116" s="2">
        <f t="shared" si="10"/>
        <v>0</v>
      </c>
      <c r="M116" s="2"/>
      <c r="N116" s="19">
        <f t="shared" si="11"/>
        <v>0</v>
      </c>
      <c r="O116" s="11"/>
      <c r="P116" s="2">
        <v>218.62</v>
      </c>
      <c r="Q116" s="2"/>
      <c r="R116" s="19">
        <f t="shared" si="12"/>
        <v>4.1943267699569734E-5</v>
      </c>
      <c r="S116" s="2"/>
      <c r="T116" s="2"/>
      <c r="U116" s="2"/>
      <c r="V116" s="19">
        <f t="shared" si="13"/>
        <v>0</v>
      </c>
      <c r="W116" s="2"/>
      <c r="X116" s="2">
        <f t="shared" si="14"/>
        <v>218.62</v>
      </c>
      <c r="Y116" s="2"/>
      <c r="Z116" s="19">
        <f t="shared" si="15"/>
        <v>0</v>
      </c>
    </row>
    <row r="117" spans="1:26" s="24" customFormat="1" hidden="1" outlineLevel="1" x14ac:dyDescent="0.25">
      <c r="A117" s="44"/>
      <c r="B117" s="11" t="str">
        <f>CONCATENATE("          ", "5528", " - ", "FREIGHT-IN-ART/TECH")</f>
        <v xml:space="preserve">          5528 - FREIGHT-IN-ART/TECH</v>
      </c>
      <c r="C117" s="11"/>
      <c r="D117" s="2">
        <v>28.53</v>
      </c>
      <c r="E117" s="2"/>
      <c r="F117" s="19">
        <f t="shared" si="8"/>
        <v>5.6298135349715589E-5</v>
      </c>
      <c r="G117" s="2"/>
      <c r="H117" s="2"/>
      <c r="I117" s="2"/>
      <c r="J117" s="19">
        <f t="shared" si="9"/>
        <v>0</v>
      </c>
      <c r="K117" s="2"/>
      <c r="L117" s="2">
        <f t="shared" si="10"/>
        <v>28.53</v>
      </c>
      <c r="M117" s="2"/>
      <c r="N117" s="19">
        <f t="shared" si="11"/>
        <v>0</v>
      </c>
      <c r="O117" s="11"/>
      <c r="P117" s="2">
        <v>572.96</v>
      </c>
      <c r="Q117" s="2"/>
      <c r="R117" s="19">
        <f t="shared" si="12"/>
        <v>1.0992505105271922E-4</v>
      </c>
      <c r="S117" s="2"/>
      <c r="T117" s="2"/>
      <c r="U117" s="2"/>
      <c r="V117" s="19">
        <f t="shared" si="13"/>
        <v>0</v>
      </c>
      <c r="W117" s="2"/>
      <c r="X117" s="2">
        <f t="shared" si="14"/>
        <v>572.96</v>
      </c>
      <c r="Y117" s="2"/>
      <c r="Z117" s="19">
        <f t="shared" si="15"/>
        <v>0</v>
      </c>
    </row>
    <row r="118" spans="1:26" s="24" customFormat="1" hidden="1" outlineLevel="1" x14ac:dyDescent="0.25">
      <c r="A118" s="44"/>
      <c r="B118" s="11" t="str">
        <f>CONCATENATE("          ", "5540", " - ", "FREIGHT-IN-LOGO CLOTHING")</f>
        <v xml:space="preserve">          5540 - FREIGHT-IN-LOGO CLOTHING</v>
      </c>
      <c r="C118" s="11"/>
      <c r="D118" s="2">
        <v>1283.68</v>
      </c>
      <c r="E118" s="2"/>
      <c r="F118" s="19">
        <f t="shared" si="8"/>
        <v>2.5330806304144026E-3</v>
      </c>
      <c r="G118" s="2"/>
      <c r="H118" s="2"/>
      <c r="I118" s="2"/>
      <c r="J118" s="19">
        <f t="shared" si="9"/>
        <v>0</v>
      </c>
      <c r="K118" s="2"/>
      <c r="L118" s="2">
        <f t="shared" si="10"/>
        <v>1283.68</v>
      </c>
      <c r="M118" s="2"/>
      <c r="N118" s="19">
        <f t="shared" si="11"/>
        <v>0</v>
      </c>
      <c r="O118" s="11"/>
      <c r="P118" s="2">
        <v>10499.7</v>
      </c>
      <c r="Q118" s="2"/>
      <c r="R118" s="19">
        <f t="shared" si="12"/>
        <v>2.0144164663121965E-3</v>
      </c>
      <c r="S118" s="2"/>
      <c r="T118" s="2"/>
      <c r="U118" s="2"/>
      <c r="V118" s="19">
        <f t="shared" si="13"/>
        <v>0</v>
      </c>
      <c r="W118" s="2"/>
      <c r="X118" s="2">
        <f t="shared" si="14"/>
        <v>10499.7</v>
      </c>
      <c r="Y118" s="2"/>
      <c r="Z118" s="19">
        <f t="shared" si="15"/>
        <v>0</v>
      </c>
    </row>
    <row r="119" spans="1:26" s="24" customFormat="1" hidden="1" outlineLevel="1" x14ac:dyDescent="0.25">
      <c r="A119" s="44"/>
      <c r="B119" s="11" t="str">
        <f>CONCATENATE("          ", "5541", " - ", "FREIGHT-IN-LOGO GIFTS")</f>
        <v xml:space="preserve">          5541 - FREIGHT-IN-LOGO GIFTS</v>
      </c>
      <c r="C119" s="11"/>
      <c r="D119" s="2">
        <v>961.21</v>
      </c>
      <c r="E119" s="2"/>
      <c r="F119" s="19">
        <f t="shared" si="8"/>
        <v>1.896751863985283E-3</v>
      </c>
      <c r="G119" s="2"/>
      <c r="H119" s="2"/>
      <c r="I119" s="2"/>
      <c r="J119" s="19">
        <f t="shared" si="9"/>
        <v>0</v>
      </c>
      <c r="K119" s="2"/>
      <c r="L119" s="2">
        <f t="shared" si="10"/>
        <v>961.21</v>
      </c>
      <c r="M119" s="2"/>
      <c r="N119" s="19">
        <f t="shared" si="11"/>
        <v>0</v>
      </c>
      <c r="O119" s="11"/>
      <c r="P119" s="2">
        <v>5977.2</v>
      </c>
      <c r="Q119" s="2"/>
      <c r="R119" s="19">
        <f t="shared" si="12"/>
        <v>1.1467537265294494E-3</v>
      </c>
      <c r="S119" s="2"/>
      <c r="T119" s="2"/>
      <c r="U119" s="2"/>
      <c r="V119" s="19">
        <f t="shared" si="13"/>
        <v>0</v>
      </c>
      <c r="W119" s="2"/>
      <c r="X119" s="2">
        <f t="shared" si="14"/>
        <v>5977.2</v>
      </c>
      <c r="Y119" s="2"/>
      <c r="Z119" s="19">
        <f t="shared" si="15"/>
        <v>0</v>
      </c>
    </row>
    <row r="120" spans="1:26" s="24" customFormat="1" hidden="1" outlineLevel="1" x14ac:dyDescent="0.25">
      <c r="A120" s="44"/>
      <c r="B120" s="11" t="str">
        <f>CONCATENATE("          ", "5542", " - ", "FREIGHT-IN-EVERYDAY GIFTS")</f>
        <v xml:space="preserve">          5542 - FREIGHT-IN-EVERYDAY GIFTS</v>
      </c>
      <c r="C120" s="11"/>
      <c r="D120" s="2"/>
      <c r="E120" s="2"/>
      <c r="F120" s="19">
        <f t="shared" si="8"/>
        <v>0</v>
      </c>
      <c r="G120" s="2"/>
      <c r="H120" s="2"/>
      <c r="I120" s="2"/>
      <c r="J120" s="19">
        <f t="shared" si="9"/>
        <v>0</v>
      </c>
      <c r="K120" s="2"/>
      <c r="L120" s="2">
        <f t="shared" si="10"/>
        <v>0</v>
      </c>
      <c r="M120" s="2"/>
      <c r="N120" s="19">
        <f t="shared" si="11"/>
        <v>0</v>
      </c>
      <c r="O120" s="11"/>
      <c r="P120" s="2">
        <v>681.72</v>
      </c>
      <c r="Q120" s="2"/>
      <c r="R120" s="19">
        <f t="shared" si="12"/>
        <v>1.307911648346477E-4</v>
      </c>
      <c r="S120" s="2"/>
      <c r="T120" s="2"/>
      <c r="U120" s="2"/>
      <c r="V120" s="19">
        <f t="shared" si="13"/>
        <v>0</v>
      </c>
      <c r="W120" s="2"/>
      <c r="X120" s="2">
        <f t="shared" si="14"/>
        <v>681.72</v>
      </c>
      <c r="Y120" s="2"/>
      <c r="Z120" s="19">
        <f t="shared" si="15"/>
        <v>0</v>
      </c>
    </row>
    <row r="121" spans="1:26" s="24" customFormat="1" hidden="1" outlineLevel="1" x14ac:dyDescent="0.25">
      <c r="A121" s="44"/>
      <c r="B121" s="11" t="str">
        <f>CONCATENATE("          ", "5543", " - ", "FREIGHT-IN-CARDS")</f>
        <v xml:space="preserve">          5543 - FREIGHT-IN-CARDS</v>
      </c>
      <c r="C121" s="11"/>
      <c r="D121" s="2"/>
      <c r="E121" s="2"/>
      <c r="F121" s="19">
        <f t="shared" si="8"/>
        <v>0</v>
      </c>
      <c r="G121" s="2"/>
      <c r="H121" s="2"/>
      <c r="I121" s="2"/>
      <c r="J121" s="19">
        <f t="shared" si="9"/>
        <v>0</v>
      </c>
      <c r="K121" s="2"/>
      <c r="L121" s="2">
        <f t="shared" si="10"/>
        <v>0</v>
      </c>
      <c r="M121" s="2"/>
      <c r="N121" s="19">
        <f t="shared" si="11"/>
        <v>0</v>
      </c>
      <c r="O121" s="11"/>
      <c r="P121" s="2">
        <v>9110.5300000000007</v>
      </c>
      <c r="Q121" s="2"/>
      <c r="R121" s="19">
        <f t="shared" si="12"/>
        <v>1.7478977160139103E-3</v>
      </c>
      <c r="S121" s="2"/>
      <c r="T121" s="2"/>
      <c r="U121" s="2"/>
      <c r="V121" s="19">
        <f t="shared" si="13"/>
        <v>0</v>
      </c>
      <c r="W121" s="2"/>
      <c r="X121" s="2">
        <f t="shared" si="14"/>
        <v>9110.5300000000007</v>
      </c>
      <c r="Y121" s="2"/>
      <c r="Z121" s="19">
        <f t="shared" si="15"/>
        <v>0</v>
      </c>
    </row>
    <row r="122" spans="1:26" s="24" customFormat="1" hidden="1" outlineLevel="1" x14ac:dyDescent="0.25">
      <c r="A122" s="44"/>
      <c r="B122" s="11" t="str">
        <f>CONCATENATE("          ", "5545", " - ", "FREIGHT-IN-SPECIAL ORDERS")</f>
        <v xml:space="preserve">          5545 - FREIGHT-IN-SPECIAL ORDERS</v>
      </c>
      <c r="C122" s="11"/>
      <c r="D122" s="2">
        <v>1033.9000000000001</v>
      </c>
      <c r="E122" s="2"/>
      <c r="F122" s="19">
        <f t="shared" si="8"/>
        <v>2.0401907514220451E-3</v>
      </c>
      <c r="G122" s="2"/>
      <c r="H122" s="2"/>
      <c r="I122" s="2"/>
      <c r="J122" s="19">
        <f t="shared" si="9"/>
        <v>0</v>
      </c>
      <c r="K122" s="2"/>
      <c r="L122" s="2">
        <f t="shared" si="10"/>
        <v>1033.9000000000001</v>
      </c>
      <c r="M122" s="2"/>
      <c r="N122" s="19">
        <f t="shared" si="11"/>
        <v>0</v>
      </c>
      <c r="O122" s="11"/>
      <c r="P122" s="2">
        <v>2468.66</v>
      </c>
      <c r="Q122" s="2"/>
      <c r="R122" s="19">
        <f t="shared" si="12"/>
        <v>4.7362394675336115E-4</v>
      </c>
      <c r="S122" s="2"/>
      <c r="T122" s="2"/>
      <c r="U122" s="2"/>
      <c r="V122" s="19">
        <f t="shared" si="13"/>
        <v>0</v>
      </c>
      <c r="W122" s="2"/>
      <c r="X122" s="2">
        <f t="shared" si="14"/>
        <v>2468.66</v>
      </c>
      <c r="Y122" s="2"/>
      <c r="Z122" s="19">
        <f t="shared" si="15"/>
        <v>0</v>
      </c>
    </row>
    <row r="123" spans="1:26" s="24" customFormat="1" hidden="1" outlineLevel="1" x14ac:dyDescent="0.25">
      <c r="A123" s="44"/>
      <c r="B123" s="11" t="str">
        <f>CONCATENATE("          ", "5592", " - ", "FREIGHT-IN-GRAD MERCH")</f>
        <v xml:space="preserve">          5592 - FREIGHT-IN-GRAD MERCH</v>
      </c>
      <c r="C123" s="11"/>
      <c r="D123" s="2"/>
      <c r="E123" s="2"/>
      <c r="F123" s="19">
        <f t="shared" si="8"/>
        <v>0</v>
      </c>
      <c r="G123" s="2"/>
      <c r="H123" s="2"/>
      <c r="I123" s="2"/>
      <c r="J123" s="19">
        <f t="shared" si="9"/>
        <v>0</v>
      </c>
      <c r="K123" s="2"/>
      <c r="L123" s="2">
        <f t="shared" si="10"/>
        <v>0</v>
      </c>
      <c r="M123" s="2"/>
      <c r="N123" s="19">
        <f t="shared" si="11"/>
        <v>0</v>
      </c>
      <c r="O123" s="11"/>
      <c r="P123" s="2">
        <v>0</v>
      </c>
      <c r="Q123" s="2"/>
      <c r="R123" s="19">
        <f t="shared" si="12"/>
        <v>0</v>
      </c>
      <c r="S123" s="2"/>
      <c r="T123" s="2"/>
      <c r="U123" s="2"/>
      <c r="V123" s="19">
        <f t="shared" si="13"/>
        <v>0</v>
      </c>
      <c r="W123" s="2"/>
      <c r="X123" s="2">
        <f t="shared" si="14"/>
        <v>0</v>
      </c>
      <c r="Y123" s="2"/>
      <c r="Z123" s="19">
        <f t="shared" si="15"/>
        <v>0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10"/>
      <c r="B125" s="28" t="s">
        <v>108</v>
      </c>
      <c r="C125" s="28"/>
      <c r="D125" s="20">
        <f>D12-D82</f>
        <v>258172.27000000019</v>
      </c>
      <c r="E125" s="14"/>
      <c r="F125" s="21">
        <f>IF(D$12=0,0,D125/D$12)</f>
        <v>0.5094503119524475</v>
      </c>
      <c r="G125" s="14"/>
      <c r="H125" s="20">
        <f>H12-H82</f>
        <v>343324</v>
      </c>
      <c r="I125" s="14"/>
      <c r="J125" s="21">
        <f>IF(H$12=0,0,H125/H$12)</f>
        <v>0.54435130322830239</v>
      </c>
      <c r="K125" s="15"/>
      <c r="L125" s="20">
        <f>+D125-H125</f>
        <v>-85151.729999999807</v>
      </c>
      <c r="M125" s="15"/>
      <c r="N125" s="21">
        <f>IF(H125=0,0,L125/H125)</f>
        <v>-0.24802148990457937</v>
      </c>
      <c r="O125" s="29"/>
      <c r="P125" s="20">
        <f>P12-P82</f>
        <v>1991107.0199999991</v>
      </c>
      <c r="Q125" s="14"/>
      <c r="R125" s="21">
        <f>IF(P$12=0,0,P125/P$12)</f>
        <v>0.3820031779267794</v>
      </c>
      <c r="S125" s="14"/>
      <c r="T125" s="20">
        <f>T12-T82</f>
        <v>4046686</v>
      </c>
      <c r="U125" s="14"/>
      <c r="V125" s="21">
        <f>IF(T$12=0,0,T125/T$12)</f>
        <v>0.43160401381282676</v>
      </c>
      <c r="W125" s="15"/>
      <c r="X125" s="20">
        <f>+P125-T125</f>
        <v>-2055578.9800000009</v>
      </c>
      <c r="Y125" s="15"/>
      <c r="Z125" s="21">
        <f>IF(T125=0,0,X125/T125)</f>
        <v>-0.50796601960221299</v>
      </c>
    </row>
    <row r="126" spans="1:26" x14ac:dyDescent="0.25">
      <c r="A126" s="9"/>
      <c r="B126" s="10"/>
      <c r="C126" s="9"/>
      <c r="D126" s="1"/>
      <c r="E126" s="1"/>
      <c r="F126" s="5"/>
      <c r="G126" s="1"/>
      <c r="H126" s="1"/>
      <c r="I126" s="1"/>
      <c r="J126" s="5"/>
      <c r="K126" s="1"/>
      <c r="L126" s="1"/>
      <c r="M126" s="1"/>
      <c r="N126" s="5"/>
      <c r="O126" s="36"/>
      <c r="P126" s="1"/>
      <c r="Q126" s="1"/>
      <c r="R126" s="5"/>
      <c r="S126" s="1"/>
      <c r="T126" s="1"/>
      <c r="U126" s="1"/>
      <c r="V126" s="5"/>
      <c r="W126" s="1"/>
      <c r="X126" s="1"/>
      <c r="Y126" s="1"/>
      <c r="Z126" s="5"/>
    </row>
    <row r="127" spans="1:26" s="23" customFormat="1" x14ac:dyDescent="0.25">
      <c r="A127" s="10"/>
      <c r="B127" s="29" t="s">
        <v>295</v>
      </c>
      <c r="C127" s="10"/>
      <c r="D127" s="22">
        <f>SUM(OSRRefD22x_0)</f>
        <v>245657.52</v>
      </c>
      <c r="E127" s="22"/>
      <c r="F127" s="31">
        <f t="shared" ref="F127:F138" si="16">IF(D$12=0,0,D127/D$12)</f>
        <v>0.4847550056304053</v>
      </c>
      <c r="G127" s="22"/>
      <c r="H127" s="22">
        <f>SUM(OSRRefH22x_0)</f>
        <v>392436.43861962843</v>
      </c>
      <c r="I127" s="22"/>
      <c r="J127" s="31">
        <f t="shared" ref="J127:J138" si="17">IF(H$12=0,0,H127/H$12)</f>
        <v>0.6222206626885054</v>
      </c>
      <c r="K127" s="4"/>
      <c r="L127" s="22">
        <f t="shared" ref="L127:L138" si="18">+D127-H127</f>
        <v>-146778.91861962844</v>
      </c>
      <c r="M127" s="4"/>
      <c r="N127" s="31">
        <f t="shared" ref="N127:N138" si="19">IF(H127=0,0,L127/H127)</f>
        <v>-0.37401959699745124</v>
      </c>
      <c r="O127" s="10"/>
      <c r="P127" s="22">
        <f>SUM(OSRRefP22x_0)</f>
        <v>3117094.2700000014</v>
      </c>
      <c r="Q127" s="22"/>
      <c r="R127" s="31">
        <f t="shared" ref="R127:R138" si="20">IF(P$12=0,0,P127/P$12)</f>
        <v>0.59802908888210116</v>
      </c>
      <c r="S127" s="22"/>
      <c r="T127" s="22">
        <f>SUM(OSRRefT22x_0)</f>
        <v>4700820.7457712814</v>
      </c>
      <c r="U127" s="22"/>
      <c r="V127" s="31">
        <f t="shared" ref="V127:V138" si="21">IF(T$12=0,0,T127/T$12)</f>
        <v>0.50137151785176581</v>
      </c>
      <c r="W127" s="4"/>
      <c r="X127" s="22">
        <f t="shared" ref="X127:X138" si="22">+P127-T127</f>
        <v>-1583726.47577128</v>
      </c>
      <c r="Y127" s="4"/>
      <c r="Z127" s="31">
        <f t="shared" ref="Z127:Z138" si="23">IF(T127=0,0,X127/T127)</f>
        <v>-0.33690424745422454</v>
      </c>
    </row>
    <row r="128" spans="1:26" s="27" customFormat="1" outlineLevel="1" collapsed="1" x14ac:dyDescent="0.25">
      <c r="A128" s="26"/>
      <c r="B128" s="13" t="str">
        <f>CONCATENATE("     ","*Benefits                                         ")</f>
        <v xml:space="preserve">     *Benefits                                         </v>
      </c>
      <c r="C128" s="13"/>
      <c r="D128" s="1">
        <f>SUM(OSRRefD22_0x_0)</f>
        <v>47641.08</v>
      </c>
      <c r="E128" s="1"/>
      <c r="F128" s="5">
        <f t="shared" si="16"/>
        <v>9.400995338403885E-2</v>
      </c>
      <c r="G128" s="1"/>
      <c r="H128" s="1">
        <f>SUM(OSRRefH22_0x_0)</f>
        <v>48820.623175936147</v>
      </c>
      <c r="I128" s="1"/>
      <c r="J128" s="5">
        <f t="shared" si="17"/>
        <v>7.7406676638506783E-2</v>
      </c>
      <c r="K128" s="1"/>
      <c r="L128" s="1">
        <f t="shared" si="18"/>
        <v>-1179.5431759361454</v>
      </c>
      <c r="M128" s="1"/>
      <c r="N128" s="5">
        <f t="shared" si="19"/>
        <v>-2.4160756237899608E-2</v>
      </c>
      <c r="O128" s="13"/>
      <c r="P128" s="1">
        <f>SUM(OSRRefP22_0x_0)</f>
        <v>546528.23</v>
      </c>
      <c r="Q128" s="1"/>
      <c r="R128" s="5">
        <f t="shared" si="20"/>
        <v>0.10485399257278391</v>
      </c>
      <c r="S128" s="1"/>
      <c r="T128" s="1">
        <f>SUM(OSRRefT22_0x_0)</f>
        <v>581466.60549697408</v>
      </c>
      <c r="U128" s="1"/>
      <c r="V128" s="5">
        <f t="shared" si="21"/>
        <v>6.201699880608811E-2</v>
      </c>
      <c r="W128" s="1"/>
      <c r="X128" s="1">
        <f t="shared" si="22"/>
        <v>-34938.375496974098</v>
      </c>
      <c r="Y128" s="1"/>
      <c r="Z128" s="5">
        <f t="shared" si="23"/>
        <v>-6.0086641548593486E-2</v>
      </c>
    </row>
    <row r="129" spans="1:26" s="24" customFormat="1" hidden="1" outlineLevel="2" x14ac:dyDescent="0.25">
      <c r="A129" s="25"/>
      <c r="B129" s="11" t="str">
        <f>CONCATENATE("          ", "6111", " - ", "F.I.C.A.")</f>
        <v xml:space="preserve">          6111 - F.I.C.A.</v>
      </c>
      <c r="C129" s="11"/>
      <c r="D129" s="7">
        <v>8259.76</v>
      </c>
      <c r="E129" s="2"/>
      <c r="F129" s="6">
        <f t="shared" si="16"/>
        <v>1.6298951504948013E-2</v>
      </c>
      <c r="G129" s="2"/>
      <c r="H129" s="7">
        <v>7544.9185000592297</v>
      </c>
      <c r="I129" s="2"/>
      <c r="J129" s="6">
        <f t="shared" si="17"/>
        <v>1.1962712243416045E-2</v>
      </c>
      <c r="K129" s="2"/>
      <c r="L129" s="7">
        <f t="shared" si="18"/>
        <v>714.84149994077052</v>
      </c>
      <c r="M129" s="2"/>
      <c r="N129" s="6">
        <f t="shared" si="19"/>
        <v>9.4744760985179477E-2</v>
      </c>
      <c r="O129" s="11"/>
      <c r="P129" s="7">
        <v>101387.62</v>
      </c>
      <c r="Q129" s="2"/>
      <c r="R129" s="6">
        <f t="shared" si="20"/>
        <v>1.9451688258541076E-2</v>
      </c>
      <c r="S129" s="2"/>
      <c r="T129" s="7">
        <v>100982.67777477601</v>
      </c>
      <c r="U129" s="2"/>
      <c r="V129" s="6">
        <f t="shared" si="21"/>
        <v>1.077042524504265E-2</v>
      </c>
      <c r="W129" s="2"/>
      <c r="X129" s="7">
        <f t="shared" si="22"/>
        <v>404.94222522398923</v>
      </c>
      <c r="Y129" s="2"/>
      <c r="Z129" s="6">
        <f t="shared" si="23"/>
        <v>4.0100167092730621E-3</v>
      </c>
    </row>
    <row r="130" spans="1:26" s="24" customFormat="1" hidden="1" outlineLevel="2" x14ac:dyDescent="0.25">
      <c r="A130" s="25"/>
      <c r="B130" s="11" t="str">
        <f>CONCATENATE("          ", "6112", " - ", "COMPENSATION INSURANCE")</f>
        <v xml:space="preserve">          6112 - COMPENSATION INSURANCE</v>
      </c>
      <c r="C130" s="11"/>
      <c r="D130" s="7">
        <v>2713.69</v>
      </c>
      <c r="E130" s="2"/>
      <c r="F130" s="6">
        <f t="shared" si="16"/>
        <v>5.3549136669179707E-3</v>
      </c>
      <c r="G130" s="2"/>
      <c r="H130" s="7">
        <v>3179.84250723077</v>
      </c>
      <c r="I130" s="2"/>
      <c r="J130" s="6">
        <f t="shared" si="17"/>
        <v>5.0417431140025813E-3</v>
      </c>
      <c r="K130" s="2"/>
      <c r="L130" s="7">
        <f t="shared" si="18"/>
        <v>-466.15250723076997</v>
      </c>
      <c r="M130" s="2"/>
      <c r="N130" s="6">
        <f t="shared" si="19"/>
        <v>-0.14659609907433066</v>
      </c>
      <c r="O130" s="11"/>
      <c r="P130" s="7">
        <v>25122.69</v>
      </c>
      <c r="Q130" s="2"/>
      <c r="R130" s="6">
        <f t="shared" si="20"/>
        <v>4.8199053700635971E-3</v>
      </c>
      <c r="S130" s="2"/>
      <c r="T130" s="7">
        <v>40746.724792894202</v>
      </c>
      <c r="U130" s="2"/>
      <c r="V130" s="6">
        <f t="shared" si="21"/>
        <v>4.3458894439399945E-3</v>
      </c>
      <c r="W130" s="2"/>
      <c r="X130" s="7">
        <f t="shared" si="22"/>
        <v>-15624.034792894203</v>
      </c>
      <c r="Y130" s="2"/>
      <c r="Z130" s="6">
        <f t="shared" si="23"/>
        <v>-0.38344271526870966</v>
      </c>
    </row>
    <row r="131" spans="1:26" s="24" customFormat="1" hidden="1" outlineLevel="2" x14ac:dyDescent="0.25">
      <c r="A131" s="25"/>
      <c r="B131" s="11" t="str">
        <f>CONCATENATE("          ", "6113", " - ", "GROUP INSURANCE")</f>
        <v xml:space="preserve">          6113 - GROUP INSURANCE</v>
      </c>
      <c r="C131" s="11"/>
      <c r="D131" s="7">
        <v>18284.05</v>
      </c>
      <c r="E131" s="2"/>
      <c r="F131" s="6">
        <f t="shared" si="16"/>
        <v>3.6079843029827106E-2</v>
      </c>
      <c r="G131" s="2"/>
      <c r="H131" s="7">
        <v>21247.5</v>
      </c>
      <c r="I131" s="2"/>
      <c r="J131" s="6">
        <f t="shared" si="17"/>
        <v>3.3688598278428988E-2</v>
      </c>
      <c r="K131" s="2"/>
      <c r="L131" s="7">
        <f t="shared" si="18"/>
        <v>-2963.4500000000007</v>
      </c>
      <c r="M131" s="2"/>
      <c r="N131" s="6">
        <f t="shared" si="19"/>
        <v>-0.13947287916225443</v>
      </c>
      <c r="O131" s="11"/>
      <c r="P131" s="7">
        <v>201221.91</v>
      </c>
      <c r="Q131" s="2"/>
      <c r="R131" s="6">
        <f t="shared" si="20"/>
        <v>3.8605362904348774E-2</v>
      </c>
      <c r="S131" s="2"/>
      <c r="T131" s="7">
        <v>236842.5</v>
      </c>
      <c r="U131" s="2"/>
      <c r="V131" s="6">
        <f t="shared" si="21"/>
        <v>2.526071299860291E-2</v>
      </c>
      <c r="W131" s="2"/>
      <c r="X131" s="7">
        <f t="shared" si="22"/>
        <v>-35620.589999999997</v>
      </c>
      <c r="Y131" s="2"/>
      <c r="Z131" s="6">
        <f t="shared" si="23"/>
        <v>-0.15039779600367331</v>
      </c>
    </row>
    <row r="132" spans="1:26" s="24" customFormat="1" hidden="1" outlineLevel="2" x14ac:dyDescent="0.25">
      <c r="A132" s="25"/>
      <c r="B132" s="11" t="str">
        <f>CONCATENATE("          ", "6114", " - ", "STATE UNEMPLOYMENT INSURANCE")</f>
        <v xml:space="preserve">          6114 - STATE UNEMPLOYMENT INSURANCE</v>
      </c>
      <c r="C132" s="11"/>
      <c r="D132" s="7">
        <v>481.57</v>
      </c>
      <c r="E132" s="2"/>
      <c r="F132" s="6">
        <f t="shared" si="16"/>
        <v>9.5028016264852916E-4</v>
      </c>
      <c r="G132" s="2"/>
      <c r="H132" s="7">
        <v>451.56929680000002</v>
      </c>
      <c r="I132" s="2"/>
      <c r="J132" s="6">
        <f t="shared" si="17"/>
        <v>7.1597772136806079E-4</v>
      </c>
      <c r="K132" s="2"/>
      <c r="L132" s="7">
        <f t="shared" si="18"/>
        <v>30.000703199999975</v>
      </c>
      <c r="M132" s="2"/>
      <c r="N132" s="6">
        <f t="shared" si="19"/>
        <v>6.6436543433304504E-2</v>
      </c>
      <c r="O132" s="11"/>
      <c r="P132" s="7">
        <v>4147.1499999999996</v>
      </c>
      <c r="Q132" s="2"/>
      <c r="R132" s="6">
        <f t="shared" si="20"/>
        <v>7.9565008983748333E-4</v>
      </c>
      <c r="S132" s="2"/>
      <c r="T132" s="7">
        <v>5771.8208716500003</v>
      </c>
      <c r="U132" s="2"/>
      <c r="V132" s="6">
        <f t="shared" si="21"/>
        <v>6.1560028507593335E-4</v>
      </c>
      <c r="W132" s="2"/>
      <c r="X132" s="7">
        <f t="shared" si="22"/>
        <v>-1624.6708716500007</v>
      </c>
      <c r="Y132" s="2"/>
      <c r="Z132" s="6">
        <f t="shared" si="23"/>
        <v>-0.28148324554388904</v>
      </c>
    </row>
    <row r="133" spans="1:26" s="24" customFormat="1" hidden="1" outlineLevel="2" x14ac:dyDescent="0.25">
      <c r="A133" s="25"/>
      <c r="B133" s="11" t="str">
        <f>CONCATENATE("          ", "6115", " - ", "P.E.R.S.")</f>
        <v xml:space="preserve">          6115 - P.E.R.S.</v>
      </c>
      <c r="C133" s="11"/>
      <c r="D133" s="7">
        <v>6355.39</v>
      </c>
      <c r="E133" s="2"/>
      <c r="F133" s="6">
        <f t="shared" si="16"/>
        <v>1.2541065770074623E-2</v>
      </c>
      <c r="G133" s="2"/>
      <c r="H133" s="7">
        <v>5604.8280141538498</v>
      </c>
      <c r="I133" s="2"/>
      <c r="J133" s="6">
        <f t="shared" si="17"/>
        <v>8.8866360460531334E-3</v>
      </c>
      <c r="K133" s="2"/>
      <c r="L133" s="7">
        <f t="shared" si="18"/>
        <v>750.56198584615049</v>
      </c>
      <c r="M133" s="2"/>
      <c r="N133" s="6">
        <f t="shared" si="19"/>
        <v>0.13391347316113167</v>
      </c>
      <c r="O133" s="11"/>
      <c r="P133" s="7">
        <v>80225.929999999993</v>
      </c>
      <c r="Q133" s="2"/>
      <c r="R133" s="6">
        <f t="shared" si="20"/>
        <v>1.5391719231712297E-2</v>
      </c>
      <c r="S133" s="2"/>
      <c r="T133" s="7">
        <v>66766.300227846194</v>
      </c>
      <c r="U133" s="2"/>
      <c r="V133" s="6">
        <f t="shared" si="21"/>
        <v>7.1210376010816421E-3</v>
      </c>
      <c r="W133" s="2"/>
      <c r="X133" s="7">
        <f t="shared" si="22"/>
        <v>13459.629772153799</v>
      </c>
      <c r="Y133" s="2"/>
      <c r="Z133" s="6">
        <f t="shared" si="23"/>
        <v>0.2015931649083679</v>
      </c>
    </row>
    <row r="134" spans="1:26" s="24" customFormat="1" hidden="1" outlineLevel="2" x14ac:dyDescent="0.25">
      <c r="A134" s="25"/>
      <c r="B134" s="11" t="str">
        <f>CONCATENATE("          ", "6116", " - ", "EDUCATIONAL BENEFITS")</f>
        <v xml:space="preserve">          6116 - EDUCATIONAL BENEFITS</v>
      </c>
      <c r="C134" s="11"/>
      <c r="D134" s="7"/>
      <c r="E134" s="2"/>
      <c r="F134" s="6">
        <f t="shared" si="16"/>
        <v>0</v>
      </c>
      <c r="G134" s="2"/>
      <c r="H134" s="7">
        <v>0</v>
      </c>
      <c r="I134" s="2"/>
      <c r="J134" s="6">
        <f t="shared" si="17"/>
        <v>0</v>
      </c>
      <c r="K134" s="2"/>
      <c r="L134" s="7">
        <f t="shared" si="18"/>
        <v>0</v>
      </c>
      <c r="M134" s="2"/>
      <c r="N134" s="6">
        <f t="shared" si="19"/>
        <v>0</v>
      </c>
      <c r="O134" s="11"/>
      <c r="P134" s="7">
        <v>0</v>
      </c>
      <c r="Q134" s="2"/>
      <c r="R134" s="6">
        <f t="shared" si="20"/>
        <v>0</v>
      </c>
      <c r="S134" s="2"/>
      <c r="T134" s="7">
        <v>0</v>
      </c>
      <c r="U134" s="2"/>
      <c r="V134" s="6">
        <f t="shared" si="21"/>
        <v>0</v>
      </c>
      <c r="W134" s="2"/>
      <c r="X134" s="7">
        <f t="shared" si="22"/>
        <v>0</v>
      </c>
      <c r="Y134" s="2"/>
      <c r="Z134" s="6">
        <f t="shared" si="23"/>
        <v>0</v>
      </c>
    </row>
    <row r="135" spans="1:26" s="24" customFormat="1" hidden="1" outlineLevel="2" x14ac:dyDescent="0.25">
      <c r="A135" s="25"/>
      <c r="B135" s="11" t="str">
        <f>CONCATENATE("          ", "6117", " - ", "RETIREMENT STAFF HOURLY")</f>
        <v xml:space="preserve">          6117 - RETIREMENT STAFF HOURLY</v>
      </c>
      <c r="C135" s="11"/>
      <c r="D135" s="7">
        <v>477.35</v>
      </c>
      <c r="E135" s="2"/>
      <c r="F135" s="6">
        <f t="shared" si="16"/>
        <v>9.4195285345905139E-4</v>
      </c>
      <c r="G135" s="2"/>
      <c r="H135" s="7"/>
      <c r="I135" s="2"/>
      <c r="J135" s="6">
        <f t="shared" si="17"/>
        <v>0</v>
      </c>
      <c r="K135" s="2"/>
      <c r="L135" s="7">
        <f t="shared" si="18"/>
        <v>477.35</v>
      </c>
      <c r="M135" s="2"/>
      <c r="N135" s="6">
        <f t="shared" si="19"/>
        <v>0</v>
      </c>
      <c r="O135" s="11"/>
      <c r="P135" s="7">
        <v>4238.32</v>
      </c>
      <c r="Q135" s="2"/>
      <c r="R135" s="6">
        <f t="shared" si="20"/>
        <v>8.1314147999469576E-4</v>
      </c>
      <c r="S135" s="2"/>
      <c r="T135" s="7"/>
      <c r="U135" s="2"/>
      <c r="V135" s="6">
        <f t="shared" si="21"/>
        <v>0</v>
      </c>
      <c r="W135" s="2"/>
      <c r="X135" s="7">
        <f t="shared" si="22"/>
        <v>4238.32</v>
      </c>
      <c r="Y135" s="2"/>
      <c r="Z135" s="6">
        <f t="shared" si="23"/>
        <v>0</v>
      </c>
    </row>
    <row r="136" spans="1:26" s="24" customFormat="1" hidden="1" outlineLevel="2" x14ac:dyDescent="0.25">
      <c r="A136" s="25"/>
      <c r="B136" s="11" t="str">
        <f>CONCATENATE("          ", "6118", " - ", "VACATION")</f>
        <v xml:space="preserve">          6118 - VACATION</v>
      </c>
      <c r="C136" s="11"/>
      <c r="D136" s="7">
        <v>5570.12</v>
      </c>
      <c r="E136" s="2"/>
      <c r="F136" s="6">
        <f t="shared" si="16"/>
        <v>1.0991495607226001E-2</v>
      </c>
      <c r="G136" s="2"/>
      <c r="H136" s="7">
        <v>4370.4580123076903</v>
      </c>
      <c r="I136" s="2"/>
      <c r="J136" s="6">
        <f t="shared" si="17"/>
        <v>6.9295024953229811E-3</v>
      </c>
      <c r="K136" s="2"/>
      <c r="L136" s="7">
        <f t="shared" si="18"/>
        <v>1199.6619876923096</v>
      </c>
      <c r="M136" s="2"/>
      <c r="N136" s="6">
        <f t="shared" si="19"/>
        <v>0.27449342478841565</v>
      </c>
      <c r="O136" s="11"/>
      <c r="P136" s="7">
        <v>66510.73</v>
      </c>
      <c r="Q136" s="2"/>
      <c r="R136" s="6">
        <f t="shared" si="20"/>
        <v>1.2760394077777897E-2</v>
      </c>
      <c r="S136" s="2"/>
      <c r="T136" s="7">
        <v>52122.221297692297</v>
      </c>
      <c r="U136" s="2"/>
      <c r="V136" s="6">
        <f t="shared" si="21"/>
        <v>5.5591562876201412E-3</v>
      </c>
      <c r="W136" s="2"/>
      <c r="X136" s="7">
        <f t="shared" si="22"/>
        <v>14388.508702307699</v>
      </c>
      <c r="Y136" s="2"/>
      <c r="Z136" s="6">
        <f t="shared" si="23"/>
        <v>0.27605325222286237</v>
      </c>
    </row>
    <row r="137" spans="1:26" s="24" customFormat="1" hidden="1" outlineLevel="2" x14ac:dyDescent="0.25">
      <c r="A137" s="25"/>
      <c r="B137" s="11" t="str">
        <f>CONCATENATE("          ", "6119", " - ", "SICK LEAVE")</f>
        <v xml:space="preserve">          6119 - SICK LEAVE</v>
      </c>
      <c r="C137" s="11"/>
      <c r="D137" s="7">
        <v>3824.03</v>
      </c>
      <c r="E137" s="2"/>
      <c r="F137" s="6">
        <f t="shared" si="16"/>
        <v>7.5459431658385177E-3</v>
      </c>
      <c r="G137" s="2"/>
      <c r="H137" s="7">
        <v>4621.5068453846097</v>
      </c>
      <c r="I137" s="2"/>
      <c r="J137" s="6">
        <f t="shared" si="17"/>
        <v>7.3275485377184025E-3</v>
      </c>
      <c r="K137" s="2"/>
      <c r="L137" s="7">
        <f t="shared" si="18"/>
        <v>-797.47684538460953</v>
      </c>
      <c r="M137" s="2"/>
      <c r="N137" s="6">
        <f t="shared" si="19"/>
        <v>-0.17255775487621119</v>
      </c>
      <c r="O137" s="11"/>
      <c r="P137" s="7">
        <v>46975.76</v>
      </c>
      <c r="Q137" s="2"/>
      <c r="R137" s="6">
        <f t="shared" si="20"/>
        <v>9.0125188778279203E-3</v>
      </c>
      <c r="S137" s="2"/>
      <c r="T137" s="7">
        <v>58434.360532115403</v>
      </c>
      <c r="U137" s="2"/>
      <c r="V137" s="6">
        <f t="shared" si="21"/>
        <v>6.2323848576951203E-3</v>
      </c>
      <c r="W137" s="2"/>
      <c r="X137" s="7">
        <f t="shared" si="22"/>
        <v>-11458.600532115401</v>
      </c>
      <c r="Y137" s="2"/>
      <c r="Z137" s="6">
        <f t="shared" si="23"/>
        <v>-0.19609353859220857</v>
      </c>
    </row>
    <row r="138" spans="1:26" s="24" customFormat="1" hidden="1" outlineLevel="2" x14ac:dyDescent="0.25">
      <c r="A138" s="25"/>
      <c r="B138" s="11" t="str">
        <f>CONCATENATE("          ", "6156", " - ", "EMPLOYEE MEALS")</f>
        <v xml:space="preserve">          6156 - EMPLOYEE MEALS</v>
      </c>
      <c r="C138" s="11"/>
      <c r="D138" s="7">
        <v>1675.12</v>
      </c>
      <c r="E138" s="2"/>
      <c r="F138" s="6">
        <f t="shared" si="16"/>
        <v>3.3055076230990386E-3</v>
      </c>
      <c r="G138" s="2"/>
      <c r="H138" s="7">
        <v>1800</v>
      </c>
      <c r="I138" s="2"/>
      <c r="J138" s="6">
        <f t="shared" si="17"/>
        <v>2.8539582021965965E-3</v>
      </c>
      <c r="K138" s="2"/>
      <c r="L138" s="7">
        <f t="shared" si="18"/>
        <v>-124.88000000000011</v>
      </c>
      <c r="M138" s="2"/>
      <c r="N138" s="6">
        <f t="shared" si="19"/>
        <v>-6.9377777777777844E-2</v>
      </c>
      <c r="O138" s="11"/>
      <c r="P138" s="7">
        <v>16698.12</v>
      </c>
      <c r="Q138" s="2"/>
      <c r="R138" s="6">
        <f t="shared" si="20"/>
        <v>3.2036122826801725E-3</v>
      </c>
      <c r="S138" s="2"/>
      <c r="T138" s="7">
        <v>19800</v>
      </c>
      <c r="U138" s="2"/>
      <c r="V138" s="6">
        <f t="shared" si="21"/>
        <v>2.1117920870297249E-3</v>
      </c>
      <c r="W138" s="2"/>
      <c r="X138" s="7">
        <f t="shared" si="22"/>
        <v>-3101.880000000001</v>
      </c>
      <c r="Y138" s="2"/>
      <c r="Z138" s="6">
        <f t="shared" si="23"/>
        <v>-0.15666060606060611</v>
      </c>
    </row>
    <row r="139" spans="1:26" s="27" customFormat="1" outlineLevel="1" collapsed="1" x14ac:dyDescent="0.25">
      <c r="A139" s="26"/>
      <c r="B139" s="13" t="str">
        <f>CONCATENATE("     ","*Payroll                                          ")</f>
        <v xml:space="preserve">     *Payroll                                          </v>
      </c>
      <c r="C139" s="13"/>
      <c r="D139" s="1">
        <f>SUM(OSRRefD22_1x_0)</f>
        <v>122510.93000000001</v>
      </c>
      <c r="E139" s="1"/>
      <c r="F139" s="5">
        <f t="shared" ref="F139:F149" si="24">IF(D$12=0,0,D139/D$12)</f>
        <v>0.24175033014228994</v>
      </c>
      <c r="G139" s="1"/>
      <c r="H139" s="1">
        <f>SUM(OSRRefH22_1x_0)</f>
        <v>160648.81544369229</v>
      </c>
      <c r="I139" s="1"/>
      <c r="J139" s="5">
        <f t="shared" ref="J139:J149" si="25">IF(H$12=0,0,H139/H$12)</f>
        <v>0.25471389139371825</v>
      </c>
      <c r="K139" s="1"/>
      <c r="L139" s="1">
        <f t="shared" ref="L139:L149" si="26">+D139-H139</f>
        <v>-38137.885443692285</v>
      </c>
      <c r="M139" s="1"/>
      <c r="N139" s="5">
        <f t="shared" ref="N139:N149" si="27">IF(H139=0,0,L139/H139)</f>
        <v>-0.23739910772675249</v>
      </c>
      <c r="O139" s="13"/>
      <c r="P139" s="1">
        <f>SUM(OSRRefP22_1x_0)</f>
        <v>1413331.09</v>
      </c>
      <c r="Q139" s="1"/>
      <c r="R139" s="5">
        <f t="shared" ref="R139:R149" si="28">IF(P$12=0,0,P139/P$12)</f>
        <v>0.27115416821880289</v>
      </c>
      <c r="S139" s="1"/>
      <c r="T139" s="1">
        <f>SUM(OSRRefT22_1x_0)</f>
        <v>2071568.1402743082</v>
      </c>
      <c r="U139" s="1"/>
      <c r="V139" s="5">
        <f t="shared" ref="V139:V149" si="29">IF(T$12=0,0,T139/T$12)</f>
        <v>0.22094551547344279</v>
      </c>
      <c r="W139" s="1"/>
      <c r="X139" s="1">
        <f t="shared" ref="X139:X149" si="30">+P139-T139</f>
        <v>-658237.05027430807</v>
      </c>
      <c r="Y139" s="1"/>
      <c r="Z139" s="5">
        <f t="shared" ref="Z139:Z149" si="31">IF(T139=0,0,X139/T139)</f>
        <v>-0.31774820121878644</v>
      </c>
    </row>
    <row r="140" spans="1:26" s="24" customFormat="1" hidden="1" outlineLevel="2" x14ac:dyDescent="0.25">
      <c r="A140" s="25"/>
      <c r="B140" s="11" t="str">
        <f>CONCATENATE("          ", "6001", " - ", "ADMINISTRATIVE SALARIES")</f>
        <v xml:space="preserve">          6001 - ADMINISTRATIVE SALARIES</v>
      </c>
      <c r="C140" s="11"/>
      <c r="D140" s="7">
        <v>4205.74</v>
      </c>
      <c r="E140" s="2"/>
      <c r="F140" s="6">
        <f t="shared" si="24"/>
        <v>8.2991699882829593E-3</v>
      </c>
      <c r="G140" s="2"/>
      <c r="H140" s="7">
        <v>13047.3923076923</v>
      </c>
      <c r="I140" s="2"/>
      <c r="J140" s="6">
        <f t="shared" si="25"/>
        <v>2.0687062385452901E-2</v>
      </c>
      <c r="K140" s="2"/>
      <c r="L140" s="7">
        <f t="shared" si="26"/>
        <v>-8841.6523076923004</v>
      </c>
      <c r="M140" s="2"/>
      <c r="N140" s="6">
        <f t="shared" si="27"/>
        <v>-0.67765666113063538</v>
      </c>
      <c r="O140" s="11"/>
      <c r="P140" s="7">
        <v>47398.53</v>
      </c>
      <c r="Q140" s="2"/>
      <c r="R140" s="6">
        <f t="shared" si="28"/>
        <v>9.0936292761690917E-3</v>
      </c>
      <c r="S140" s="2"/>
      <c r="T140" s="7">
        <v>156568.707692308</v>
      </c>
      <c r="U140" s="2"/>
      <c r="V140" s="6">
        <f t="shared" si="29"/>
        <v>1.6699018079852832E-2</v>
      </c>
      <c r="W140" s="2"/>
      <c r="X140" s="7">
        <f t="shared" si="30"/>
        <v>-109170.177692308</v>
      </c>
      <c r="Y140" s="2"/>
      <c r="Z140" s="6">
        <f t="shared" si="31"/>
        <v>-0.69726690155003035</v>
      </c>
    </row>
    <row r="141" spans="1:26" s="24" customFormat="1" hidden="1" outlineLevel="2" x14ac:dyDescent="0.25">
      <c r="A141" s="25"/>
      <c r="B141" s="11" t="str">
        <f>CONCATENATE("          ", "6002", " - ", "STAFF SALARIES")</f>
        <v xml:space="preserve">          6002 - STAFF SALARIES</v>
      </c>
      <c r="C141" s="11"/>
      <c r="D141" s="7">
        <v>63555.839999999997</v>
      </c>
      <c r="E141" s="2"/>
      <c r="F141" s="6">
        <f t="shared" si="24"/>
        <v>0.12541448589501814</v>
      </c>
      <c r="G141" s="2"/>
      <c r="H141" s="7">
        <v>45742.818055999996</v>
      </c>
      <c r="I141" s="2"/>
      <c r="J141" s="6">
        <f t="shared" si="25"/>
        <v>7.2526717101393204E-2</v>
      </c>
      <c r="K141" s="2"/>
      <c r="L141" s="7">
        <f t="shared" si="26"/>
        <v>17813.021944</v>
      </c>
      <c r="M141" s="2"/>
      <c r="N141" s="6">
        <f t="shared" si="27"/>
        <v>0.38941680248454874</v>
      </c>
      <c r="O141" s="11"/>
      <c r="P141" s="7">
        <v>706559.14</v>
      </c>
      <c r="Q141" s="2"/>
      <c r="R141" s="6">
        <f t="shared" si="28"/>
        <v>0.13555666981336462</v>
      </c>
      <c r="S141" s="2"/>
      <c r="T141" s="7">
        <v>543768.78937200003</v>
      </c>
      <c r="U141" s="2"/>
      <c r="V141" s="6">
        <f t="shared" si="29"/>
        <v>5.799629427118802E-2</v>
      </c>
      <c r="W141" s="2"/>
      <c r="X141" s="7">
        <f t="shared" si="30"/>
        <v>162790.35062799999</v>
      </c>
      <c r="Y141" s="2"/>
      <c r="Z141" s="6">
        <f t="shared" si="31"/>
        <v>0.29937420795336006</v>
      </c>
    </row>
    <row r="142" spans="1:26" s="24" customFormat="1" hidden="1" outlineLevel="2" x14ac:dyDescent="0.25">
      <c r="A142" s="25"/>
      <c r="B142" s="11" t="str">
        <f>CONCATENATE("          ", "6003", " - ", "STAFF HOURLY-9 MONTH")</f>
        <v xml:space="preserve">          6003 - STAFF HOURLY-9 MONTH</v>
      </c>
      <c r="C142" s="11"/>
      <c r="D142" s="7"/>
      <c r="E142" s="2"/>
      <c r="F142" s="6">
        <f t="shared" si="24"/>
        <v>0</v>
      </c>
      <c r="G142" s="2"/>
      <c r="H142" s="7">
        <v>0</v>
      </c>
      <c r="I142" s="2"/>
      <c r="J142" s="6">
        <f t="shared" si="25"/>
        <v>0</v>
      </c>
      <c r="K142" s="2"/>
      <c r="L142" s="7">
        <f t="shared" si="26"/>
        <v>0</v>
      </c>
      <c r="M142" s="2"/>
      <c r="N142" s="6">
        <f t="shared" si="27"/>
        <v>0</v>
      </c>
      <c r="O142" s="11"/>
      <c r="P142" s="7"/>
      <c r="Q142" s="2"/>
      <c r="R142" s="6">
        <f t="shared" si="28"/>
        <v>0</v>
      </c>
      <c r="S142" s="2"/>
      <c r="T142" s="7">
        <v>0</v>
      </c>
      <c r="U142" s="2"/>
      <c r="V142" s="6">
        <f t="shared" si="29"/>
        <v>0</v>
      </c>
      <c r="W142" s="2"/>
      <c r="X142" s="7">
        <f t="shared" si="30"/>
        <v>0</v>
      </c>
      <c r="Y142" s="2"/>
      <c r="Z142" s="6">
        <f t="shared" si="31"/>
        <v>0</v>
      </c>
    </row>
    <row r="143" spans="1:26" s="24" customFormat="1" hidden="1" outlineLevel="2" x14ac:dyDescent="0.25">
      <c r="A143" s="25"/>
      <c r="B143" s="11" t="str">
        <f>CONCATENATE("          ", "6004", " - ", "STAFF HOURLY")</f>
        <v xml:space="preserve">          6004 - STAFF HOURLY</v>
      </c>
      <c r="C143" s="11"/>
      <c r="D143" s="7">
        <v>13052.53</v>
      </c>
      <c r="E143" s="2"/>
      <c r="F143" s="6">
        <f t="shared" si="24"/>
        <v>2.5756505453775787E-2</v>
      </c>
      <c r="G143" s="2"/>
      <c r="H143" s="7">
        <v>28977.290079999999</v>
      </c>
      <c r="I143" s="2"/>
      <c r="J143" s="6">
        <f t="shared" si="25"/>
        <v>4.5944430389581147E-2</v>
      </c>
      <c r="K143" s="2"/>
      <c r="L143" s="7">
        <f t="shared" si="26"/>
        <v>-15924.760079999998</v>
      </c>
      <c r="M143" s="2"/>
      <c r="N143" s="6">
        <f t="shared" si="27"/>
        <v>-0.5495600187607329</v>
      </c>
      <c r="O143" s="11"/>
      <c r="P143" s="7">
        <v>168344.5</v>
      </c>
      <c r="Q143" s="2"/>
      <c r="R143" s="6">
        <f t="shared" si="28"/>
        <v>3.2297678296817386E-2</v>
      </c>
      <c r="S143" s="2"/>
      <c r="T143" s="7">
        <v>350216.48596000002</v>
      </c>
      <c r="U143" s="2"/>
      <c r="V143" s="6">
        <f t="shared" si="29"/>
        <v>3.7352747666549738E-2</v>
      </c>
      <c r="W143" s="2"/>
      <c r="X143" s="7">
        <f t="shared" si="30"/>
        <v>-181871.98596000002</v>
      </c>
      <c r="Y143" s="2"/>
      <c r="Z143" s="6">
        <f t="shared" si="31"/>
        <v>-0.51931303422641428</v>
      </c>
    </row>
    <row r="144" spans="1:26" s="24" customFormat="1" hidden="1" outlineLevel="2" x14ac:dyDescent="0.25">
      <c r="A144" s="25"/>
      <c r="B144" s="11" t="str">
        <f>CONCATENATE("          ", "6005", " - ", "TEMPORARY WAGES-HOURLY")</f>
        <v xml:space="preserve">          6005 - TEMPORARY WAGES-HOURLY</v>
      </c>
      <c r="C144" s="11"/>
      <c r="D144" s="7">
        <v>7607.71</v>
      </c>
      <c r="E144" s="2"/>
      <c r="F144" s="6">
        <f t="shared" si="24"/>
        <v>1.5012263837412715E-2</v>
      </c>
      <c r="G144" s="2"/>
      <c r="H144" s="7">
        <v>8096.66</v>
      </c>
      <c r="I144" s="2"/>
      <c r="J144" s="6">
        <f t="shared" si="25"/>
        <v>1.2837516231887275E-2</v>
      </c>
      <c r="K144" s="2"/>
      <c r="L144" s="7">
        <f t="shared" si="26"/>
        <v>-488.94999999999982</v>
      </c>
      <c r="M144" s="2"/>
      <c r="N144" s="6">
        <f t="shared" si="27"/>
        <v>-6.0389098714778662E-2</v>
      </c>
      <c r="O144" s="11"/>
      <c r="P144" s="7">
        <v>161971.72</v>
      </c>
      <c r="Q144" s="2"/>
      <c r="R144" s="6">
        <f t="shared" si="28"/>
        <v>3.1075030700392248E-2</v>
      </c>
      <c r="S144" s="2"/>
      <c r="T144" s="7">
        <v>100556.28200000001</v>
      </c>
      <c r="U144" s="2"/>
      <c r="V144" s="6">
        <f t="shared" si="29"/>
        <v>1.0724947506501494E-2</v>
      </c>
      <c r="W144" s="2"/>
      <c r="X144" s="7">
        <f t="shared" si="30"/>
        <v>61415.437999999995</v>
      </c>
      <c r="Y144" s="2"/>
      <c r="Z144" s="6">
        <f t="shared" si="31"/>
        <v>0.61075684958200815</v>
      </c>
    </row>
    <row r="145" spans="1:26" s="24" customFormat="1" hidden="1" outlineLevel="2" x14ac:dyDescent="0.25">
      <c r="A145" s="25"/>
      <c r="B145" s="11" t="str">
        <f>CONCATENATE("          ", "6006", " - ", "TEMPORARY PART TIME")</f>
        <v xml:space="preserve">          6006 - TEMPORARY PART TIME</v>
      </c>
      <c r="C145" s="11"/>
      <c r="D145" s="7">
        <v>2769.97</v>
      </c>
      <c r="E145" s="2"/>
      <c r="F145" s="6">
        <f t="shared" si="24"/>
        <v>5.4659707667245594E-3</v>
      </c>
      <c r="G145" s="2"/>
      <c r="H145" s="7">
        <v>0</v>
      </c>
      <c r="I145" s="2"/>
      <c r="J145" s="6">
        <f t="shared" si="25"/>
        <v>0</v>
      </c>
      <c r="K145" s="2"/>
      <c r="L145" s="7">
        <f t="shared" si="26"/>
        <v>2769.97</v>
      </c>
      <c r="M145" s="2"/>
      <c r="N145" s="6">
        <f t="shared" si="27"/>
        <v>0</v>
      </c>
      <c r="O145" s="11"/>
      <c r="P145" s="7">
        <v>19716.73</v>
      </c>
      <c r="Q145" s="2"/>
      <c r="R145" s="6">
        <f t="shared" si="28"/>
        <v>3.7827467045564796E-3</v>
      </c>
      <c r="S145" s="2"/>
      <c r="T145" s="7">
        <v>0</v>
      </c>
      <c r="U145" s="2"/>
      <c r="V145" s="6">
        <f t="shared" si="29"/>
        <v>0</v>
      </c>
      <c r="W145" s="2"/>
      <c r="X145" s="7">
        <f t="shared" si="30"/>
        <v>19716.73</v>
      </c>
      <c r="Y145" s="2"/>
      <c r="Z145" s="6">
        <f t="shared" si="31"/>
        <v>0</v>
      </c>
    </row>
    <row r="146" spans="1:26" s="24" customFormat="1" hidden="1" outlineLevel="2" x14ac:dyDescent="0.25">
      <c r="A146" s="25"/>
      <c r="B146" s="11" t="str">
        <f>CONCATENATE("          ", "6007", " - ", "STUDENT HOURLY")</f>
        <v xml:space="preserve">          6007 - STUDENT HOURLY</v>
      </c>
      <c r="C146" s="11"/>
      <c r="D146" s="7">
        <v>28779.68</v>
      </c>
      <c r="E146" s="2"/>
      <c r="F146" s="6">
        <f t="shared" si="24"/>
        <v>5.6790827899106298E-2</v>
      </c>
      <c r="G146" s="2"/>
      <c r="H146" s="7">
        <v>853.875</v>
      </c>
      <c r="I146" s="2"/>
      <c r="J146" s="6">
        <f t="shared" si="25"/>
        <v>1.3538464221670105E-3</v>
      </c>
      <c r="K146" s="2"/>
      <c r="L146" s="7">
        <f t="shared" si="26"/>
        <v>27925.805</v>
      </c>
      <c r="M146" s="2"/>
      <c r="N146" s="6">
        <f t="shared" si="27"/>
        <v>32.704792856097207</v>
      </c>
      <c r="O146" s="11"/>
      <c r="P146" s="7">
        <v>296799.06</v>
      </c>
      <c r="Q146" s="2"/>
      <c r="R146" s="6">
        <f t="shared" si="28"/>
        <v>5.6942285365294387E-2</v>
      </c>
      <c r="S146" s="2"/>
      <c r="T146" s="7">
        <v>153508.83749999999</v>
      </c>
      <c r="U146" s="2"/>
      <c r="V146" s="6">
        <f t="shared" si="29"/>
        <v>1.6372664056648077E-2</v>
      </c>
      <c r="W146" s="2"/>
      <c r="X146" s="7">
        <f t="shared" si="30"/>
        <v>143290.2225</v>
      </c>
      <c r="Y146" s="2"/>
      <c r="Z146" s="6">
        <f t="shared" si="31"/>
        <v>0.93343305071931126</v>
      </c>
    </row>
    <row r="147" spans="1:26" s="24" customFormat="1" hidden="1" outlineLevel="2" x14ac:dyDescent="0.25">
      <c r="A147" s="25"/>
      <c r="B147" s="11" t="str">
        <f>CONCATENATE("          ", "6008", " - ", "STUDENT HOURLY-FICA EXEMPT")</f>
        <v xml:space="preserve">          6008 - STUDENT HOURLY-FICA EXEMPT</v>
      </c>
      <c r="C147" s="11"/>
      <c r="D147" s="7">
        <v>2539.46</v>
      </c>
      <c r="E147" s="2"/>
      <c r="F147" s="6">
        <f t="shared" si="24"/>
        <v>5.011106301969462E-3</v>
      </c>
      <c r="G147" s="2"/>
      <c r="H147" s="7">
        <v>63930.78</v>
      </c>
      <c r="I147" s="2"/>
      <c r="J147" s="6">
        <f t="shared" si="25"/>
        <v>0.10136431886323674</v>
      </c>
      <c r="K147" s="2"/>
      <c r="L147" s="7">
        <f t="shared" si="26"/>
        <v>-61391.32</v>
      </c>
      <c r="M147" s="2"/>
      <c r="N147" s="6">
        <f t="shared" si="27"/>
        <v>-0.96027797564803685</v>
      </c>
      <c r="O147" s="11"/>
      <c r="P147" s="7">
        <v>12541.41</v>
      </c>
      <c r="Q147" s="2"/>
      <c r="R147" s="6">
        <f t="shared" si="28"/>
        <v>2.4061280622086766E-3</v>
      </c>
      <c r="S147" s="2"/>
      <c r="T147" s="7">
        <v>766949.03775000002</v>
      </c>
      <c r="U147" s="2"/>
      <c r="V147" s="6">
        <f t="shared" si="29"/>
        <v>8.1799843892702617E-2</v>
      </c>
      <c r="W147" s="2"/>
      <c r="X147" s="7">
        <f t="shared" si="30"/>
        <v>-754407.62774999999</v>
      </c>
      <c r="Y147" s="2"/>
      <c r="Z147" s="6">
        <f t="shared" si="31"/>
        <v>-0.9836476618618718</v>
      </c>
    </row>
    <row r="148" spans="1:26" s="24" customFormat="1" hidden="1" outlineLevel="2" x14ac:dyDescent="0.25">
      <c r="A148" s="25"/>
      <c r="B148" s="11" t="str">
        <f>CONCATENATE("          ", "6009", " - ", "TEMPORARY-SEASONAL")</f>
        <v xml:space="preserve">          6009 - TEMPORARY-SEASONAL</v>
      </c>
      <c r="C148" s="11"/>
      <c r="D148" s="7"/>
      <c r="E148" s="2"/>
      <c r="F148" s="6">
        <f t="shared" si="24"/>
        <v>0</v>
      </c>
      <c r="G148" s="2"/>
      <c r="H148" s="7">
        <v>0</v>
      </c>
      <c r="I148" s="2"/>
      <c r="J148" s="6">
        <f t="shared" si="25"/>
        <v>0</v>
      </c>
      <c r="K148" s="2"/>
      <c r="L148" s="7">
        <f t="shared" si="26"/>
        <v>0</v>
      </c>
      <c r="M148" s="2"/>
      <c r="N148" s="6">
        <f t="shared" si="27"/>
        <v>0</v>
      </c>
      <c r="O148" s="11"/>
      <c r="P148" s="7"/>
      <c r="Q148" s="2"/>
      <c r="R148" s="6">
        <f t="shared" si="28"/>
        <v>0</v>
      </c>
      <c r="S148" s="2"/>
      <c r="T148" s="7">
        <v>0</v>
      </c>
      <c r="U148" s="2"/>
      <c r="V148" s="6">
        <f t="shared" si="29"/>
        <v>0</v>
      </c>
      <c r="W148" s="2"/>
      <c r="X148" s="7">
        <f t="shared" si="30"/>
        <v>0</v>
      </c>
      <c r="Y148" s="2"/>
      <c r="Z148" s="6">
        <f t="shared" si="31"/>
        <v>0</v>
      </c>
    </row>
    <row r="149" spans="1:26" s="24" customFormat="1" hidden="1" outlineLevel="2" x14ac:dyDescent="0.25">
      <c r="A149" s="25"/>
      <c r="B149" s="11" t="str">
        <f>CONCATENATE("          ", "6010", " - ", "GRATUITY")</f>
        <v xml:space="preserve">          6010 - GRATUITY</v>
      </c>
      <c r="C149" s="11"/>
      <c r="D149" s="7"/>
      <c r="E149" s="2"/>
      <c r="F149" s="6">
        <f t="shared" si="24"/>
        <v>0</v>
      </c>
      <c r="G149" s="2"/>
      <c r="H149" s="7">
        <v>0</v>
      </c>
      <c r="I149" s="2"/>
      <c r="J149" s="6">
        <f t="shared" si="25"/>
        <v>0</v>
      </c>
      <c r="K149" s="2"/>
      <c r="L149" s="7">
        <f t="shared" si="26"/>
        <v>0</v>
      </c>
      <c r="M149" s="2"/>
      <c r="N149" s="6">
        <f t="shared" si="27"/>
        <v>0</v>
      </c>
      <c r="O149" s="11"/>
      <c r="P149" s="7"/>
      <c r="Q149" s="2"/>
      <c r="R149" s="6">
        <f t="shared" si="28"/>
        <v>0</v>
      </c>
      <c r="S149" s="2"/>
      <c r="T149" s="7">
        <v>0</v>
      </c>
      <c r="U149" s="2"/>
      <c r="V149" s="6">
        <f t="shared" si="29"/>
        <v>0</v>
      </c>
      <c r="W149" s="2"/>
      <c r="X149" s="7">
        <f t="shared" si="30"/>
        <v>0</v>
      </c>
      <c r="Y149" s="2"/>
      <c r="Z149" s="6">
        <f t="shared" si="31"/>
        <v>0</v>
      </c>
    </row>
    <row r="150" spans="1:26" s="27" customFormat="1" outlineLevel="1" collapsed="1" x14ac:dyDescent="0.25">
      <c r="A150" s="26"/>
      <c r="B150" s="13" t="str">
        <f>CONCATENATE("     ","Advertising/Promo                                 ")</f>
        <v xml:space="preserve">     Advertising/Promo                                 </v>
      </c>
      <c r="C150" s="13"/>
      <c r="D150" s="1">
        <f>SUM(OSRRefD22_2x_0)</f>
        <v>7.47</v>
      </c>
      <c r="E150" s="1"/>
      <c r="F150" s="5">
        <f t="shared" ref="F150:F154" si="32">IF(D$12=0,0,D150/D$12)</f>
        <v>1.474052124298547E-5</v>
      </c>
      <c r="G150" s="1"/>
      <c r="H150" s="1">
        <f>SUM(OSRRefH22_2x_0)</f>
        <v>2180</v>
      </c>
      <c r="I150" s="1"/>
      <c r="J150" s="5">
        <f t="shared" ref="J150:J154" si="33">IF(H$12=0,0,H150/H$12)</f>
        <v>3.4564604893269893E-3</v>
      </c>
      <c r="K150" s="1"/>
      <c r="L150" s="1">
        <f t="shared" ref="L150:L154" si="34">+D150-H150</f>
        <v>-2172.5300000000002</v>
      </c>
      <c r="M150" s="1"/>
      <c r="N150" s="5">
        <f t="shared" ref="N150:N154" si="35">IF(H150=0,0,L150/H150)</f>
        <v>-0.99657339449541293</v>
      </c>
      <c r="O150" s="13"/>
      <c r="P150" s="1">
        <f>SUM(OSRRefP22_2x_0)</f>
        <v>17543.52</v>
      </c>
      <c r="Q150" s="1"/>
      <c r="R150" s="5">
        <f t="shared" ref="R150:R154" si="36">IF(P$12=0,0,P150/P$12)</f>
        <v>3.3658062197088816E-3</v>
      </c>
      <c r="S150" s="1"/>
      <c r="T150" s="1">
        <f>SUM(OSRRefT22_2x_0)</f>
        <v>17929</v>
      </c>
      <c r="U150" s="1"/>
      <c r="V150" s="5">
        <f t="shared" ref="V150:V154" si="37">IF(T$12=0,0,T150/T$12)</f>
        <v>1.9122384004220171E-3</v>
      </c>
      <c r="W150" s="1"/>
      <c r="X150" s="1">
        <f t="shared" ref="X150:X154" si="38">+P150-T150</f>
        <v>-385.47999999999956</v>
      </c>
      <c r="Y150" s="1"/>
      <c r="Z150" s="5">
        <f t="shared" ref="Z150:Z154" si="39">IF(T150=0,0,X150/T150)</f>
        <v>-2.1500362541134452E-2</v>
      </c>
    </row>
    <row r="151" spans="1:26" s="24" customFormat="1" hidden="1" outlineLevel="2" x14ac:dyDescent="0.25">
      <c r="A151" s="25"/>
      <c r="B151" s="11" t="str">
        <f>CONCATENATE("          ", "6362", " - ", "ADVERTISING EXPENSE")</f>
        <v xml:space="preserve">          6362 - ADVERTISING EXPENSE</v>
      </c>
      <c r="C151" s="11"/>
      <c r="D151" s="7">
        <v>7.47</v>
      </c>
      <c r="E151" s="2"/>
      <c r="F151" s="6">
        <f t="shared" si="32"/>
        <v>1.474052124298547E-5</v>
      </c>
      <c r="G151" s="2"/>
      <c r="H151" s="7">
        <v>2180</v>
      </c>
      <c r="I151" s="2"/>
      <c r="J151" s="6">
        <f t="shared" si="33"/>
        <v>3.4564604893269893E-3</v>
      </c>
      <c r="K151" s="2"/>
      <c r="L151" s="7">
        <f t="shared" si="34"/>
        <v>-2172.5300000000002</v>
      </c>
      <c r="M151" s="2"/>
      <c r="N151" s="6">
        <f t="shared" si="35"/>
        <v>-0.99657339449541293</v>
      </c>
      <c r="O151" s="11"/>
      <c r="P151" s="7">
        <v>17543.52</v>
      </c>
      <c r="Q151" s="2"/>
      <c r="R151" s="6">
        <f t="shared" si="36"/>
        <v>3.3658062197088816E-3</v>
      </c>
      <c r="S151" s="2"/>
      <c r="T151" s="7">
        <v>17929</v>
      </c>
      <c r="U151" s="2"/>
      <c r="V151" s="6">
        <f t="shared" si="37"/>
        <v>1.9122384004220171E-3</v>
      </c>
      <c r="W151" s="2"/>
      <c r="X151" s="7">
        <f t="shared" si="38"/>
        <v>-385.47999999999956</v>
      </c>
      <c r="Y151" s="2"/>
      <c r="Z151" s="6">
        <f t="shared" si="39"/>
        <v>-2.1500362541134452E-2</v>
      </c>
    </row>
    <row r="152" spans="1:26" s="27" customFormat="1" outlineLevel="1" collapsed="1" x14ac:dyDescent="0.25">
      <c r="A152" s="26"/>
      <c r="B152" s="13" t="str">
        <f>CONCATENATE("     ","Bad Debts/Over/Short                              ")</f>
        <v xml:space="preserve">     Bad Debts/Over/Short                              </v>
      </c>
      <c r="C152" s="13"/>
      <c r="D152" s="1">
        <f>SUM(OSRRefD22_3x_0)</f>
        <v>21.56</v>
      </c>
      <c r="E152" s="1"/>
      <c r="F152" s="5">
        <f t="shared" si="32"/>
        <v>4.2544262114962078E-5</v>
      </c>
      <c r="G152" s="1"/>
      <c r="H152" s="1">
        <f>SUM(OSRRefH22_3x_0)</f>
        <v>115</v>
      </c>
      <c r="I152" s="1"/>
      <c r="J152" s="5">
        <f t="shared" si="33"/>
        <v>1.8233621847367146E-4</v>
      </c>
      <c r="K152" s="1"/>
      <c r="L152" s="1">
        <f t="shared" si="34"/>
        <v>-93.44</v>
      </c>
      <c r="M152" s="1"/>
      <c r="N152" s="5">
        <f t="shared" si="35"/>
        <v>-0.81252173913043479</v>
      </c>
      <c r="O152" s="13"/>
      <c r="P152" s="1">
        <f>SUM(OSRRefP22_3x_0)</f>
        <v>5207.57</v>
      </c>
      <c r="Q152" s="1"/>
      <c r="R152" s="5">
        <f t="shared" si="36"/>
        <v>9.9909661775797443E-4</v>
      </c>
      <c r="S152" s="1"/>
      <c r="T152" s="1">
        <f>SUM(OSRRefT22_3x_0)</f>
        <v>1294</v>
      </c>
      <c r="U152" s="1"/>
      <c r="V152" s="5">
        <f t="shared" si="37"/>
        <v>1.3801307881901334E-4</v>
      </c>
      <c r="W152" s="1"/>
      <c r="X152" s="1">
        <f t="shared" si="38"/>
        <v>3913.5699999999997</v>
      </c>
      <c r="Y152" s="1"/>
      <c r="Z152" s="5">
        <f t="shared" si="39"/>
        <v>3.0243972179289025</v>
      </c>
    </row>
    <row r="153" spans="1:26" s="24" customFormat="1" hidden="1" outlineLevel="2" x14ac:dyDescent="0.25">
      <c r="A153" s="25"/>
      <c r="B153" s="11" t="str">
        <f>CONCATENATE("          ", "6272", " - ", "CASH (OVER/SHORT)")</f>
        <v xml:space="preserve">          6272 - CASH (OVER/SHORT)</v>
      </c>
      <c r="C153" s="11"/>
      <c r="D153" s="7">
        <v>21.56</v>
      </c>
      <c r="E153" s="2"/>
      <c r="F153" s="6">
        <f t="shared" si="32"/>
        <v>4.2544262114962078E-5</v>
      </c>
      <c r="G153" s="2"/>
      <c r="H153" s="7">
        <v>65</v>
      </c>
      <c r="I153" s="2"/>
      <c r="J153" s="6">
        <f t="shared" si="33"/>
        <v>1.0305960174598821E-4</v>
      </c>
      <c r="K153" s="2"/>
      <c r="L153" s="7">
        <f t="shared" si="34"/>
        <v>-43.44</v>
      </c>
      <c r="M153" s="2"/>
      <c r="N153" s="6">
        <f t="shared" si="35"/>
        <v>-0.66830769230769227</v>
      </c>
      <c r="O153" s="11"/>
      <c r="P153" s="7">
        <v>-141.85</v>
      </c>
      <c r="Q153" s="2"/>
      <c r="R153" s="6">
        <f t="shared" si="36"/>
        <v>-2.7214584773506389E-5</v>
      </c>
      <c r="S153" s="2"/>
      <c r="T153" s="7">
        <v>744</v>
      </c>
      <c r="U153" s="2"/>
      <c r="V153" s="6">
        <f t="shared" si="37"/>
        <v>7.9352187512632085E-5</v>
      </c>
      <c r="W153" s="2"/>
      <c r="X153" s="7">
        <f t="shared" si="38"/>
        <v>-885.85</v>
      </c>
      <c r="Y153" s="2"/>
      <c r="Z153" s="6">
        <f t="shared" si="39"/>
        <v>-1.1906586021505376</v>
      </c>
    </row>
    <row r="154" spans="1:26" s="24" customFormat="1" hidden="1" outlineLevel="2" x14ac:dyDescent="0.25">
      <c r="A154" s="25"/>
      <c r="B154" s="11" t="str">
        <f>CONCATENATE("          ", "6342", " - ", "BAD DEBT")</f>
        <v xml:space="preserve">          6342 - BAD DEBT</v>
      </c>
      <c r="C154" s="11"/>
      <c r="D154" s="7"/>
      <c r="E154" s="2"/>
      <c r="F154" s="6">
        <f t="shared" si="32"/>
        <v>0</v>
      </c>
      <c r="G154" s="2"/>
      <c r="H154" s="7">
        <v>50</v>
      </c>
      <c r="I154" s="2"/>
      <c r="J154" s="6">
        <f t="shared" si="33"/>
        <v>7.9276616727683237E-5</v>
      </c>
      <c r="K154" s="2"/>
      <c r="L154" s="7">
        <f t="shared" si="34"/>
        <v>-50</v>
      </c>
      <c r="M154" s="2"/>
      <c r="N154" s="6">
        <f t="shared" si="35"/>
        <v>-1</v>
      </c>
      <c r="O154" s="11"/>
      <c r="P154" s="7">
        <v>5349.42</v>
      </c>
      <c r="Q154" s="2"/>
      <c r="R154" s="6">
        <f t="shared" si="36"/>
        <v>1.0263112025314808E-3</v>
      </c>
      <c r="S154" s="2"/>
      <c r="T154" s="7">
        <v>550</v>
      </c>
      <c r="U154" s="2"/>
      <c r="V154" s="6">
        <f t="shared" si="37"/>
        <v>5.8660891306381251E-5</v>
      </c>
      <c r="W154" s="2"/>
      <c r="X154" s="7">
        <f t="shared" si="38"/>
        <v>4799.42</v>
      </c>
      <c r="Y154" s="2"/>
      <c r="Z154" s="6">
        <f t="shared" si="39"/>
        <v>8.7262181818181812</v>
      </c>
    </row>
    <row r="155" spans="1:26" s="27" customFormat="1" outlineLevel="1" collapsed="1" x14ac:dyDescent="0.25">
      <c r="A155" s="26"/>
      <c r="B155" s="13" t="str">
        <f>CONCATENATE("     ","Bank/card Fees                                    ")</f>
        <v xml:space="preserve">     Bank/card Fees                                    </v>
      </c>
      <c r="C155" s="13"/>
      <c r="D155" s="1">
        <f>SUM(OSRRefD22_4x_0)</f>
        <v>4110.67</v>
      </c>
      <c r="E155" s="1"/>
      <c r="F155" s="5">
        <f t="shared" ref="F155:F159" si="40">IF(D$12=0,0,D155/D$12)</f>
        <v>8.1115687359977345E-3</v>
      </c>
      <c r="G155" s="1"/>
      <c r="H155" s="1">
        <f>SUM(OSRRefH22_4x_0)</f>
        <v>12447</v>
      </c>
      <c r="I155" s="1"/>
      <c r="J155" s="5">
        <f t="shared" ref="J155:J159" si="41">IF(H$12=0,0,H155/H$12)</f>
        <v>1.9735120968189464E-2</v>
      </c>
      <c r="K155" s="1"/>
      <c r="L155" s="1">
        <f t="shared" ref="L155:L159" si="42">+D155-H155</f>
        <v>-8336.33</v>
      </c>
      <c r="M155" s="1"/>
      <c r="N155" s="5">
        <f t="shared" ref="N155:N159" si="43">IF(H155=0,0,L155/H155)</f>
        <v>-0.66974612356391094</v>
      </c>
      <c r="O155" s="13"/>
      <c r="P155" s="1">
        <f>SUM(OSRRefP22_4x_0)</f>
        <v>81071.25</v>
      </c>
      <c r="Q155" s="1"/>
      <c r="R155" s="5">
        <f t="shared" ref="R155:R159" si="44">IF(P$12=0,0,P155/P$12)</f>
        <v>1.55538978203675E-2</v>
      </c>
      <c r="S155" s="1"/>
      <c r="T155" s="1">
        <f>SUM(OSRRefT22_4x_0)</f>
        <v>244233</v>
      </c>
      <c r="U155" s="1"/>
      <c r="V155" s="5">
        <f t="shared" ref="V155:V159" si="45">IF(T$12=0,0,T155/T$12)</f>
        <v>2.6048955393511656E-2</v>
      </c>
      <c r="W155" s="1"/>
      <c r="X155" s="1">
        <f t="shared" ref="X155:X159" si="46">+P155-T155</f>
        <v>-163161.75</v>
      </c>
      <c r="Y155" s="1"/>
      <c r="Z155" s="5">
        <f t="shared" ref="Z155:Z159" si="47">IF(T155=0,0,X155/T155)</f>
        <v>-0.66805775632285569</v>
      </c>
    </row>
    <row r="156" spans="1:26" s="24" customFormat="1" hidden="1" outlineLevel="2" x14ac:dyDescent="0.25">
      <c r="A156" s="25"/>
      <c r="B156" s="11" t="str">
        <f>CONCATENATE("          ", "6381", " - ", "BANK/CREDIT CARD FEES")</f>
        <v xml:space="preserve">          6381 - BANK/CREDIT CARD FEES</v>
      </c>
      <c r="C156" s="11"/>
      <c r="D156" s="7">
        <v>4110.67</v>
      </c>
      <c r="E156" s="2"/>
      <c r="F156" s="6">
        <f t="shared" si="40"/>
        <v>8.1115687359977345E-3</v>
      </c>
      <c r="G156" s="2"/>
      <c r="H156" s="7">
        <v>12447</v>
      </c>
      <c r="I156" s="2"/>
      <c r="J156" s="6">
        <f t="shared" si="41"/>
        <v>1.9735120968189464E-2</v>
      </c>
      <c r="K156" s="2"/>
      <c r="L156" s="7">
        <f t="shared" si="42"/>
        <v>-8336.33</v>
      </c>
      <c r="M156" s="2"/>
      <c r="N156" s="6">
        <f t="shared" si="43"/>
        <v>-0.66974612356391094</v>
      </c>
      <c r="O156" s="11"/>
      <c r="P156" s="7">
        <v>81071.25</v>
      </c>
      <c r="Q156" s="2"/>
      <c r="R156" s="6">
        <f t="shared" si="44"/>
        <v>1.55538978203675E-2</v>
      </c>
      <c r="S156" s="2"/>
      <c r="T156" s="7">
        <v>244233</v>
      </c>
      <c r="U156" s="2"/>
      <c r="V156" s="6">
        <f t="shared" si="45"/>
        <v>2.6048955393511656E-2</v>
      </c>
      <c r="W156" s="2"/>
      <c r="X156" s="7">
        <f t="shared" si="46"/>
        <v>-163161.75</v>
      </c>
      <c r="Y156" s="2"/>
      <c r="Z156" s="6">
        <f t="shared" si="47"/>
        <v>-0.66805775632285569</v>
      </c>
    </row>
    <row r="157" spans="1:26" s="27" customFormat="1" outlineLevel="1" collapsed="1" x14ac:dyDescent="0.25">
      <c r="A157" s="26"/>
      <c r="B157" s="13" t="str">
        <f>CONCATENATE("     ","Depreciation                                      ")</f>
        <v xml:space="preserve">     Depreciation                                      </v>
      </c>
      <c r="C157" s="13"/>
      <c r="D157" s="1">
        <f>SUM(OSRRefD22_5x_0)</f>
        <v>39887.94</v>
      </c>
      <c r="E157" s="1"/>
      <c r="F157" s="5">
        <f t="shared" si="40"/>
        <v>7.8710713106951782E-2</v>
      </c>
      <c r="G157" s="1"/>
      <c r="H157" s="1">
        <f>SUM(OSRRefH22_5x_0)</f>
        <v>38857</v>
      </c>
      <c r="I157" s="1"/>
      <c r="J157" s="5">
        <f t="shared" si="41"/>
        <v>6.1609029923751751E-2</v>
      </c>
      <c r="K157" s="1"/>
      <c r="L157" s="1">
        <f t="shared" si="42"/>
        <v>1030.9400000000023</v>
      </c>
      <c r="M157" s="1"/>
      <c r="N157" s="5">
        <f t="shared" si="43"/>
        <v>2.6531641660447341E-2</v>
      </c>
      <c r="O157" s="13"/>
      <c r="P157" s="1">
        <f>SUM(OSRRefP22_5x_0)</f>
        <v>439244.11</v>
      </c>
      <c r="Q157" s="1"/>
      <c r="R157" s="5">
        <f t="shared" si="44"/>
        <v>8.427103325948794E-2</v>
      </c>
      <c r="S157" s="1"/>
      <c r="T157" s="1">
        <f>SUM(OSRRefT22_5x_0)</f>
        <v>428883</v>
      </c>
      <c r="U157" s="1"/>
      <c r="V157" s="5">
        <f t="shared" si="45"/>
        <v>4.5743016447554019E-2</v>
      </c>
      <c r="W157" s="1"/>
      <c r="X157" s="1">
        <f t="shared" si="46"/>
        <v>10361.109999999986</v>
      </c>
      <c r="Y157" s="1"/>
      <c r="Z157" s="5">
        <f t="shared" si="47"/>
        <v>2.4158360205463927E-2</v>
      </c>
    </row>
    <row r="158" spans="1:26" s="24" customFormat="1" hidden="1" outlineLevel="2" x14ac:dyDescent="0.25">
      <c r="A158" s="25"/>
      <c r="B158" s="11" t="str">
        <f>CONCATENATE("          ", "6321", " - ", "BUILDING DEPRECIATION")</f>
        <v xml:space="preserve">          6321 - BUILDING DEPRECIATION</v>
      </c>
      <c r="C158" s="11"/>
      <c r="D158" s="7">
        <v>21477.03</v>
      </c>
      <c r="E158" s="2"/>
      <c r="F158" s="6">
        <f t="shared" si="40"/>
        <v>4.2380537744476067E-2</v>
      </c>
      <c r="G158" s="2"/>
      <c r="H158" s="7"/>
      <c r="I158" s="2"/>
      <c r="J158" s="6">
        <f t="shared" si="41"/>
        <v>0</v>
      </c>
      <c r="K158" s="2"/>
      <c r="L158" s="7">
        <f t="shared" si="42"/>
        <v>21477.03</v>
      </c>
      <c r="M158" s="2"/>
      <c r="N158" s="6">
        <f t="shared" si="43"/>
        <v>0</v>
      </c>
      <c r="O158" s="11"/>
      <c r="P158" s="7">
        <v>236247.33</v>
      </c>
      <c r="Q158" s="2"/>
      <c r="R158" s="6">
        <f t="shared" si="44"/>
        <v>4.5325153259073242E-2</v>
      </c>
      <c r="S158" s="2"/>
      <c r="T158" s="7"/>
      <c r="U158" s="2"/>
      <c r="V158" s="6">
        <f t="shared" si="45"/>
        <v>0</v>
      </c>
      <c r="W158" s="2"/>
      <c r="X158" s="7">
        <f t="shared" si="46"/>
        <v>236247.33</v>
      </c>
      <c r="Y158" s="2"/>
      <c r="Z158" s="6">
        <f t="shared" si="47"/>
        <v>0</v>
      </c>
    </row>
    <row r="159" spans="1:26" s="24" customFormat="1" hidden="1" outlineLevel="2" x14ac:dyDescent="0.25">
      <c r="A159" s="25"/>
      <c r="B159" s="11" t="str">
        <f>CONCATENATE("          ", "6322", " - ", "EQUIPMENT DEPRECIATION EXPENSE")</f>
        <v xml:space="preserve">          6322 - EQUIPMENT DEPRECIATION EXPENSE</v>
      </c>
      <c r="C159" s="11"/>
      <c r="D159" s="7">
        <v>18410.91</v>
      </c>
      <c r="E159" s="2"/>
      <c r="F159" s="6">
        <f t="shared" si="40"/>
        <v>3.6330175362475715E-2</v>
      </c>
      <c r="G159" s="2"/>
      <c r="H159" s="7">
        <v>38857</v>
      </c>
      <c r="I159" s="2"/>
      <c r="J159" s="6">
        <f t="shared" si="41"/>
        <v>6.1609029923751751E-2</v>
      </c>
      <c r="K159" s="2"/>
      <c r="L159" s="7">
        <f t="shared" si="42"/>
        <v>-20446.09</v>
      </c>
      <c r="M159" s="2"/>
      <c r="N159" s="6">
        <f t="shared" si="43"/>
        <v>-0.52618807422086111</v>
      </c>
      <c r="O159" s="11"/>
      <c r="P159" s="7">
        <v>202996.78</v>
      </c>
      <c r="Q159" s="2"/>
      <c r="R159" s="6">
        <f t="shared" si="44"/>
        <v>3.8945880000414705E-2</v>
      </c>
      <c r="S159" s="2"/>
      <c r="T159" s="7">
        <v>428883</v>
      </c>
      <c r="U159" s="2"/>
      <c r="V159" s="6">
        <f t="shared" si="45"/>
        <v>4.5743016447554019E-2</v>
      </c>
      <c r="W159" s="2"/>
      <c r="X159" s="7">
        <f t="shared" si="46"/>
        <v>-225886.22</v>
      </c>
      <c r="Y159" s="2"/>
      <c r="Z159" s="6">
        <f t="shared" si="47"/>
        <v>-0.52668494671040822</v>
      </c>
    </row>
    <row r="160" spans="1:26" s="27" customFormat="1" outlineLevel="1" collapsed="1" x14ac:dyDescent="0.25">
      <c r="A160" s="26"/>
      <c r="B160" s="13" t="str">
        <f>CONCATENATE("     ","Discounts and Markdowns                           ")</f>
        <v xml:space="preserve">     Discounts and Markdowns                           </v>
      </c>
      <c r="C160" s="13"/>
      <c r="D160" s="1">
        <f>SUM(OSRRefD22_6x_0)</f>
        <v>0</v>
      </c>
      <c r="E160" s="1"/>
      <c r="F160" s="5">
        <f t="shared" ref="F160:F162" si="48">IF(D$12=0,0,D160/D$12)</f>
        <v>0</v>
      </c>
      <c r="G160" s="1"/>
      <c r="H160" s="1">
        <f>SUM(OSRRefH22_6x_0)</f>
        <v>38231</v>
      </c>
      <c r="I160" s="1"/>
      <c r="J160" s="5">
        <f t="shared" ref="J160:J162" si="49">IF(H$12=0,0,H160/H$12)</f>
        <v>6.0616486682321155E-2</v>
      </c>
      <c r="K160" s="1"/>
      <c r="L160" s="1">
        <f t="shared" ref="L160:L162" si="50">+D160-H160</f>
        <v>-38231</v>
      </c>
      <c r="M160" s="1"/>
      <c r="N160" s="5">
        <f t="shared" ref="N160:N162" si="51">IF(H160=0,0,L160/H160)</f>
        <v>-1</v>
      </c>
      <c r="O160" s="13"/>
      <c r="P160" s="1">
        <f>SUM(OSRRefP22_6x_0)</f>
        <v>-15.43</v>
      </c>
      <c r="Q160" s="1"/>
      <c r="R160" s="5">
        <f t="shared" ref="R160:R162" si="52">IF(P$12=0,0,P160/P$12)</f>
        <v>-2.9603175400437335E-6</v>
      </c>
      <c r="S160" s="1"/>
      <c r="T160" s="1">
        <f>SUM(OSRRefT22_6x_0)</f>
        <v>319033</v>
      </c>
      <c r="U160" s="1"/>
      <c r="V160" s="5">
        <f t="shared" ref="V160:V162" si="53">IF(T$12=0,0,T160/T$12)</f>
        <v>3.4026836611179508E-2</v>
      </c>
      <c r="W160" s="1"/>
      <c r="X160" s="1">
        <f t="shared" ref="X160:X162" si="54">+P160-T160</f>
        <v>-319048.43</v>
      </c>
      <c r="Y160" s="1"/>
      <c r="Z160" s="5">
        <f t="shared" ref="Z160:Z162" si="55">IF(T160=0,0,X160/T160)</f>
        <v>-1.0000483649026903</v>
      </c>
    </row>
    <row r="161" spans="1:26" s="24" customFormat="1" hidden="1" outlineLevel="2" x14ac:dyDescent="0.25">
      <c r="A161" s="25"/>
      <c r="B161" s="11" t="str">
        <f>CONCATENATE("          ", "6382", " - ", "DISCOUNTS/MARK DOWNS")</f>
        <v xml:space="preserve">          6382 - DISCOUNTS/MARK DOWNS</v>
      </c>
      <c r="C161" s="11"/>
      <c r="D161" s="7">
        <v>0</v>
      </c>
      <c r="E161" s="2"/>
      <c r="F161" s="6">
        <f t="shared" si="48"/>
        <v>0</v>
      </c>
      <c r="G161" s="2"/>
      <c r="H161" s="7">
        <v>38231</v>
      </c>
      <c r="I161" s="2"/>
      <c r="J161" s="6">
        <f t="shared" si="49"/>
        <v>6.0616486682321155E-2</v>
      </c>
      <c r="K161" s="2"/>
      <c r="L161" s="7">
        <f t="shared" si="50"/>
        <v>-38231</v>
      </c>
      <c r="M161" s="2"/>
      <c r="N161" s="6">
        <f t="shared" si="51"/>
        <v>-1</v>
      </c>
      <c r="O161" s="11"/>
      <c r="P161" s="7">
        <v>0</v>
      </c>
      <c r="Q161" s="2"/>
      <c r="R161" s="6">
        <f t="shared" si="52"/>
        <v>0</v>
      </c>
      <c r="S161" s="2"/>
      <c r="T161" s="7">
        <v>319033</v>
      </c>
      <c r="U161" s="2"/>
      <c r="V161" s="6">
        <f t="shared" si="53"/>
        <v>3.4026836611179508E-2</v>
      </c>
      <c r="W161" s="2"/>
      <c r="X161" s="7">
        <f t="shared" si="54"/>
        <v>-319033</v>
      </c>
      <c r="Y161" s="2"/>
      <c r="Z161" s="6">
        <f t="shared" si="55"/>
        <v>-1</v>
      </c>
    </row>
    <row r="162" spans="1:26" s="24" customFormat="1" hidden="1" outlineLevel="2" x14ac:dyDescent="0.25">
      <c r="A162" s="25"/>
      <c r="B162" s="11" t="str">
        <f>CONCATENATE("          ", "9175", " - ", "EARNED DISCOUNTS")</f>
        <v xml:space="preserve">          9175 - EARNED DISCOUNTS</v>
      </c>
      <c r="C162" s="11"/>
      <c r="D162" s="7">
        <v>0</v>
      </c>
      <c r="E162" s="2"/>
      <c r="F162" s="6">
        <f t="shared" si="48"/>
        <v>0</v>
      </c>
      <c r="G162" s="2"/>
      <c r="H162" s="7"/>
      <c r="I162" s="2"/>
      <c r="J162" s="6">
        <f t="shared" si="49"/>
        <v>0</v>
      </c>
      <c r="K162" s="2"/>
      <c r="L162" s="7">
        <f t="shared" si="50"/>
        <v>0</v>
      </c>
      <c r="M162" s="2"/>
      <c r="N162" s="6">
        <f t="shared" si="51"/>
        <v>0</v>
      </c>
      <c r="O162" s="11"/>
      <c r="P162" s="7">
        <v>-15.43</v>
      </c>
      <c r="Q162" s="2"/>
      <c r="R162" s="6">
        <f t="shared" si="52"/>
        <v>-2.9603175400437335E-6</v>
      </c>
      <c r="S162" s="2"/>
      <c r="T162" s="7"/>
      <c r="U162" s="2"/>
      <c r="V162" s="6">
        <f t="shared" si="53"/>
        <v>0</v>
      </c>
      <c r="W162" s="2"/>
      <c r="X162" s="7">
        <f t="shared" si="54"/>
        <v>-15.43</v>
      </c>
      <c r="Y162" s="2"/>
      <c r="Z162" s="6">
        <f t="shared" si="55"/>
        <v>0</v>
      </c>
    </row>
    <row r="163" spans="1:26" s="27" customFormat="1" outlineLevel="1" collapsed="1" x14ac:dyDescent="0.25">
      <c r="A163" s="26"/>
      <c r="B163" s="13" t="str">
        <f>CONCATENATE("     ","Donations                                         ")</f>
        <v xml:space="preserve">     Donations                                         </v>
      </c>
      <c r="C163" s="13"/>
      <c r="D163" s="1">
        <f>SUM(OSRRefD22_7x_0)</f>
        <v>0</v>
      </c>
      <c r="E163" s="1"/>
      <c r="F163" s="5">
        <f t="shared" ref="F163:F165" si="56">IF(D$12=0,0,D163/D$12)</f>
        <v>0</v>
      </c>
      <c r="G163" s="1"/>
      <c r="H163" s="1">
        <f>SUM(OSRRefH22_7x_0)</f>
        <v>1000</v>
      </c>
      <c r="I163" s="1"/>
      <c r="J163" s="5">
        <f t="shared" ref="J163:J165" si="57">IF(H$12=0,0,H163/H$12)</f>
        <v>1.5855323345536647E-3</v>
      </c>
      <c r="K163" s="1"/>
      <c r="L163" s="1">
        <f t="shared" ref="L163:L165" si="58">+D163-H163</f>
        <v>-1000</v>
      </c>
      <c r="M163" s="1"/>
      <c r="N163" s="5">
        <f t="shared" ref="N163:N165" si="59">IF(H163=0,0,L163/H163)</f>
        <v>-1</v>
      </c>
      <c r="O163" s="13"/>
      <c r="P163" s="1">
        <f>SUM(OSRRefP22_7x_0)</f>
        <v>360.9</v>
      </c>
      <c r="Q163" s="1"/>
      <c r="R163" s="5">
        <f t="shared" ref="R163:R165" si="60">IF(P$12=0,0,P163/P$12)</f>
        <v>6.9240349980672936E-5</v>
      </c>
      <c r="S163" s="1"/>
      <c r="T163" s="1">
        <f>SUM(OSRRefT22_7x_0)</f>
        <v>11000</v>
      </c>
      <c r="U163" s="1"/>
      <c r="V163" s="5">
        <f t="shared" ref="V163:V165" si="61">IF(T$12=0,0,T163/T$12)</f>
        <v>1.1732178261276249E-3</v>
      </c>
      <c r="W163" s="1"/>
      <c r="X163" s="1">
        <f t="shared" ref="X163:X165" si="62">+P163-T163</f>
        <v>-10639.1</v>
      </c>
      <c r="Y163" s="1"/>
      <c r="Z163" s="5">
        <f t="shared" ref="Z163:Z165" si="63">IF(T163=0,0,X163/T163)</f>
        <v>-0.9671909090909091</v>
      </c>
    </row>
    <row r="164" spans="1:26" s="24" customFormat="1" hidden="1" outlineLevel="2" x14ac:dyDescent="0.25">
      <c r="A164" s="25"/>
      <c r="B164" s="11" t="str">
        <f>CONCATENATE("          ", "6395", " - ", "DONATION-OFF CAMPUS")</f>
        <v xml:space="preserve">          6395 - DONATION-OFF CAMPUS</v>
      </c>
      <c r="C164" s="11"/>
      <c r="D164" s="7"/>
      <c r="E164" s="2"/>
      <c r="F164" s="6">
        <f t="shared" si="56"/>
        <v>0</v>
      </c>
      <c r="G164" s="2"/>
      <c r="H164" s="7"/>
      <c r="I164" s="2"/>
      <c r="J164" s="6">
        <f t="shared" si="57"/>
        <v>0</v>
      </c>
      <c r="K164" s="2"/>
      <c r="L164" s="7">
        <f t="shared" si="58"/>
        <v>0</v>
      </c>
      <c r="M164" s="2"/>
      <c r="N164" s="6">
        <f t="shared" si="59"/>
        <v>0</v>
      </c>
      <c r="O164" s="11"/>
      <c r="P164" s="7"/>
      <c r="Q164" s="2"/>
      <c r="R164" s="6">
        <f t="shared" si="60"/>
        <v>0</v>
      </c>
      <c r="S164" s="2"/>
      <c r="T164" s="7">
        <v>0</v>
      </c>
      <c r="U164" s="2"/>
      <c r="V164" s="6">
        <f t="shared" si="61"/>
        <v>0</v>
      </c>
      <c r="W164" s="2"/>
      <c r="X164" s="7">
        <f t="shared" si="62"/>
        <v>0</v>
      </c>
      <c r="Y164" s="2"/>
      <c r="Z164" s="6">
        <f t="shared" si="63"/>
        <v>0</v>
      </c>
    </row>
    <row r="165" spans="1:26" s="24" customFormat="1" hidden="1" outlineLevel="2" x14ac:dyDescent="0.25">
      <c r="A165" s="25"/>
      <c r="B165" s="11" t="str">
        <f>CONCATENATE("          ", "6399", " - ", "DONATION-ON CAMPUS")</f>
        <v xml:space="preserve">          6399 - DONATION-ON CAMPUS</v>
      </c>
      <c r="C165" s="11"/>
      <c r="D165" s="7"/>
      <c r="E165" s="2"/>
      <c r="F165" s="6">
        <f t="shared" si="56"/>
        <v>0</v>
      </c>
      <c r="G165" s="2"/>
      <c r="H165" s="7">
        <v>1000</v>
      </c>
      <c r="I165" s="2"/>
      <c r="J165" s="6">
        <f t="shared" si="57"/>
        <v>1.5855323345536647E-3</v>
      </c>
      <c r="K165" s="2"/>
      <c r="L165" s="7">
        <f t="shared" si="58"/>
        <v>-1000</v>
      </c>
      <c r="M165" s="2"/>
      <c r="N165" s="6">
        <f t="shared" si="59"/>
        <v>-1</v>
      </c>
      <c r="O165" s="11"/>
      <c r="P165" s="7">
        <v>360.9</v>
      </c>
      <c r="Q165" s="2"/>
      <c r="R165" s="6">
        <f t="shared" si="60"/>
        <v>6.9240349980672936E-5</v>
      </c>
      <c r="S165" s="2"/>
      <c r="T165" s="7">
        <v>11000</v>
      </c>
      <c r="U165" s="2"/>
      <c r="V165" s="6">
        <f t="shared" si="61"/>
        <v>1.1732178261276249E-3</v>
      </c>
      <c r="W165" s="2"/>
      <c r="X165" s="7">
        <f t="shared" si="62"/>
        <v>-10639.1</v>
      </c>
      <c r="Y165" s="2"/>
      <c r="Z165" s="6">
        <f t="shared" si="63"/>
        <v>-0.9671909090909091</v>
      </c>
    </row>
    <row r="166" spans="1:26" s="27" customFormat="1" outlineLevel="1" collapsed="1" x14ac:dyDescent="0.25">
      <c r="A166" s="26"/>
      <c r="B166" s="13" t="str">
        <f>CONCATENATE("     ","Employees' Appreciation                           ")</f>
        <v xml:space="preserve">     Employees' Appreciation                           </v>
      </c>
      <c r="C166" s="13"/>
      <c r="D166" s="1">
        <f>SUM(OSRRefD22_8x_0)</f>
        <v>0</v>
      </c>
      <c r="E166" s="1"/>
      <c r="F166" s="5">
        <f t="shared" ref="F166:F172" si="64">IF(D$12=0,0,D166/D$12)</f>
        <v>0</v>
      </c>
      <c r="G166" s="1"/>
      <c r="H166" s="1">
        <f>SUM(OSRRefH22_8x_0)</f>
        <v>400</v>
      </c>
      <c r="I166" s="1"/>
      <c r="J166" s="5">
        <f t="shared" ref="J166:J172" si="65">IF(H$12=0,0,H166/H$12)</f>
        <v>6.3421293382146589E-4</v>
      </c>
      <c r="K166" s="1"/>
      <c r="L166" s="1">
        <f t="shared" ref="L166:L172" si="66">+D166-H166</f>
        <v>-400</v>
      </c>
      <c r="M166" s="1"/>
      <c r="N166" s="5">
        <f t="shared" ref="N166:N172" si="67">IF(H166=0,0,L166/H166)</f>
        <v>-1</v>
      </c>
      <c r="O166" s="13"/>
      <c r="P166" s="1">
        <f>SUM(OSRRefP22_8x_0)</f>
        <v>186.03</v>
      </c>
      <c r="Q166" s="1"/>
      <c r="R166" s="5">
        <f t="shared" ref="R166:R172" si="68">IF(P$12=0,0,P166/P$12)</f>
        <v>3.5690724042406724E-5</v>
      </c>
      <c r="S166" s="1"/>
      <c r="T166" s="1">
        <f>SUM(OSRRefT22_8x_0)</f>
        <v>4650</v>
      </c>
      <c r="U166" s="1"/>
      <c r="V166" s="5">
        <f t="shared" ref="V166:V172" si="69">IF(T$12=0,0,T166/T$12)</f>
        <v>4.9595117195395054E-4</v>
      </c>
      <c r="W166" s="1"/>
      <c r="X166" s="1">
        <f t="shared" ref="X166:X172" si="70">+P166-T166</f>
        <v>-4463.97</v>
      </c>
      <c r="Y166" s="1"/>
      <c r="Z166" s="5">
        <f t="shared" ref="Z166:Z172" si="71">IF(T166=0,0,X166/T166)</f>
        <v>-0.95999354838709683</v>
      </c>
    </row>
    <row r="167" spans="1:26" s="24" customFormat="1" hidden="1" outlineLevel="2" x14ac:dyDescent="0.25">
      <c r="A167" s="25"/>
      <c r="B167" s="11" t="str">
        <f>CONCATENATE("          ", "6277", " - ", "EMPLOYEE APPRECIATION")</f>
        <v xml:space="preserve">          6277 - EMPLOYEE APPRECIATION</v>
      </c>
      <c r="C167" s="11"/>
      <c r="D167" s="7"/>
      <c r="E167" s="2"/>
      <c r="F167" s="6">
        <f t="shared" si="64"/>
        <v>0</v>
      </c>
      <c r="G167" s="2"/>
      <c r="H167" s="7">
        <v>400</v>
      </c>
      <c r="I167" s="2"/>
      <c r="J167" s="6">
        <f t="shared" si="65"/>
        <v>6.3421293382146589E-4</v>
      </c>
      <c r="K167" s="2"/>
      <c r="L167" s="7">
        <f t="shared" si="66"/>
        <v>-400</v>
      </c>
      <c r="M167" s="2"/>
      <c r="N167" s="6">
        <f t="shared" si="67"/>
        <v>-1</v>
      </c>
      <c r="O167" s="11"/>
      <c r="P167" s="7">
        <v>186.03</v>
      </c>
      <c r="Q167" s="2"/>
      <c r="R167" s="6">
        <f t="shared" si="68"/>
        <v>3.5690724042406724E-5</v>
      </c>
      <c r="S167" s="2"/>
      <c r="T167" s="7">
        <v>4650</v>
      </c>
      <c r="U167" s="2"/>
      <c r="V167" s="6">
        <f t="shared" si="69"/>
        <v>4.9595117195395054E-4</v>
      </c>
      <c r="W167" s="2"/>
      <c r="X167" s="7">
        <f t="shared" si="70"/>
        <v>-4463.97</v>
      </c>
      <c r="Y167" s="2"/>
      <c r="Z167" s="6">
        <f t="shared" si="71"/>
        <v>-0.95999354838709683</v>
      </c>
    </row>
    <row r="168" spans="1:26" s="27" customFormat="1" outlineLevel="1" collapsed="1" x14ac:dyDescent="0.25">
      <c r="A168" s="26"/>
      <c r="B168" s="13" t="str">
        <f>CONCATENATE("     ","Equipment Rental                                  ")</f>
        <v xml:space="preserve">     Equipment Rental                                  </v>
      </c>
      <c r="C168" s="13"/>
      <c r="D168" s="1">
        <f>SUM(OSRRefD22_9x_0)</f>
        <v>1712.05</v>
      </c>
      <c r="E168" s="1"/>
      <c r="F168" s="5">
        <f t="shared" si="64"/>
        <v>3.3783814449870513E-3</v>
      </c>
      <c r="G168" s="1"/>
      <c r="H168" s="1">
        <f>SUM(OSRRefH22_9x_0)</f>
        <v>3152</v>
      </c>
      <c r="I168" s="1"/>
      <c r="J168" s="5">
        <f t="shared" si="65"/>
        <v>4.9975979185131513E-3</v>
      </c>
      <c r="K168" s="1"/>
      <c r="L168" s="1">
        <f t="shared" si="66"/>
        <v>-1439.95</v>
      </c>
      <c r="M168" s="1"/>
      <c r="N168" s="5">
        <f t="shared" si="67"/>
        <v>-0.45683692893401018</v>
      </c>
      <c r="O168" s="13"/>
      <c r="P168" s="1">
        <f>SUM(OSRRefP22_9x_0)</f>
        <v>17163.57</v>
      </c>
      <c r="Q168" s="1"/>
      <c r="R168" s="5">
        <f t="shared" si="68"/>
        <v>3.2929110382870007E-3</v>
      </c>
      <c r="S168" s="1"/>
      <c r="T168" s="1">
        <f>SUM(OSRRefT22_9x_0)</f>
        <v>34234</v>
      </c>
      <c r="U168" s="1"/>
      <c r="V168" s="5">
        <f t="shared" si="69"/>
        <v>3.6512671872411923E-3</v>
      </c>
      <c r="W168" s="1"/>
      <c r="X168" s="1">
        <f t="shared" si="70"/>
        <v>-17070.43</v>
      </c>
      <c r="Y168" s="1"/>
      <c r="Z168" s="5">
        <f t="shared" si="71"/>
        <v>-0.49863965648186015</v>
      </c>
    </row>
    <row r="169" spans="1:26" s="24" customFormat="1" hidden="1" outlineLevel="2" x14ac:dyDescent="0.25">
      <c r="A169" s="25"/>
      <c r="B169" s="11" t="str">
        <f>CONCATENATE("          ", "6351", " - ", "EQUIPMENT RENTAL")</f>
        <v xml:space="preserve">          6351 - EQUIPMENT RENTAL</v>
      </c>
      <c r="C169" s="11"/>
      <c r="D169" s="7">
        <v>1712.05</v>
      </c>
      <c r="E169" s="2"/>
      <c r="F169" s="6">
        <f t="shared" si="64"/>
        <v>3.3783814449870513E-3</v>
      </c>
      <c r="G169" s="2"/>
      <c r="H169" s="7">
        <v>3152</v>
      </c>
      <c r="I169" s="2"/>
      <c r="J169" s="6">
        <f t="shared" si="65"/>
        <v>4.9975979185131513E-3</v>
      </c>
      <c r="K169" s="2"/>
      <c r="L169" s="7">
        <f t="shared" si="66"/>
        <v>-1439.95</v>
      </c>
      <c r="M169" s="2"/>
      <c r="N169" s="6">
        <f t="shared" si="67"/>
        <v>-0.45683692893401018</v>
      </c>
      <c r="O169" s="11"/>
      <c r="P169" s="7">
        <v>17163.57</v>
      </c>
      <c r="Q169" s="2"/>
      <c r="R169" s="6">
        <f t="shared" si="68"/>
        <v>3.2929110382870007E-3</v>
      </c>
      <c r="S169" s="2"/>
      <c r="T169" s="7">
        <v>34234</v>
      </c>
      <c r="U169" s="2"/>
      <c r="V169" s="6">
        <f t="shared" si="69"/>
        <v>3.6512671872411923E-3</v>
      </c>
      <c r="W169" s="2"/>
      <c r="X169" s="7">
        <f t="shared" si="70"/>
        <v>-17070.43</v>
      </c>
      <c r="Y169" s="2"/>
      <c r="Z169" s="6">
        <f t="shared" si="71"/>
        <v>-0.49863965648186015</v>
      </c>
    </row>
    <row r="170" spans="1:26" s="27" customFormat="1" outlineLevel="1" collapsed="1" x14ac:dyDescent="0.25">
      <c r="A170" s="26"/>
      <c r="B170" s="13" t="str">
        <f>CONCATENATE("     ","Freight out/Postage                               ")</f>
        <v xml:space="preserve">     Freight out/Postage                               </v>
      </c>
      <c r="C170" s="13"/>
      <c r="D170" s="1">
        <f>SUM(OSRRefD22_10x_0)</f>
        <v>-20865.219999999998</v>
      </c>
      <c r="E170" s="1"/>
      <c r="F170" s="5">
        <f t="shared" si="64"/>
        <v>-4.1173255508643272E-2</v>
      </c>
      <c r="G170" s="1"/>
      <c r="H170" s="1">
        <f>SUM(OSRRefH22_10x_0)</f>
        <v>-1482</v>
      </c>
      <c r="I170" s="1"/>
      <c r="J170" s="5">
        <f t="shared" si="65"/>
        <v>-2.349758919808531E-3</v>
      </c>
      <c r="K170" s="1"/>
      <c r="L170" s="1">
        <f t="shared" si="66"/>
        <v>-19383.219999999998</v>
      </c>
      <c r="M170" s="1"/>
      <c r="N170" s="5">
        <f t="shared" si="67"/>
        <v>13.079095816464235</v>
      </c>
      <c r="O170" s="13"/>
      <c r="P170" s="1">
        <f>SUM(OSRRefP22_10x_0)</f>
        <v>-67606.669999999984</v>
      </c>
      <c r="Q170" s="1"/>
      <c r="R170" s="5">
        <f t="shared" si="68"/>
        <v>-1.2970655283535219E-2</v>
      </c>
      <c r="S170" s="1"/>
      <c r="T170" s="1">
        <f>SUM(OSRRefT22_10x_0)</f>
        <v>35115</v>
      </c>
      <c r="U170" s="1"/>
      <c r="V170" s="5">
        <f t="shared" si="69"/>
        <v>3.7452312694974139E-3</v>
      </c>
      <c r="W170" s="1"/>
      <c r="X170" s="1">
        <f t="shared" si="70"/>
        <v>-102721.66999999998</v>
      </c>
      <c r="Y170" s="1"/>
      <c r="Z170" s="5">
        <f t="shared" si="71"/>
        <v>-2.9252931795528974</v>
      </c>
    </row>
    <row r="171" spans="1:26" s="24" customFormat="1" hidden="1" outlineLevel="2" x14ac:dyDescent="0.25">
      <c r="A171" s="25"/>
      <c r="B171" s="11" t="str">
        <f>CONCATENATE("          ", "6305", " - ", "FREIGHT OUT")</f>
        <v xml:space="preserve">          6305 - FREIGHT OUT</v>
      </c>
      <c r="C171" s="11"/>
      <c r="D171" s="7">
        <v>22482.81</v>
      </c>
      <c r="E171" s="2"/>
      <c r="F171" s="6">
        <f t="shared" si="64"/>
        <v>4.4365239411915149E-2</v>
      </c>
      <c r="G171" s="2"/>
      <c r="H171" s="7">
        <v>3498</v>
      </c>
      <c r="I171" s="2"/>
      <c r="J171" s="6">
        <f t="shared" si="65"/>
        <v>5.5461921062687188E-3</v>
      </c>
      <c r="K171" s="2"/>
      <c r="L171" s="7">
        <f t="shared" si="66"/>
        <v>18984.810000000001</v>
      </c>
      <c r="M171" s="2"/>
      <c r="N171" s="6">
        <f t="shared" si="67"/>
        <v>5.4273327615780449</v>
      </c>
      <c r="O171" s="11"/>
      <c r="P171" s="7">
        <v>224663.74</v>
      </c>
      <c r="Q171" s="2"/>
      <c r="R171" s="6">
        <f t="shared" si="68"/>
        <v>4.3102787435763117E-2</v>
      </c>
      <c r="S171" s="2"/>
      <c r="T171" s="7">
        <v>64437</v>
      </c>
      <c r="U171" s="2"/>
      <c r="V171" s="6">
        <f t="shared" si="69"/>
        <v>6.8726033692896159E-3</v>
      </c>
      <c r="W171" s="2"/>
      <c r="X171" s="7">
        <f t="shared" si="70"/>
        <v>160226.74</v>
      </c>
      <c r="Y171" s="2"/>
      <c r="Z171" s="6">
        <f t="shared" si="71"/>
        <v>2.4865642410416373</v>
      </c>
    </row>
    <row r="172" spans="1:26" s="24" customFormat="1" hidden="1" outlineLevel="2" x14ac:dyDescent="0.25">
      <c r="A172" s="25"/>
      <c r="B172" s="11" t="str">
        <f>CONCATENATE("          ", "6307", " - ", "POSTAGE")</f>
        <v xml:space="preserve">          6307 - POSTAGE</v>
      </c>
      <c r="C172" s="11"/>
      <c r="D172" s="7">
        <v>-43348.03</v>
      </c>
      <c r="E172" s="2"/>
      <c r="F172" s="6">
        <f t="shared" si="64"/>
        <v>-8.5538494920558428E-2</v>
      </c>
      <c r="G172" s="2"/>
      <c r="H172" s="7">
        <v>-4980</v>
      </c>
      <c r="I172" s="2"/>
      <c r="J172" s="6">
        <f t="shared" si="65"/>
        <v>-7.8959510260772497E-3</v>
      </c>
      <c r="K172" s="2"/>
      <c r="L172" s="7">
        <f t="shared" si="66"/>
        <v>-38368.03</v>
      </c>
      <c r="M172" s="2"/>
      <c r="N172" s="6">
        <f t="shared" si="67"/>
        <v>7.7044236947791163</v>
      </c>
      <c r="O172" s="11"/>
      <c r="P172" s="7">
        <v>-292270.40999999997</v>
      </c>
      <c r="Q172" s="2"/>
      <c r="R172" s="6">
        <f t="shared" si="68"/>
        <v>-5.6073442719298337E-2</v>
      </c>
      <c r="S172" s="2"/>
      <c r="T172" s="7">
        <v>-29322</v>
      </c>
      <c r="U172" s="2"/>
      <c r="V172" s="6">
        <f t="shared" si="69"/>
        <v>-3.1273720997922016E-3</v>
      </c>
      <c r="W172" s="2"/>
      <c r="X172" s="7">
        <f t="shared" si="70"/>
        <v>-262948.40999999997</v>
      </c>
      <c r="Y172" s="2"/>
      <c r="Z172" s="6">
        <f t="shared" si="71"/>
        <v>8.9676151012891339</v>
      </c>
    </row>
    <row r="173" spans="1:26" s="27" customFormat="1" outlineLevel="1" collapsed="1" x14ac:dyDescent="0.25">
      <c r="A173" s="26"/>
      <c r="B173" s="13" t="str">
        <f>CONCATENATE("     ","General                                           ")</f>
        <v xml:space="preserve">     General                                           </v>
      </c>
      <c r="C173" s="13"/>
      <c r="D173" s="1">
        <f>SUM(OSRRefD22_11x_0)</f>
        <v>-646.37</v>
      </c>
      <c r="E173" s="1"/>
      <c r="F173" s="5">
        <f t="shared" ref="F173:F176" si="72">IF(D$12=0,0,D173/D$12)</f>
        <v>-1.2754793461617828E-3</v>
      </c>
      <c r="G173" s="1"/>
      <c r="H173" s="1">
        <f>SUM(OSRRefH22_11x_0)</f>
        <v>1750</v>
      </c>
      <c r="I173" s="1"/>
      <c r="J173" s="5">
        <f t="shared" ref="J173:J176" si="73">IF(H$12=0,0,H173/H$12)</f>
        <v>2.7746815854689131E-3</v>
      </c>
      <c r="K173" s="1"/>
      <c r="L173" s="1">
        <f t="shared" ref="L173:L176" si="74">+D173-H173</f>
        <v>-2396.37</v>
      </c>
      <c r="M173" s="1"/>
      <c r="N173" s="5">
        <f t="shared" ref="N173:N176" si="75">IF(H173=0,0,L173/H173)</f>
        <v>-1.3693542857142857</v>
      </c>
      <c r="O173" s="13"/>
      <c r="P173" s="1">
        <f>SUM(OSRRefP22_11x_0)</f>
        <v>5512.12</v>
      </c>
      <c r="Q173" s="1"/>
      <c r="R173" s="5">
        <f t="shared" ref="R173:R176" si="76">IF(P$12=0,0,P173/P$12)</f>
        <v>1.0575259571500885E-3</v>
      </c>
      <c r="S173" s="1"/>
      <c r="T173" s="1">
        <f>SUM(OSRRefT22_11x_0)</f>
        <v>14900</v>
      </c>
      <c r="U173" s="1"/>
      <c r="V173" s="5">
        <f t="shared" ref="V173:V176" si="77">IF(T$12=0,0,T173/T$12)</f>
        <v>1.5891768735728738E-3</v>
      </c>
      <c r="W173" s="1"/>
      <c r="X173" s="1">
        <f t="shared" ref="X173:X176" si="78">+P173-T173</f>
        <v>-9387.880000000001</v>
      </c>
      <c r="Y173" s="1"/>
      <c r="Z173" s="5">
        <f t="shared" ref="Z173:Z176" si="79">IF(T173=0,0,X173/T173)</f>
        <v>-0.63005906040268467</v>
      </c>
    </row>
    <row r="174" spans="1:26" s="24" customFormat="1" hidden="1" outlineLevel="2" x14ac:dyDescent="0.25">
      <c r="A174" s="25"/>
      <c r="B174" s="11" t="str">
        <f>CONCATENATE("          ", "6269", " - ", "ENTERTAINMENT")</f>
        <v xml:space="preserve">          6269 - ENTERTAINMENT</v>
      </c>
      <c r="C174" s="11"/>
      <c r="D174" s="7"/>
      <c r="E174" s="2"/>
      <c r="F174" s="6">
        <f t="shared" si="72"/>
        <v>0</v>
      </c>
      <c r="G174" s="2"/>
      <c r="H174" s="7">
        <v>1250</v>
      </c>
      <c r="I174" s="2"/>
      <c r="J174" s="6">
        <f t="shared" si="73"/>
        <v>1.9819154181920811E-3</v>
      </c>
      <c r="K174" s="2"/>
      <c r="L174" s="7">
        <f t="shared" si="74"/>
        <v>-1250</v>
      </c>
      <c r="M174" s="2"/>
      <c r="N174" s="6">
        <f t="shared" si="75"/>
        <v>-1</v>
      </c>
      <c r="O174" s="11"/>
      <c r="P174" s="7"/>
      <c r="Q174" s="2"/>
      <c r="R174" s="6">
        <f t="shared" si="76"/>
        <v>0</v>
      </c>
      <c r="S174" s="2"/>
      <c r="T174" s="7">
        <v>2750</v>
      </c>
      <c r="U174" s="2"/>
      <c r="V174" s="6">
        <f t="shared" si="77"/>
        <v>2.9330445653190623E-4</v>
      </c>
      <c r="W174" s="2"/>
      <c r="X174" s="7">
        <f t="shared" si="78"/>
        <v>-2750</v>
      </c>
      <c r="Y174" s="2"/>
      <c r="Z174" s="6">
        <f t="shared" si="79"/>
        <v>-1</v>
      </c>
    </row>
    <row r="175" spans="1:26" s="24" customFormat="1" hidden="1" outlineLevel="2" x14ac:dyDescent="0.25">
      <c r="A175" s="25"/>
      <c r="B175" s="11" t="str">
        <f>CONCATENATE("          ", "6276", " - ", "PROPERTY TAX")</f>
        <v xml:space="preserve">          6276 - PROPERTY TAX</v>
      </c>
      <c r="C175" s="11"/>
      <c r="D175" s="7"/>
      <c r="E175" s="2"/>
      <c r="F175" s="6">
        <f t="shared" si="72"/>
        <v>0</v>
      </c>
      <c r="G175" s="2"/>
      <c r="H175" s="7"/>
      <c r="I175" s="2"/>
      <c r="J175" s="6">
        <f t="shared" si="73"/>
        <v>0</v>
      </c>
      <c r="K175" s="2"/>
      <c r="L175" s="7">
        <f t="shared" si="74"/>
        <v>0</v>
      </c>
      <c r="M175" s="2"/>
      <c r="N175" s="6">
        <f t="shared" si="75"/>
        <v>0</v>
      </c>
      <c r="O175" s="11"/>
      <c r="P175" s="7"/>
      <c r="Q175" s="2"/>
      <c r="R175" s="6">
        <f t="shared" si="76"/>
        <v>0</v>
      </c>
      <c r="S175" s="2"/>
      <c r="T175" s="7">
        <v>150</v>
      </c>
      <c r="U175" s="2"/>
      <c r="V175" s="6">
        <f t="shared" si="77"/>
        <v>1.599842490174034E-5</v>
      </c>
      <c r="W175" s="2"/>
      <c r="X175" s="7">
        <f t="shared" si="78"/>
        <v>-150</v>
      </c>
      <c r="Y175" s="2"/>
      <c r="Z175" s="6">
        <f t="shared" si="79"/>
        <v>-1</v>
      </c>
    </row>
    <row r="176" spans="1:26" s="24" customFormat="1" hidden="1" outlineLevel="2" x14ac:dyDescent="0.25">
      <c r="A176" s="25"/>
      <c r="B176" s="11" t="str">
        <f>CONCATENATE("          ", "6279", " - ", "GENERAL EXPENSE")</f>
        <v xml:space="preserve">          6279 - GENERAL EXPENSE</v>
      </c>
      <c r="C176" s="11"/>
      <c r="D176" s="7">
        <v>-646.37</v>
      </c>
      <c r="E176" s="2"/>
      <c r="F176" s="6">
        <f t="shared" si="72"/>
        <v>-1.2754793461617828E-3</v>
      </c>
      <c r="G176" s="2"/>
      <c r="H176" s="7">
        <v>500</v>
      </c>
      <c r="I176" s="2"/>
      <c r="J176" s="6">
        <f t="shared" si="73"/>
        <v>7.9276616727683234E-4</v>
      </c>
      <c r="K176" s="2"/>
      <c r="L176" s="7">
        <f t="shared" si="74"/>
        <v>-1146.3699999999999</v>
      </c>
      <c r="M176" s="2"/>
      <c r="N176" s="6">
        <f t="shared" si="75"/>
        <v>-2.2927399999999998</v>
      </c>
      <c r="O176" s="11"/>
      <c r="P176" s="7">
        <v>5512.12</v>
      </c>
      <c r="Q176" s="2"/>
      <c r="R176" s="6">
        <f t="shared" si="76"/>
        <v>1.0575259571500885E-3</v>
      </c>
      <c r="S176" s="2"/>
      <c r="T176" s="7">
        <v>12000</v>
      </c>
      <c r="U176" s="2"/>
      <c r="V176" s="6">
        <f t="shared" si="77"/>
        <v>1.2798739921392273E-3</v>
      </c>
      <c r="W176" s="2"/>
      <c r="X176" s="7">
        <f t="shared" si="78"/>
        <v>-6487.88</v>
      </c>
      <c r="Y176" s="2"/>
      <c r="Z176" s="6">
        <f t="shared" si="79"/>
        <v>-0.54065666666666667</v>
      </c>
    </row>
    <row r="177" spans="1:26" s="27" customFormat="1" outlineLevel="1" collapsed="1" x14ac:dyDescent="0.25">
      <c r="A177" s="26"/>
      <c r="B177" s="13" t="str">
        <f>CONCATENATE("     ","Insurance                                         ")</f>
        <v xml:space="preserve">     Insurance                                         </v>
      </c>
      <c r="C177" s="13"/>
      <c r="D177" s="1">
        <f>SUM(OSRRefD22_12x_0)</f>
        <v>4288.28</v>
      </c>
      <c r="E177" s="1"/>
      <c r="F177" s="5">
        <f t="shared" ref="F177:F183" si="80">IF(D$12=0,0,D177/D$12)</f>
        <v>8.4620458414818907E-3</v>
      </c>
      <c r="G177" s="1"/>
      <c r="H177" s="1">
        <f>SUM(OSRRefH22_12x_0)</f>
        <v>4716</v>
      </c>
      <c r="I177" s="1"/>
      <c r="J177" s="5">
        <f t="shared" ref="J177:J183" si="81">IF(H$12=0,0,H177/H$12)</f>
        <v>7.4773704897550825E-3</v>
      </c>
      <c r="K177" s="1"/>
      <c r="L177" s="1">
        <f t="shared" ref="L177:L183" si="82">+D177-H177</f>
        <v>-427.72000000000025</v>
      </c>
      <c r="M177" s="1"/>
      <c r="N177" s="5">
        <f t="shared" ref="N177:N183" si="83">IF(H177=0,0,L177/H177)</f>
        <v>-9.0695504664970367E-2</v>
      </c>
      <c r="O177" s="13"/>
      <c r="P177" s="1">
        <f>SUM(OSRRefP22_12x_0)</f>
        <v>47171.08</v>
      </c>
      <c r="Q177" s="1"/>
      <c r="R177" s="5">
        <f t="shared" ref="R177:R183" si="84">IF(P$12=0,0,P177/P$12)</f>
        <v>9.0499919317437571E-3</v>
      </c>
      <c r="S177" s="1"/>
      <c r="T177" s="1">
        <f>SUM(OSRRefT22_12x_0)</f>
        <v>51876</v>
      </c>
      <c r="U177" s="1"/>
      <c r="V177" s="5">
        <f t="shared" ref="V177:V183" si="85">IF(T$12=0,0,T177/T$12)</f>
        <v>5.5328952680178791E-3</v>
      </c>
      <c r="W177" s="1"/>
      <c r="X177" s="1">
        <f t="shared" ref="X177:X183" si="86">+P177-T177</f>
        <v>-4704.9199999999983</v>
      </c>
      <c r="Y177" s="1"/>
      <c r="Z177" s="5">
        <f t="shared" ref="Z177:Z183" si="87">IF(T177=0,0,X177/T177)</f>
        <v>-9.0695504664970283E-2</v>
      </c>
    </row>
    <row r="178" spans="1:26" s="24" customFormat="1" hidden="1" outlineLevel="2" x14ac:dyDescent="0.25">
      <c r="A178" s="25"/>
      <c r="B178" s="11" t="str">
        <f>CONCATENATE("          ", "6314", " - ", "LIABILITY INSURANCE")</f>
        <v xml:space="preserve">          6314 - LIABILITY INSURANCE</v>
      </c>
      <c r="C178" s="11"/>
      <c r="D178" s="7">
        <v>4288.28</v>
      </c>
      <c r="E178" s="2"/>
      <c r="F178" s="6">
        <f t="shared" si="80"/>
        <v>8.4620458414818907E-3</v>
      </c>
      <c r="G178" s="2"/>
      <c r="H178" s="7">
        <v>4716</v>
      </c>
      <c r="I178" s="2"/>
      <c r="J178" s="6">
        <f t="shared" si="81"/>
        <v>7.4773704897550825E-3</v>
      </c>
      <c r="K178" s="2"/>
      <c r="L178" s="7">
        <f t="shared" si="82"/>
        <v>-427.72000000000025</v>
      </c>
      <c r="M178" s="2"/>
      <c r="N178" s="6">
        <f t="shared" si="83"/>
        <v>-9.0695504664970367E-2</v>
      </c>
      <c r="O178" s="11"/>
      <c r="P178" s="7">
        <v>47171.08</v>
      </c>
      <c r="Q178" s="2"/>
      <c r="R178" s="6">
        <f t="shared" si="84"/>
        <v>9.0499919317437571E-3</v>
      </c>
      <c r="S178" s="2"/>
      <c r="T178" s="7">
        <v>51876</v>
      </c>
      <c r="U178" s="2"/>
      <c r="V178" s="6">
        <f t="shared" si="85"/>
        <v>5.5328952680178791E-3</v>
      </c>
      <c r="W178" s="2"/>
      <c r="X178" s="7">
        <f t="shared" si="86"/>
        <v>-4704.9199999999983</v>
      </c>
      <c r="Y178" s="2"/>
      <c r="Z178" s="6">
        <f t="shared" si="87"/>
        <v>-9.0695504664970283E-2</v>
      </c>
    </row>
    <row r="179" spans="1:26" s="27" customFormat="1" outlineLevel="1" collapsed="1" x14ac:dyDescent="0.25">
      <c r="A179" s="26"/>
      <c r="B179" s="13" t="str">
        <f>CONCATENATE("     ","Interest                                          ")</f>
        <v xml:space="preserve">     Interest                                          </v>
      </c>
      <c r="C179" s="13"/>
      <c r="D179" s="1">
        <f>SUM(OSRRefD22_13x_0)</f>
        <v>4044</v>
      </c>
      <c r="E179" s="1"/>
      <c r="F179" s="5">
        <f t="shared" si="80"/>
        <v>7.9800090905800848E-3</v>
      </c>
      <c r="G179" s="1"/>
      <c r="H179" s="1">
        <f>SUM(OSRRefH22_13x_0)</f>
        <v>3905</v>
      </c>
      <c r="I179" s="1"/>
      <c r="J179" s="5">
        <f t="shared" si="81"/>
        <v>6.1915037664320612E-3</v>
      </c>
      <c r="K179" s="1"/>
      <c r="L179" s="1">
        <f t="shared" si="82"/>
        <v>139</v>
      </c>
      <c r="M179" s="1"/>
      <c r="N179" s="5">
        <f t="shared" si="83"/>
        <v>3.559539052496799E-2</v>
      </c>
      <c r="O179" s="13"/>
      <c r="P179" s="1">
        <f>SUM(OSRRefP22_13x_0)</f>
        <v>43390.85</v>
      </c>
      <c r="Q179" s="1"/>
      <c r="R179" s="5">
        <f t="shared" si="84"/>
        <v>8.3247371569933008E-3</v>
      </c>
      <c r="S179" s="1"/>
      <c r="T179" s="1">
        <f>SUM(OSRRefT22_13x_0)</f>
        <v>44345</v>
      </c>
      <c r="U179" s="1"/>
      <c r="V179" s="5">
        <f t="shared" si="85"/>
        <v>4.7296676817845029E-3</v>
      </c>
      <c r="W179" s="1"/>
      <c r="X179" s="1">
        <f t="shared" si="86"/>
        <v>-954.15000000000146</v>
      </c>
      <c r="Y179" s="1"/>
      <c r="Z179" s="5">
        <f t="shared" si="87"/>
        <v>-2.1516518209493775E-2</v>
      </c>
    </row>
    <row r="180" spans="1:26" s="24" customFormat="1" hidden="1" outlineLevel="2" x14ac:dyDescent="0.25">
      <c r="A180" s="25"/>
      <c r="B180" s="11" t="str">
        <f>CONCATENATE("          ", "6401", " - ", "INTEREST EXPENSE")</f>
        <v xml:space="preserve">          6401 - INTEREST EXPENSE</v>
      </c>
      <c r="C180" s="11"/>
      <c r="D180" s="7">
        <v>4044</v>
      </c>
      <c r="E180" s="2"/>
      <c r="F180" s="6">
        <f t="shared" si="80"/>
        <v>7.9800090905800848E-3</v>
      </c>
      <c r="G180" s="2"/>
      <c r="H180" s="7">
        <v>3905</v>
      </c>
      <c r="I180" s="2"/>
      <c r="J180" s="6">
        <f t="shared" si="81"/>
        <v>6.1915037664320612E-3</v>
      </c>
      <c r="K180" s="2"/>
      <c r="L180" s="7">
        <f t="shared" si="82"/>
        <v>139</v>
      </c>
      <c r="M180" s="2"/>
      <c r="N180" s="6">
        <f t="shared" si="83"/>
        <v>3.559539052496799E-2</v>
      </c>
      <c r="O180" s="11"/>
      <c r="P180" s="7">
        <v>43390.85</v>
      </c>
      <c r="Q180" s="2"/>
      <c r="R180" s="6">
        <f t="shared" si="84"/>
        <v>8.3247371569933008E-3</v>
      </c>
      <c r="S180" s="2"/>
      <c r="T180" s="7">
        <v>44345</v>
      </c>
      <c r="U180" s="2"/>
      <c r="V180" s="6">
        <f t="shared" si="85"/>
        <v>4.7296676817845029E-3</v>
      </c>
      <c r="W180" s="2"/>
      <c r="X180" s="7">
        <f t="shared" si="86"/>
        <v>-954.15000000000146</v>
      </c>
      <c r="Y180" s="2"/>
      <c r="Z180" s="6">
        <f t="shared" si="87"/>
        <v>-2.1516518209493775E-2</v>
      </c>
    </row>
    <row r="181" spans="1:26" s="27" customFormat="1" outlineLevel="1" collapsed="1" x14ac:dyDescent="0.25">
      <c r="A181" s="26"/>
      <c r="B181" s="13" t="str">
        <f>CONCATENATE("     ","Inventory Adjustment                              ")</f>
        <v xml:space="preserve">     Inventory Adjustment                              </v>
      </c>
      <c r="C181" s="13"/>
      <c r="D181" s="1">
        <f>SUM(OSRRefD22_14x_0)</f>
        <v>2100</v>
      </c>
      <c r="E181" s="1"/>
      <c r="F181" s="5">
        <f t="shared" si="80"/>
        <v>4.1439216345742283E-3</v>
      </c>
      <c r="G181" s="1"/>
      <c r="H181" s="1">
        <f>SUM(OSRRefH22_14x_0)</f>
        <v>3100</v>
      </c>
      <c r="I181" s="1"/>
      <c r="J181" s="5">
        <f t="shared" si="81"/>
        <v>4.9151502371163605E-3</v>
      </c>
      <c r="K181" s="1"/>
      <c r="L181" s="1">
        <f t="shared" si="82"/>
        <v>-1000</v>
      </c>
      <c r="M181" s="1"/>
      <c r="N181" s="5">
        <f t="shared" si="83"/>
        <v>-0.32258064516129031</v>
      </c>
      <c r="O181" s="13"/>
      <c r="P181" s="1">
        <f>SUM(OSRRefP22_14x_0)</f>
        <v>28100</v>
      </c>
      <c r="Q181" s="1"/>
      <c r="R181" s="5">
        <f t="shared" si="84"/>
        <v>5.3911161941172332E-3</v>
      </c>
      <c r="S181" s="1"/>
      <c r="T181" s="1">
        <f>SUM(OSRRefT22_14x_0)</f>
        <v>39100</v>
      </c>
      <c r="U181" s="1"/>
      <c r="V181" s="5">
        <f t="shared" si="85"/>
        <v>4.1702560910536488E-3</v>
      </c>
      <c r="W181" s="1"/>
      <c r="X181" s="1">
        <f t="shared" si="86"/>
        <v>-11000</v>
      </c>
      <c r="Y181" s="1"/>
      <c r="Z181" s="5">
        <f t="shared" si="87"/>
        <v>-0.2813299232736573</v>
      </c>
    </row>
    <row r="182" spans="1:26" s="24" customFormat="1" hidden="1" outlineLevel="2" x14ac:dyDescent="0.25">
      <c r="A182" s="25"/>
      <c r="B182" s="11" t="str">
        <f>CONCATENATE("          ", "6408", " - ", "INVENTORY ADJUSTMENT")</f>
        <v xml:space="preserve">          6408 - INVENTORY ADJUSTMENT</v>
      </c>
      <c r="C182" s="11"/>
      <c r="D182" s="7">
        <v>2100</v>
      </c>
      <c r="E182" s="2"/>
      <c r="F182" s="6">
        <f t="shared" si="80"/>
        <v>4.1439216345742283E-3</v>
      </c>
      <c r="G182" s="2"/>
      <c r="H182" s="7">
        <v>3100</v>
      </c>
      <c r="I182" s="2"/>
      <c r="J182" s="6">
        <f t="shared" si="81"/>
        <v>4.9151502371163605E-3</v>
      </c>
      <c r="K182" s="2"/>
      <c r="L182" s="7">
        <f t="shared" si="82"/>
        <v>-1000</v>
      </c>
      <c r="M182" s="2"/>
      <c r="N182" s="6">
        <f t="shared" si="83"/>
        <v>-0.32258064516129031</v>
      </c>
      <c r="O182" s="11"/>
      <c r="P182" s="7">
        <v>28100</v>
      </c>
      <c r="Q182" s="2"/>
      <c r="R182" s="6">
        <f t="shared" si="84"/>
        <v>5.3911161941172332E-3</v>
      </c>
      <c r="S182" s="2"/>
      <c r="T182" s="7">
        <v>39100</v>
      </c>
      <c r="U182" s="2"/>
      <c r="V182" s="6">
        <f t="shared" si="85"/>
        <v>4.1702560910536488E-3</v>
      </c>
      <c r="W182" s="2"/>
      <c r="X182" s="7">
        <f t="shared" si="86"/>
        <v>-11000</v>
      </c>
      <c r="Y182" s="2"/>
      <c r="Z182" s="6">
        <f t="shared" si="87"/>
        <v>-0.2813299232736573</v>
      </c>
    </row>
    <row r="183" spans="1:26" s="24" customFormat="1" hidden="1" outlineLevel="2" x14ac:dyDescent="0.25">
      <c r="A183" s="25"/>
      <c r="B183" s="11" t="str">
        <f>CONCATENATE("          ", "7741", " - ", "INV. SHRINKAGE-LOGO GIFTS")</f>
        <v xml:space="preserve">          7741 - INV. SHRINKAGE-LOGO GIFTS</v>
      </c>
      <c r="C183" s="11"/>
      <c r="D183" s="7"/>
      <c r="E183" s="2"/>
      <c r="F183" s="6">
        <f t="shared" si="80"/>
        <v>0</v>
      </c>
      <c r="G183" s="2"/>
      <c r="H183" s="7"/>
      <c r="I183" s="2"/>
      <c r="J183" s="6">
        <f t="shared" si="81"/>
        <v>0</v>
      </c>
      <c r="K183" s="2"/>
      <c r="L183" s="7">
        <f t="shared" si="82"/>
        <v>0</v>
      </c>
      <c r="M183" s="2"/>
      <c r="N183" s="6">
        <f t="shared" si="83"/>
        <v>0</v>
      </c>
      <c r="O183" s="11"/>
      <c r="P183" s="7">
        <v>0</v>
      </c>
      <c r="Q183" s="2"/>
      <c r="R183" s="6">
        <f t="shared" si="84"/>
        <v>0</v>
      </c>
      <c r="S183" s="2"/>
      <c r="T183" s="7"/>
      <c r="U183" s="2"/>
      <c r="V183" s="6">
        <f t="shared" si="85"/>
        <v>0</v>
      </c>
      <c r="W183" s="2"/>
      <c r="X183" s="7">
        <f t="shared" si="86"/>
        <v>0</v>
      </c>
      <c r="Y183" s="2"/>
      <c r="Z183" s="6">
        <f t="shared" si="87"/>
        <v>0</v>
      </c>
    </row>
    <row r="184" spans="1:26" s="27" customFormat="1" outlineLevel="1" collapsed="1" x14ac:dyDescent="0.25">
      <c r="A184" s="26"/>
      <c r="B184" s="13" t="str">
        <f>CONCATENATE("     ","Professional Services                             ")</f>
        <v xml:space="preserve">     Professional Services                             </v>
      </c>
      <c r="C184" s="13"/>
      <c r="D184" s="1">
        <f>SUM(OSRRefD22_15x_0)</f>
        <v>0</v>
      </c>
      <c r="E184" s="1"/>
      <c r="F184" s="5">
        <f t="shared" ref="F184:F192" si="88">IF(D$12=0,0,D184/D$12)</f>
        <v>0</v>
      </c>
      <c r="G184" s="1"/>
      <c r="H184" s="1">
        <f>SUM(OSRRefH22_15x_0)</f>
        <v>0</v>
      </c>
      <c r="I184" s="1"/>
      <c r="J184" s="5">
        <f t="shared" ref="J184:J192" si="89">IF(H$12=0,0,H184/H$12)</f>
        <v>0</v>
      </c>
      <c r="K184" s="1"/>
      <c r="L184" s="1">
        <f t="shared" ref="L184:L192" si="90">+D184-H184</f>
        <v>0</v>
      </c>
      <c r="M184" s="1"/>
      <c r="N184" s="5">
        <f t="shared" ref="N184:N192" si="91">IF(H184=0,0,L184/H184)</f>
        <v>0</v>
      </c>
      <c r="O184" s="13"/>
      <c r="P184" s="1">
        <f>SUM(OSRRefP22_15x_0)</f>
        <v>0</v>
      </c>
      <c r="Q184" s="1"/>
      <c r="R184" s="5">
        <f t="shared" ref="R184:R192" si="92">IF(P$12=0,0,P184/P$12)</f>
        <v>0</v>
      </c>
      <c r="S184" s="1"/>
      <c r="T184" s="1">
        <f>SUM(OSRRefT22_15x_0)</f>
        <v>7300</v>
      </c>
      <c r="U184" s="1"/>
      <c r="V184" s="5">
        <f t="shared" ref="V184:V192" si="93">IF(T$12=0,0,T184/T$12)</f>
        <v>7.7859001188469658E-4</v>
      </c>
      <c r="W184" s="1"/>
      <c r="X184" s="1">
        <f t="shared" ref="X184:X192" si="94">+P184-T184</f>
        <v>-7300</v>
      </c>
      <c r="Y184" s="1"/>
      <c r="Z184" s="5">
        <f t="shared" ref="Z184:Z192" si="95">IF(T184=0,0,X184/T184)</f>
        <v>-1</v>
      </c>
    </row>
    <row r="185" spans="1:26" s="24" customFormat="1" hidden="1" outlineLevel="2" x14ac:dyDescent="0.25">
      <c r="A185" s="25"/>
      <c r="B185" s="11" t="str">
        <f>CONCATENATE("          ", "6336", " - ", "PROFESSIONAL SERVICES")</f>
        <v xml:space="preserve">          6336 - PROFESSIONAL SERVICES</v>
      </c>
      <c r="C185" s="11"/>
      <c r="D185" s="7"/>
      <c r="E185" s="2"/>
      <c r="F185" s="6">
        <f t="shared" si="88"/>
        <v>0</v>
      </c>
      <c r="G185" s="2"/>
      <c r="H185" s="7">
        <v>0</v>
      </c>
      <c r="I185" s="2"/>
      <c r="J185" s="6">
        <f t="shared" si="89"/>
        <v>0</v>
      </c>
      <c r="K185" s="2"/>
      <c r="L185" s="7">
        <f t="shared" si="90"/>
        <v>0</v>
      </c>
      <c r="M185" s="2"/>
      <c r="N185" s="6">
        <f t="shared" si="91"/>
        <v>0</v>
      </c>
      <c r="O185" s="11"/>
      <c r="P185" s="7"/>
      <c r="Q185" s="2"/>
      <c r="R185" s="6">
        <f t="shared" si="92"/>
        <v>0</v>
      </c>
      <c r="S185" s="2"/>
      <c r="T185" s="7">
        <v>7300</v>
      </c>
      <c r="U185" s="2"/>
      <c r="V185" s="6">
        <f t="shared" si="93"/>
        <v>7.7859001188469658E-4</v>
      </c>
      <c r="W185" s="2"/>
      <c r="X185" s="7">
        <f t="shared" si="94"/>
        <v>-7300</v>
      </c>
      <c r="Y185" s="2"/>
      <c r="Z185" s="6">
        <f t="shared" si="95"/>
        <v>-1</v>
      </c>
    </row>
    <row r="186" spans="1:26" s="27" customFormat="1" outlineLevel="1" collapsed="1" x14ac:dyDescent="0.25">
      <c r="A186" s="26"/>
      <c r="B186" s="13" t="str">
        <f>CONCATENATE("     ","Rent                                              ")</f>
        <v xml:space="preserve">     Rent                                              </v>
      </c>
      <c r="C186" s="13"/>
      <c r="D186" s="1">
        <f>SUM(OSRRefD22_16x_0)</f>
        <v>6100</v>
      </c>
      <c r="E186" s="1"/>
      <c r="F186" s="5">
        <f t="shared" si="88"/>
        <v>1.2037105700429901E-2</v>
      </c>
      <c r="G186" s="1"/>
      <c r="H186" s="1">
        <f>SUM(OSRRefH22_16x_0)</f>
        <v>6100</v>
      </c>
      <c r="I186" s="1"/>
      <c r="J186" s="5">
        <f t="shared" si="89"/>
        <v>9.6717472407773543E-3</v>
      </c>
      <c r="K186" s="1"/>
      <c r="L186" s="1">
        <f t="shared" si="90"/>
        <v>0</v>
      </c>
      <c r="M186" s="1"/>
      <c r="N186" s="5">
        <f t="shared" si="91"/>
        <v>0</v>
      </c>
      <c r="O186" s="13"/>
      <c r="P186" s="1">
        <f>SUM(OSRRefP22_16x_0)</f>
        <v>67100</v>
      </c>
      <c r="Q186" s="1"/>
      <c r="R186" s="5">
        <f t="shared" si="92"/>
        <v>1.287344827847923E-2</v>
      </c>
      <c r="S186" s="1"/>
      <c r="T186" s="1">
        <f>SUM(OSRRefT22_16x_0)</f>
        <v>67101</v>
      </c>
      <c r="U186" s="1"/>
      <c r="V186" s="5">
        <f t="shared" si="93"/>
        <v>7.1567353955445242E-3</v>
      </c>
      <c r="W186" s="1"/>
      <c r="X186" s="1">
        <f t="shared" si="94"/>
        <v>-1</v>
      </c>
      <c r="Y186" s="1"/>
      <c r="Z186" s="5">
        <f t="shared" si="95"/>
        <v>-1.4902907557264423E-5</v>
      </c>
    </row>
    <row r="187" spans="1:26" s="24" customFormat="1" hidden="1" outlineLevel="2" x14ac:dyDescent="0.25">
      <c r="A187" s="25"/>
      <c r="B187" s="11" t="str">
        <f>CONCATENATE("          ", "6273", " - ", "RENT")</f>
        <v xml:space="preserve">          6273 - RENT</v>
      </c>
      <c r="C187" s="11"/>
      <c r="D187" s="7">
        <v>6100</v>
      </c>
      <c r="E187" s="2"/>
      <c r="F187" s="6">
        <f t="shared" si="88"/>
        <v>1.2037105700429901E-2</v>
      </c>
      <c r="G187" s="2"/>
      <c r="H187" s="7">
        <v>6100</v>
      </c>
      <c r="I187" s="2"/>
      <c r="J187" s="6">
        <f t="shared" si="89"/>
        <v>9.6717472407773543E-3</v>
      </c>
      <c r="K187" s="2"/>
      <c r="L187" s="7">
        <f t="shared" si="90"/>
        <v>0</v>
      </c>
      <c r="M187" s="2"/>
      <c r="N187" s="6">
        <f t="shared" si="91"/>
        <v>0</v>
      </c>
      <c r="O187" s="11"/>
      <c r="P187" s="7">
        <v>67100</v>
      </c>
      <c r="Q187" s="2"/>
      <c r="R187" s="6">
        <f t="shared" si="92"/>
        <v>1.287344827847923E-2</v>
      </c>
      <c r="S187" s="2"/>
      <c r="T187" s="7">
        <v>67101</v>
      </c>
      <c r="U187" s="2"/>
      <c r="V187" s="6">
        <f t="shared" si="93"/>
        <v>7.1567353955445242E-3</v>
      </c>
      <c r="W187" s="2"/>
      <c r="X187" s="7">
        <f t="shared" si="94"/>
        <v>-1</v>
      </c>
      <c r="Y187" s="2"/>
      <c r="Z187" s="6">
        <f t="shared" si="95"/>
        <v>-1.4902907557264423E-5</v>
      </c>
    </row>
    <row r="188" spans="1:26" s="27" customFormat="1" outlineLevel="1" collapsed="1" x14ac:dyDescent="0.25">
      <c r="A188" s="26"/>
      <c r="B188" s="13" t="str">
        <f>CONCATENATE("     ","Repair and Maintenance                            ")</f>
        <v xml:space="preserve">     Repair and Maintenance                            </v>
      </c>
      <c r="C188" s="13"/>
      <c r="D188" s="1">
        <f>SUM(OSRRefD22_17x_0)</f>
        <v>9444.35</v>
      </c>
      <c r="E188" s="1"/>
      <c r="F188" s="5">
        <f t="shared" si="88"/>
        <v>1.8636498233091006E-2</v>
      </c>
      <c r="G188" s="1"/>
      <c r="H188" s="1">
        <f>SUM(OSRRefH22_17x_0)</f>
        <v>29095</v>
      </c>
      <c r="I188" s="1"/>
      <c r="J188" s="5">
        <f t="shared" si="89"/>
        <v>4.6131063273838875E-2</v>
      </c>
      <c r="K188" s="1"/>
      <c r="L188" s="1">
        <f t="shared" si="90"/>
        <v>-19650.650000000001</v>
      </c>
      <c r="M188" s="1"/>
      <c r="N188" s="5">
        <f t="shared" si="91"/>
        <v>-0.67539611617116346</v>
      </c>
      <c r="O188" s="13"/>
      <c r="P188" s="1">
        <f>SUM(OSRRefP22_17x_0)</f>
        <v>145186.34</v>
      </c>
      <c r="Q188" s="1"/>
      <c r="R188" s="5">
        <f t="shared" si="92"/>
        <v>2.7854677179309985E-2</v>
      </c>
      <c r="S188" s="1"/>
      <c r="T188" s="1">
        <f>SUM(OSRRefT22_17x_0)</f>
        <v>227737</v>
      </c>
      <c r="U188" s="1"/>
      <c r="V188" s="5">
        <f t="shared" si="93"/>
        <v>2.4289555278984267E-2</v>
      </c>
      <c r="W188" s="1"/>
      <c r="X188" s="1">
        <f t="shared" si="94"/>
        <v>-82550.66</v>
      </c>
      <c r="Y188" s="1"/>
      <c r="Z188" s="5">
        <f t="shared" si="95"/>
        <v>-0.36248242490240939</v>
      </c>
    </row>
    <row r="189" spans="1:26" s="24" customFormat="1" hidden="1" outlineLevel="2" x14ac:dyDescent="0.25">
      <c r="A189" s="25"/>
      <c r="B189" s="11" t="str">
        <f>CONCATENATE("          ", "6371", " - ", "COMPUTER SOFTWARE MAINTENANCE")</f>
        <v xml:space="preserve">          6371 - COMPUTER SOFTWARE MAINTENANCE</v>
      </c>
      <c r="C189" s="11"/>
      <c r="D189" s="7"/>
      <c r="E189" s="2"/>
      <c r="F189" s="6">
        <f t="shared" si="88"/>
        <v>0</v>
      </c>
      <c r="G189" s="2"/>
      <c r="H189" s="7">
        <v>12000</v>
      </c>
      <c r="I189" s="2"/>
      <c r="J189" s="6">
        <f t="shared" si="89"/>
        <v>1.9026388014643975E-2</v>
      </c>
      <c r="K189" s="2"/>
      <c r="L189" s="7">
        <f t="shared" si="90"/>
        <v>-12000</v>
      </c>
      <c r="M189" s="2"/>
      <c r="N189" s="6">
        <f t="shared" si="91"/>
        <v>-1</v>
      </c>
      <c r="O189" s="11"/>
      <c r="P189" s="7">
        <v>59767.72</v>
      </c>
      <c r="Q189" s="2"/>
      <c r="R189" s="6">
        <f t="shared" si="92"/>
        <v>1.1466716127311902E-2</v>
      </c>
      <c r="S189" s="2"/>
      <c r="T189" s="7">
        <v>57043</v>
      </c>
      <c r="U189" s="2"/>
      <c r="V189" s="6">
        <f t="shared" si="93"/>
        <v>6.0839876777998283E-3</v>
      </c>
      <c r="W189" s="2"/>
      <c r="X189" s="7">
        <f t="shared" si="94"/>
        <v>2724.7200000000012</v>
      </c>
      <c r="Y189" s="2"/>
      <c r="Z189" s="6">
        <f t="shared" si="95"/>
        <v>4.7766071209438515E-2</v>
      </c>
    </row>
    <row r="190" spans="1:26" s="24" customFormat="1" hidden="1" outlineLevel="2" x14ac:dyDescent="0.25">
      <c r="A190" s="25"/>
      <c r="B190" s="11" t="str">
        <f>CONCATENATE("          ", "6372", " - ", "COMPUTER HARDWARE MAINTENANCE")</f>
        <v xml:space="preserve">          6372 - COMPUTER HARDWARE MAINTENANCE</v>
      </c>
      <c r="C190" s="11"/>
      <c r="D190" s="7"/>
      <c r="E190" s="2"/>
      <c r="F190" s="6">
        <f t="shared" si="88"/>
        <v>0</v>
      </c>
      <c r="G190" s="2"/>
      <c r="H190" s="7"/>
      <c r="I190" s="2"/>
      <c r="J190" s="6">
        <f t="shared" si="89"/>
        <v>0</v>
      </c>
      <c r="K190" s="2"/>
      <c r="L190" s="7">
        <f t="shared" si="90"/>
        <v>0</v>
      </c>
      <c r="M190" s="2"/>
      <c r="N190" s="6">
        <f t="shared" si="91"/>
        <v>0</v>
      </c>
      <c r="O190" s="11"/>
      <c r="P190" s="7">
        <v>-1.1499999999999999</v>
      </c>
      <c r="Q190" s="2"/>
      <c r="R190" s="6">
        <f t="shared" si="92"/>
        <v>-2.2063286915426399E-7</v>
      </c>
      <c r="S190" s="2"/>
      <c r="T190" s="7">
        <v>437</v>
      </c>
      <c r="U190" s="2"/>
      <c r="V190" s="6">
        <f t="shared" si="93"/>
        <v>4.6608744547070195E-5</v>
      </c>
      <c r="W190" s="2"/>
      <c r="X190" s="7">
        <f t="shared" si="94"/>
        <v>-438.15</v>
      </c>
      <c r="Y190" s="2"/>
      <c r="Z190" s="6">
        <f t="shared" si="95"/>
        <v>-1.0026315789473683</v>
      </c>
    </row>
    <row r="191" spans="1:26" s="24" customFormat="1" hidden="1" outlineLevel="2" x14ac:dyDescent="0.25">
      <c r="A191" s="25"/>
      <c r="B191" s="11" t="str">
        <f>CONCATENATE("          ", "6373", " - ", "MAINTENANCE CONTRACTS")</f>
        <v xml:space="preserve">          6373 - MAINTENANCE CONTRACTS</v>
      </c>
      <c r="C191" s="11"/>
      <c r="D191" s="7">
        <v>3187.44</v>
      </c>
      <c r="E191" s="2"/>
      <c r="F191" s="6">
        <f t="shared" si="88"/>
        <v>6.2897626547177522E-3</v>
      </c>
      <c r="G191" s="2"/>
      <c r="H191" s="7">
        <v>8440</v>
      </c>
      <c r="I191" s="2"/>
      <c r="J191" s="6">
        <f t="shared" si="89"/>
        <v>1.338189290363293E-2</v>
      </c>
      <c r="K191" s="2"/>
      <c r="L191" s="7">
        <f t="shared" si="90"/>
        <v>-5252.5599999999995</v>
      </c>
      <c r="M191" s="2"/>
      <c r="N191" s="6">
        <f t="shared" si="91"/>
        <v>-0.62234123222748805</v>
      </c>
      <c r="O191" s="11"/>
      <c r="P191" s="7">
        <v>50564.07</v>
      </c>
      <c r="Q191" s="2"/>
      <c r="R191" s="6">
        <f t="shared" si="92"/>
        <v>9.7009529045365608E-3</v>
      </c>
      <c r="S191" s="2"/>
      <c r="T191" s="7">
        <v>74171</v>
      </c>
      <c r="U191" s="2"/>
      <c r="V191" s="6">
        <f t="shared" si="93"/>
        <v>7.9107944892465518E-3</v>
      </c>
      <c r="W191" s="2"/>
      <c r="X191" s="7">
        <f t="shared" si="94"/>
        <v>-23606.93</v>
      </c>
      <c r="Y191" s="2"/>
      <c r="Z191" s="6">
        <f t="shared" si="95"/>
        <v>-0.31827708942848282</v>
      </c>
    </row>
    <row r="192" spans="1:26" s="24" customFormat="1" hidden="1" outlineLevel="2" x14ac:dyDescent="0.25">
      <c r="A192" s="25"/>
      <c r="B192" s="11" t="str">
        <f>CONCATENATE("          ", "6375", " - ", "OUTSIDE REPAIRS &amp; MAINTENANCE")</f>
        <v xml:space="preserve">          6375 - OUTSIDE REPAIRS &amp; MAINTENANCE</v>
      </c>
      <c r="C192" s="11"/>
      <c r="D192" s="7">
        <v>6256.91</v>
      </c>
      <c r="E192" s="2"/>
      <c r="F192" s="6">
        <f t="shared" si="88"/>
        <v>1.2346735578373255E-2</v>
      </c>
      <c r="G192" s="2"/>
      <c r="H192" s="7">
        <v>8655</v>
      </c>
      <c r="I192" s="2"/>
      <c r="J192" s="6">
        <f t="shared" si="89"/>
        <v>1.3722782355561968E-2</v>
      </c>
      <c r="K192" s="2"/>
      <c r="L192" s="7">
        <f t="shared" si="90"/>
        <v>-2398.09</v>
      </c>
      <c r="M192" s="2"/>
      <c r="N192" s="6">
        <f t="shared" si="91"/>
        <v>-0.27707567879838246</v>
      </c>
      <c r="O192" s="11"/>
      <c r="P192" s="7">
        <v>34855.699999999997</v>
      </c>
      <c r="Q192" s="2"/>
      <c r="R192" s="6">
        <f t="shared" si="92"/>
        <v>6.6872287803306776E-3</v>
      </c>
      <c r="S192" s="2"/>
      <c r="T192" s="7">
        <v>96086</v>
      </c>
      <c r="U192" s="2"/>
      <c r="V192" s="6">
        <f t="shared" si="93"/>
        <v>1.0248164367390816E-2</v>
      </c>
      <c r="W192" s="2"/>
      <c r="X192" s="7">
        <f t="shared" si="94"/>
        <v>-61230.3</v>
      </c>
      <c r="Y192" s="2"/>
      <c r="Z192" s="6">
        <f t="shared" si="95"/>
        <v>-0.63724475990258733</v>
      </c>
    </row>
    <row r="193" spans="1:26" s="27" customFormat="1" outlineLevel="1" collapsed="1" x14ac:dyDescent="0.25">
      <c r="A193" s="26"/>
      <c r="B193" s="13" t="str">
        <f>CONCATENATE("     ","Royalty &amp; Commissions                             ")</f>
        <v xml:space="preserve">     Royalty &amp; Commissions                             </v>
      </c>
      <c r="C193" s="13"/>
      <c r="D193" s="1">
        <f>SUM(OSRRefD22_18x_0)</f>
        <v>393.98</v>
      </c>
      <c r="E193" s="1"/>
      <c r="F193" s="5">
        <f t="shared" ref="F193:F197" si="96">IF(D$12=0,0,D193/D$12)</f>
        <v>7.7743916456645453E-4</v>
      </c>
      <c r="G193" s="1"/>
      <c r="H193" s="1">
        <f>SUM(OSRRefH22_18x_0)</f>
        <v>10038</v>
      </c>
      <c r="I193" s="1"/>
      <c r="J193" s="5">
        <f t="shared" ref="J193:J197" si="97">IF(H$12=0,0,H193/H$12)</f>
        <v>1.5915573574249685E-2</v>
      </c>
      <c r="K193" s="1"/>
      <c r="L193" s="1">
        <f t="shared" ref="L193:L197" si="98">+D193-H193</f>
        <v>-9644.02</v>
      </c>
      <c r="M193" s="1"/>
      <c r="N193" s="5">
        <f t="shared" ref="N193:N197" si="99">IF(H193=0,0,L193/H193)</f>
        <v>-0.96075114564654318</v>
      </c>
      <c r="O193" s="13"/>
      <c r="P193" s="1">
        <f>SUM(OSRRefP22_18x_0)</f>
        <v>48972.63</v>
      </c>
      <c r="Q193" s="1"/>
      <c r="R193" s="5">
        <f t="shared" ref="R193:R197" si="100">IF(P$12=0,0,P193/P$12)</f>
        <v>9.3956277103740722E-3</v>
      </c>
      <c r="S193" s="1"/>
      <c r="T193" s="1">
        <f>SUM(OSRRefT22_18x_0)</f>
        <v>114551</v>
      </c>
      <c r="U193" s="1"/>
      <c r="V193" s="5">
        <f t="shared" ref="V193:V197" si="101">IF(T$12=0,0,T193/T$12)</f>
        <v>1.2217570472795052E-2</v>
      </c>
      <c r="W193" s="1"/>
      <c r="X193" s="1">
        <f t="shared" ref="X193:X197" si="102">+P193-T193</f>
        <v>-65578.37</v>
      </c>
      <c r="Y193" s="1"/>
      <c r="Z193" s="5">
        <f t="shared" ref="Z193:Z197" si="103">IF(T193=0,0,X193/T193)</f>
        <v>-0.57248186397325207</v>
      </c>
    </row>
    <row r="194" spans="1:26" s="24" customFormat="1" hidden="1" outlineLevel="2" x14ac:dyDescent="0.25">
      <c r="A194" s="25"/>
      <c r="B194" s="11" t="str">
        <f>CONCATENATE("          ", "6252", " - ", "ROYALTY DUE CSTV")</f>
        <v xml:space="preserve">          6252 - ROYALTY DUE CSTV</v>
      </c>
      <c r="C194" s="11"/>
      <c r="D194" s="7"/>
      <c r="E194" s="2"/>
      <c r="F194" s="6">
        <f t="shared" si="96"/>
        <v>0</v>
      </c>
      <c r="G194" s="2"/>
      <c r="H194" s="7">
        <v>1085</v>
      </c>
      <c r="I194" s="2"/>
      <c r="J194" s="6">
        <f t="shared" si="97"/>
        <v>1.7203025829907262E-3</v>
      </c>
      <c r="K194" s="2"/>
      <c r="L194" s="7">
        <f t="shared" si="98"/>
        <v>-1085</v>
      </c>
      <c r="M194" s="2"/>
      <c r="N194" s="6">
        <f t="shared" si="99"/>
        <v>-1</v>
      </c>
      <c r="O194" s="11"/>
      <c r="P194" s="7"/>
      <c r="Q194" s="2"/>
      <c r="R194" s="6">
        <f t="shared" si="100"/>
        <v>0</v>
      </c>
      <c r="S194" s="2"/>
      <c r="T194" s="7">
        <v>11935</v>
      </c>
      <c r="U194" s="2"/>
      <c r="V194" s="6">
        <f t="shared" si="101"/>
        <v>1.272941341348473E-3</v>
      </c>
      <c r="W194" s="2"/>
      <c r="X194" s="7">
        <f t="shared" si="102"/>
        <v>-11935</v>
      </c>
      <c r="Y194" s="2"/>
      <c r="Z194" s="6">
        <f t="shared" si="103"/>
        <v>-1</v>
      </c>
    </row>
    <row r="195" spans="1:26" s="24" customFormat="1" hidden="1" outlineLevel="2" x14ac:dyDescent="0.25">
      <c r="A195" s="25"/>
      <c r="B195" s="11" t="str">
        <f>CONCATENATE("          ", "6253", " - ", "ROYALTY DUE ATHLETICS-LRG")</f>
        <v xml:space="preserve">          6253 - ROYALTY DUE ATHLETICS-LRG</v>
      </c>
      <c r="C195" s="11"/>
      <c r="D195" s="7"/>
      <c r="E195" s="2"/>
      <c r="F195" s="6">
        <f t="shared" si="96"/>
        <v>0</v>
      </c>
      <c r="G195" s="2"/>
      <c r="H195" s="7">
        <v>4037</v>
      </c>
      <c r="I195" s="2"/>
      <c r="J195" s="6">
        <f t="shared" si="97"/>
        <v>6.4007940345931448E-3</v>
      </c>
      <c r="K195" s="2"/>
      <c r="L195" s="7">
        <f t="shared" si="98"/>
        <v>-4037</v>
      </c>
      <c r="M195" s="2"/>
      <c r="N195" s="6">
        <f t="shared" si="99"/>
        <v>-1</v>
      </c>
      <c r="O195" s="11"/>
      <c r="P195" s="7">
        <v>35159.06</v>
      </c>
      <c r="Q195" s="2"/>
      <c r="R195" s="6">
        <f t="shared" si="100"/>
        <v>6.7454298126668841E-3</v>
      </c>
      <c r="S195" s="2"/>
      <c r="T195" s="7">
        <v>44407</v>
      </c>
      <c r="U195" s="2"/>
      <c r="V195" s="6">
        <f t="shared" si="101"/>
        <v>4.7362803640772222E-3</v>
      </c>
      <c r="W195" s="2"/>
      <c r="X195" s="7">
        <f t="shared" si="102"/>
        <v>-9247.9400000000023</v>
      </c>
      <c r="Y195" s="2"/>
      <c r="Z195" s="6">
        <f t="shared" si="103"/>
        <v>-0.20825410408268971</v>
      </c>
    </row>
    <row r="196" spans="1:26" s="24" customFormat="1" hidden="1" outlineLevel="2" x14ac:dyDescent="0.25">
      <c r="A196" s="25"/>
      <c r="B196" s="11" t="str">
        <f>CONCATENATE("          ", "6254", " - ", "ROYALTY &amp; COMMISSIONS")</f>
        <v xml:space="preserve">          6254 - ROYALTY &amp; COMMISSIONS</v>
      </c>
      <c r="C196" s="11"/>
      <c r="D196" s="7"/>
      <c r="E196" s="2"/>
      <c r="F196" s="6">
        <f t="shared" si="96"/>
        <v>0</v>
      </c>
      <c r="G196" s="2"/>
      <c r="H196" s="7">
        <v>1149</v>
      </c>
      <c r="I196" s="2"/>
      <c r="J196" s="6">
        <f t="shared" si="97"/>
        <v>1.8217766524021607E-3</v>
      </c>
      <c r="K196" s="2"/>
      <c r="L196" s="7">
        <f t="shared" si="98"/>
        <v>-1149</v>
      </c>
      <c r="M196" s="2"/>
      <c r="N196" s="6">
        <f t="shared" si="99"/>
        <v>-1</v>
      </c>
      <c r="O196" s="11"/>
      <c r="P196" s="7">
        <v>185.7</v>
      </c>
      <c r="Q196" s="2"/>
      <c r="R196" s="6">
        <f t="shared" si="100"/>
        <v>3.562741200169289E-5</v>
      </c>
      <c r="S196" s="2"/>
      <c r="T196" s="7">
        <v>12639</v>
      </c>
      <c r="U196" s="2"/>
      <c r="V196" s="6">
        <f t="shared" si="101"/>
        <v>1.3480272822206411E-3</v>
      </c>
      <c r="W196" s="2"/>
      <c r="X196" s="7">
        <f t="shared" si="102"/>
        <v>-12453.3</v>
      </c>
      <c r="Y196" s="2"/>
      <c r="Z196" s="6">
        <f t="shared" si="103"/>
        <v>-0.98530738191312595</v>
      </c>
    </row>
    <row r="197" spans="1:26" s="24" customFormat="1" hidden="1" outlineLevel="2" x14ac:dyDescent="0.25">
      <c r="A197" s="25"/>
      <c r="B197" s="11" t="str">
        <f>CONCATENATE("          ", "6259", " - ", "ROYALTY &amp; COMMISSIONS")</f>
        <v xml:space="preserve">          6259 - ROYALTY &amp; COMMISSIONS</v>
      </c>
      <c r="C197" s="11"/>
      <c r="D197" s="7">
        <v>393.98</v>
      </c>
      <c r="E197" s="2"/>
      <c r="F197" s="6">
        <f t="shared" si="96"/>
        <v>7.7743916456645453E-4</v>
      </c>
      <c r="G197" s="2"/>
      <c r="H197" s="7">
        <v>3767</v>
      </c>
      <c r="I197" s="2"/>
      <c r="J197" s="6">
        <f t="shared" si="97"/>
        <v>5.9727003042636551E-3</v>
      </c>
      <c r="K197" s="2"/>
      <c r="L197" s="7">
        <f t="shared" si="98"/>
        <v>-3373.02</v>
      </c>
      <c r="M197" s="2"/>
      <c r="N197" s="6">
        <f t="shared" si="99"/>
        <v>-0.89541279532784712</v>
      </c>
      <c r="O197" s="11"/>
      <c r="P197" s="7">
        <v>13627.87</v>
      </c>
      <c r="Q197" s="2"/>
      <c r="R197" s="6">
        <f t="shared" si="100"/>
        <v>2.6145704857054954E-3</v>
      </c>
      <c r="S197" s="2"/>
      <c r="T197" s="7">
        <v>45570</v>
      </c>
      <c r="U197" s="2"/>
      <c r="V197" s="6">
        <f t="shared" si="101"/>
        <v>4.8603214851487154E-3</v>
      </c>
      <c r="W197" s="2"/>
      <c r="X197" s="7">
        <f t="shared" si="102"/>
        <v>-31942.129999999997</v>
      </c>
      <c r="Y197" s="2"/>
      <c r="Z197" s="6">
        <f t="shared" si="103"/>
        <v>-0.70094645600175554</v>
      </c>
    </row>
    <row r="198" spans="1:26" s="27" customFormat="1" outlineLevel="1" collapsed="1" x14ac:dyDescent="0.25">
      <c r="A198" s="26"/>
      <c r="B198" s="13" t="str">
        <f>CONCATENATE("     ","Services                                          ")</f>
        <v xml:space="preserve">     Services                                          </v>
      </c>
      <c r="C198" s="13"/>
      <c r="D198" s="1">
        <f>SUM(OSRRefD22_19x_0)</f>
        <v>4906.57</v>
      </c>
      <c r="E198" s="1"/>
      <c r="F198" s="5">
        <f t="shared" ref="F198:F203" si="104">IF(D$12=0,0,D198/D$12)</f>
        <v>9.6821150355013673E-3</v>
      </c>
      <c r="G198" s="1"/>
      <c r="H198" s="1">
        <f>SUM(OSRRefH22_19x_0)</f>
        <v>5720</v>
      </c>
      <c r="I198" s="1"/>
      <c r="J198" s="5">
        <f t="shared" ref="J198:J203" si="105">IF(H$12=0,0,H198/H$12)</f>
        <v>9.0692449536469624E-3</v>
      </c>
      <c r="K198" s="1"/>
      <c r="L198" s="1">
        <f t="shared" ref="L198:L203" si="106">+D198-H198</f>
        <v>-813.43000000000029</v>
      </c>
      <c r="M198" s="1"/>
      <c r="N198" s="5">
        <f t="shared" ref="N198:N203" si="107">IF(H198=0,0,L198/H198)</f>
        <v>-0.14220804195804201</v>
      </c>
      <c r="O198" s="13"/>
      <c r="P198" s="1">
        <f>SUM(OSRRefP22_19x_0)</f>
        <v>47496.76</v>
      </c>
      <c r="Q198" s="1"/>
      <c r="R198" s="5">
        <f t="shared" ref="R198:R203" si="108">IF(P$12=0,0,P198/P$12)</f>
        <v>9.1124751602882446E-3</v>
      </c>
      <c r="S198" s="1"/>
      <c r="T198" s="1">
        <f>SUM(OSRRefT22_19x_0)</f>
        <v>62877</v>
      </c>
      <c r="U198" s="1"/>
      <c r="V198" s="5">
        <f t="shared" ref="V198:V203" si="109">IF(T$12=0,0,T198/T$12)</f>
        <v>6.7062197503115163E-3</v>
      </c>
      <c r="W198" s="1"/>
      <c r="X198" s="1">
        <f t="shared" ref="X198:X203" si="110">+P198-T198</f>
        <v>-15380.239999999998</v>
      </c>
      <c r="Y198" s="1"/>
      <c r="Z198" s="5">
        <f t="shared" ref="Z198:Z203" si="111">IF(T198=0,0,X198/T198)</f>
        <v>-0.24460836235825498</v>
      </c>
    </row>
    <row r="199" spans="1:26" s="24" customFormat="1" hidden="1" outlineLevel="2" x14ac:dyDescent="0.25">
      <c r="A199" s="25"/>
      <c r="B199" s="11" t="str">
        <f>CONCATENATE("          ", "6282", " - ", "JANITORIAL/EXTERMINATOR EXPENS")</f>
        <v xml:space="preserve">          6282 - JANITORIAL/EXTERMINATOR EXPENS</v>
      </c>
      <c r="C199" s="11"/>
      <c r="D199" s="7">
        <v>611.25</v>
      </c>
      <c r="E199" s="2"/>
      <c r="F199" s="6">
        <f t="shared" si="104"/>
        <v>1.20617719006357E-3</v>
      </c>
      <c r="G199" s="2"/>
      <c r="H199" s="7">
        <v>4200</v>
      </c>
      <c r="I199" s="2"/>
      <c r="J199" s="6">
        <f t="shared" si="105"/>
        <v>6.659235805125392E-3</v>
      </c>
      <c r="K199" s="2"/>
      <c r="L199" s="7">
        <f t="shared" si="106"/>
        <v>-3588.75</v>
      </c>
      <c r="M199" s="2"/>
      <c r="N199" s="6">
        <f t="shared" si="107"/>
        <v>-0.85446428571428568</v>
      </c>
      <c r="O199" s="11"/>
      <c r="P199" s="7">
        <v>10104.18</v>
      </c>
      <c r="Q199" s="2"/>
      <c r="R199" s="6">
        <f t="shared" si="108"/>
        <v>1.9385341076966359E-3</v>
      </c>
      <c r="S199" s="2"/>
      <c r="T199" s="7">
        <v>45616</v>
      </c>
      <c r="U199" s="2"/>
      <c r="V199" s="6">
        <f t="shared" si="109"/>
        <v>4.8652276687852491E-3</v>
      </c>
      <c r="W199" s="2"/>
      <c r="X199" s="7">
        <f t="shared" si="110"/>
        <v>-35511.82</v>
      </c>
      <c r="Y199" s="2"/>
      <c r="Z199" s="6">
        <f t="shared" si="111"/>
        <v>-0.77849482637670997</v>
      </c>
    </row>
    <row r="200" spans="1:26" s="24" customFormat="1" hidden="1" outlineLevel="2" x14ac:dyDescent="0.25">
      <c r="A200" s="25"/>
      <c r="B200" s="11" t="str">
        <f>CONCATENATE("          ", "6283", " - ", "PLANT SERVICE")</f>
        <v xml:space="preserve">          6283 - PLANT SERVICE</v>
      </c>
      <c r="C200" s="11"/>
      <c r="D200" s="7"/>
      <c r="E200" s="2"/>
      <c r="F200" s="6">
        <f t="shared" si="104"/>
        <v>0</v>
      </c>
      <c r="G200" s="2"/>
      <c r="H200" s="7">
        <v>0</v>
      </c>
      <c r="I200" s="2"/>
      <c r="J200" s="6">
        <f t="shared" si="105"/>
        <v>0</v>
      </c>
      <c r="K200" s="2"/>
      <c r="L200" s="7">
        <f t="shared" si="106"/>
        <v>0</v>
      </c>
      <c r="M200" s="2"/>
      <c r="N200" s="6">
        <f t="shared" si="107"/>
        <v>0</v>
      </c>
      <c r="O200" s="11"/>
      <c r="P200" s="7">
        <v>171.31</v>
      </c>
      <c r="Q200" s="2"/>
      <c r="R200" s="6">
        <f t="shared" si="108"/>
        <v>3.2866623317232146E-5</v>
      </c>
      <c r="S200" s="2"/>
      <c r="T200" s="7">
        <v>0</v>
      </c>
      <c r="U200" s="2"/>
      <c r="V200" s="6">
        <f t="shared" si="109"/>
        <v>0</v>
      </c>
      <c r="W200" s="2"/>
      <c r="X200" s="7">
        <f t="shared" si="110"/>
        <v>171.31</v>
      </c>
      <c r="Y200" s="2"/>
      <c r="Z200" s="6">
        <f t="shared" si="111"/>
        <v>0</v>
      </c>
    </row>
    <row r="201" spans="1:26" s="24" customFormat="1" hidden="1" outlineLevel="2" x14ac:dyDescent="0.25">
      <c r="A201" s="25"/>
      <c r="B201" s="11" t="str">
        <f>CONCATENATE("          ", "6284", " - ", "TRASH REMOVAL EXPENSE")</f>
        <v xml:space="preserve">          6284 - TRASH REMOVAL EXPENSE</v>
      </c>
      <c r="C201" s="11"/>
      <c r="D201" s="7">
        <v>431.57</v>
      </c>
      <c r="E201" s="2"/>
      <c r="F201" s="6">
        <f t="shared" si="104"/>
        <v>8.5161536182533316E-4</v>
      </c>
      <c r="G201" s="2"/>
      <c r="H201" s="7">
        <v>292</v>
      </c>
      <c r="I201" s="2"/>
      <c r="J201" s="6">
        <f t="shared" si="105"/>
        <v>4.629754416896701E-4</v>
      </c>
      <c r="K201" s="2"/>
      <c r="L201" s="7">
        <f t="shared" si="106"/>
        <v>139.57</v>
      </c>
      <c r="M201" s="2"/>
      <c r="N201" s="6">
        <f t="shared" si="107"/>
        <v>0.47797945205479447</v>
      </c>
      <c r="O201" s="11"/>
      <c r="P201" s="7">
        <v>3036.29</v>
      </c>
      <c r="Q201" s="2"/>
      <c r="R201" s="6">
        <f t="shared" si="108"/>
        <v>5.8252641242121761E-4</v>
      </c>
      <c r="S201" s="2"/>
      <c r="T201" s="7">
        <v>3896</v>
      </c>
      <c r="U201" s="2"/>
      <c r="V201" s="6">
        <f t="shared" si="109"/>
        <v>4.1553242278120244E-4</v>
      </c>
      <c r="W201" s="2"/>
      <c r="X201" s="7">
        <f t="shared" si="110"/>
        <v>-859.71</v>
      </c>
      <c r="Y201" s="2"/>
      <c r="Z201" s="6">
        <f t="shared" si="111"/>
        <v>-0.22066478439425052</v>
      </c>
    </row>
    <row r="202" spans="1:26" s="24" customFormat="1" hidden="1" outlineLevel="2" x14ac:dyDescent="0.25">
      <c r="A202" s="25"/>
      <c r="B202" s="11" t="str">
        <f>CONCATENATE("          ", "6285", " - ", "JANITORIAL SERVICES")</f>
        <v xml:space="preserve">          6285 - JANITORIAL SERVICES</v>
      </c>
      <c r="C202" s="11"/>
      <c r="D202" s="7">
        <v>3863.75</v>
      </c>
      <c r="E202" s="2"/>
      <c r="F202" s="6">
        <f t="shared" si="104"/>
        <v>7.6243224836124645E-3</v>
      </c>
      <c r="G202" s="2"/>
      <c r="H202" s="7">
        <v>1124</v>
      </c>
      <c r="I202" s="2"/>
      <c r="J202" s="6">
        <f t="shared" si="105"/>
        <v>1.7821383440383191E-3</v>
      </c>
      <c r="K202" s="2"/>
      <c r="L202" s="7">
        <f t="shared" si="106"/>
        <v>2739.75</v>
      </c>
      <c r="M202" s="2"/>
      <c r="N202" s="6">
        <f t="shared" si="107"/>
        <v>2.4375</v>
      </c>
      <c r="O202" s="11"/>
      <c r="P202" s="7">
        <v>34184.980000000003</v>
      </c>
      <c r="Q202" s="2"/>
      <c r="R202" s="6">
        <f t="shared" si="108"/>
        <v>6.5585480168531586E-3</v>
      </c>
      <c r="S202" s="2"/>
      <c r="T202" s="7">
        <v>12228</v>
      </c>
      <c r="U202" s="2"/>
      <c r="V202" s="6">
        <f t="shared" si="109"/>
        <v>1.3041915979898726E-3</v>
      </c>
      <c r="W202" s="2"/>
      <c r="X202" s="7">
        <f t="shared" si="110"/>
        <v>21956.980000000003</v>
      </c>
      <c r="Y202" s="2"/>
      <c r="Z202" s="6">
        <f t="shared" si="111"/>
        <v>1.7956313379129869</v>
      </c>
    </row>
    <row r="203" spans="1:26" s="24" customFormat="1" hidden="1" outlineLevel="2" x14ac:dyDescent="0.25">
      <c r="A203" s="25"/>
      <c r="B203" s="11" t="str">
        <f>CONCATENATE("          ", "6286", " - ", "LAUNDRY EXPENSE")</f>
        <v xml:space="preserve">          6286 - LAUNDRY EXPENSE</v>
      </c>
      <c r="C203" s="11"/>
      <c r="D203" s="7"/>
      <c r="E203" s="2"/>
      <c r="F203" s="6">
        <f t="shared" si="104"/>
        <v>0</v>
      </c>
      <c r="G203" s="2"/>
      <c r="H203" s="7">
        <v>104</v>
      </c>
      <c r="I203" s="2"/>
      <c r="J203" s="6">
        <f t="shared" si="105"/>
        <v>1.6489536279358112E-4</v>
      </c>
      <c r="K203" s="2"/>
      <c r="L203" s="7">
        <f t="shared" si="106"/>
        <v>-104</v>
      </c>
      <c r="M203" s="2"/>
      <c r="N203" s="6">
        <f t="shared" si="107"/>
        <v>-1</v>
      </c>
      <c r="O203" s="11"/>
      <c r="P203" s="7"/>
      <c r="Q203" s="2"/>
      <c r="R203" s="6">
        <f t="shared" si="108"/>
        <v>0</v>
      </c>
      <c r="S203" s="2"/>
      <c r="T203" s="7">
        <v>1137</v>
      </c>
      <c r="U203" s="2"/>
      <c r="V203" s="6">
        <f t="shared" si="109"/>
        <v>1.2126806075519178E-4</v>
      </c>
      <c r="W203" s="2"/>
      <c r="X203" s="7">
        <f t="shared" si="110"/>
        <v>-1137</v>
      </c>
      <c r="Y203" s="2"/>
      <c r="Z203" s="6">
        <f t="shared" si="111"/>
        <v>-1</v>
      </c>
    </row>
    <row r="204" spans="1:26" s="27" customFormat="1" outlineLevel="1" collapsed="1" x14ac:dyDescent="0.25">
      <c r="A204" s="26"/>
      <c r="B204" s="13" t="str">
        <f>CONCATENATE("     ","Subscriptions &amp; Dues                              ")</f>
        <v xml:space="preserve">     Subscriptions &amp; Dues                              </v>
      </c>
      <c r="C204" s="13"/>
      <c r="D204" s="1">
        <f>SUM(OSRRefD22_20x_0)</f>
        <v>611.22</v>
      </c>
      <c r="E204" s="1"/>
      <c r="F204" s="5">
        <f t="shared" ref="F204:F206" si="112">IF(D$12=0,0,D204/D$12)</f>
        <v>1.2061179911830762E-3</v>
      </c>
      <c r="G204" s="1"/>
      <c r="H204" s="1">
        <f>SUM(OSRRefH22_20x_0)</f>
        <v>1276</v>
      </c>
      <c r="I204" s="1"/>
      <c r="J204" s="5">
        <f t="shared" ref="J204:J206" si="113">IF(H$12=0,0,H204/H$12)</f>
        <v>2.0231392588904761E-3</v>
      </c>
      <c r="K204" s="1"/>
      <c r="L204" s="1">
        <f t="shared" ref="L204:L206" si="114">+D204-H204</f>
        <v>-664.78</v>
      </c>
      <c r="M204" s="1"/>
      <c r="N204" s="5">
        <f t="shared" ref="N204:N206" si="115">IF(H204=0,0,L204/H204)</f>
        <v>-0.52098746081504699</v>
      </c>
      <c r="O204" s="13"/>
      <c r="P204" s="1">
        <f>SUM(OSRRefP22_20x_0)</f>
        <v>7289.13</v>
      </c>
      <c r="Q204" s="1"/>
      <c r="R204" s="5">
        <f t="shared" ref="R204:R206" si="116">IF(P$12=0,0,P204/P$12)</f>
        <v>1.3984536222073221E-3</v>
      </c>
      <c r="S204" s="1"/>
      <c r="T204" s="1">
        <f>SUM(OSRRefT22_20x_0)</f>
        <v>17231</v>
      </c>
      <c r="U204" s="1"/>
      <c r="V204" s="5">
        <f t="shared" ref="V204:V206" si="117">IF(T$12=0,0,T204/T$12)</f>
        <v>1.8377923965459187E-3</v>
      </c>
      <c r="W204" s="1"/>
      <c r="X204" s="1">
        <f t="shared" ref="X204:X206" si="118">+P204-T204</f>
        <v>-9941.869999999999</v>
      </c>
      <c r="Y204" s="1"/>
      <c r="Z204" s="5">
        <f t="shared" ref="Z204:Z206" si="119">IF(T204=0,0,X204/T204)</f>
        <v>-0.57697579943125754</v>
      </c>
    </row>
    <row r="205" spans="1:26" s="24" customFormat="1" hidden="1" outlineLevel="2" x14ac:dyDescent="0.25">
      <c r="A205" s="25"/>
      <c r="B205" s="11" t="str">
        <f>CONCATENATE("          ", "6258", " - ", "MEMBERSHIP DUES")</f>
        <v xml:space="preserve">          6258 - MEMBERSHIP DUES</v>
      </c>
      <c r="C205" s="11"/>
      <c r="D205" s="7">
        <v>611.22</v>
      </c>
      <c r="E205" s="2"/>
      <c r="F205" s="6">
        <f t="shared" si="112"/>
        <v>1.2061179911830762E-3</v>
      </c>
      <c r="G205" s="2"/>
      <c r="H205" s="7">
        <v>1100</v>
      </c>
      <c r="I205" s="2"/>
      <c r="J205" s="6">
        <f t="shared" si="113"/>
        <v>1.7440855680090311E-3</v>
      </c>
      <c r="K205" s="2"/>
      <c r="L205" s="7">
        <f t="shared" si="114"/>
        <v>-488.78</v>
      </c>
      <c r="M205" s="2"/>
      <c r="N205" s="6">
        <f t="shared" si="115"/>
        <v>-0.44434545454545454</v>
      </c>
      <c r="O205" s="11"/>
      <c r="P205" s="7">
        <v>3046.45</v>
      </c>
      <c r="Q205" s="2"/>
      <c r="R205" s="6">
        <f t="shared" si="116"/>
        <v>5.8447565585652826E-4</v>
      </c>
      <c r="S205" s="2"/>
      <c r="T205" s="7">
        <v>13495</v>
      </c>
      <c r="U205" s="2"/>
      <c r="V205" s="6">
        <f t="shared" si="117"/>
        <v>1.4393249603265727E-3</v>
      </c>
      <c r="W205" s="2"/>
      <c r="X205" s="7">
        <f t="shared" si="118"/>
        <v>-10448.549999999999</v>
      </c>
      <c r="Y205" s="2"/>
      <c r="Z205" s="6">
        <f t="shared" si="119"/>
        <v>-0.77425342719525747</v>
      </c>
    </row>
    <row r="206" spans="1:26" s="24" customFormat="1" hidden="1" outlineLevel="2" x14ac:dyDescent="0.25">
      <c r="A206" s="25"/>
      <c r="B206" s="11" t="str">
        <f>CONCATENATE("          ", "6275", " - ", "SUBSCRIPTIONS")</f>
        <v xml:space="preserve">          6275 - SUBSCRIPTIONS</v>
      </c>
      <c r="C206" s="11"/>
      <c r="D206" s="7"/>
      <c r="E206" s="2"/>
      <c r="F206" s="6">
        <f t="shared" si="112"/>
        <v>0</v>
      </c>
      <c r="G206" s="2"/>
      <c r="H206" s="7">
        <v>176</v>
      </c>
      <c r="I206" s="2"/>
      <c r="J206" s="6">
        <f t="shared" si="113"/>
        <v>2.7905369088144502E-4</v>
      </c>
      <c r="K206" s="2"/>
      <c r="L206" s="7">
        <f t="shared" si="114"/>
        <v>-176</v>
      </c>
      <c r="M206" s="2"/>
      <c r="N206" s="6">
        <f t="shared" si="115"/>
        <v>-1</v>
      </c>
      <c r="O206" s="11"/>
      <c r="P206" s="7">
        <v>4242.68</v>
      </c>
      <c r="Q206" s="2"/>
      <c r="R206" s="6">
        <f t="shared" si="116"/>
        <v>8.1397796635079378E-4</v>
      </c>
      <c r="S206" s="2"/>
      <c r="T206" s="7">
        <v>3736</v>
      </c>
      <c r="U206" s="2"/>
      <c r="V206" s="6">
        <f t="shared" si="117"/>
        <v>3.9846743621934608E-4</v>
      </c>
      <c r="W206" s="2"/>
      <c r="X206" s="7">
        <f t="shared" si="118"/>
        <v>506.68000000000029</v>
      </c>
      <c r="Y206" s="2"/>
      <c r="Z206" s="6">
        <f t="shared" si="119"/>
        <v>0.13562098501070671</v>
      </c>
    </row>
    <row r="207" spans="1:26" s="27" customFormat="1" outlineLevel="1" collapsed="1" x14ac:dyDescent="0.25">
      <c r="A207" s="26"/>
      <c r="B207" s="13" t="str">
        <f>CONCATENATE("     ","Supplies                                          ")</f>
        <v xml:space="preserve">     Supplies                                          </v>
      </c>
      <c r="C207" s="13"/>
      <c r="D207" s="1">
        <f>SUM(OSRRefD22_21x_0)</f>
        <v>10202.06</v>
      </c>
      <c r="E207" s="1"/>
      <c r="F207" s="5">
        <f t="shared" ref="F207:F216" si="120">IF(D$12=0,0,D207/D$12)</f>
        <v>2.0131684357725881E-2</v>
      </c>
      <c r="G207" s="1"/>
      <c r="H207" s="1">
        <f>SUM(OSRRefH22_21x_0)</f>
        <v>12832</v>
      </c>
      <c r="I207" s="1"/>
      <c r="J207" s="5">
        <f t="shared" ref="J207:J216" si="121">IF(H$12=0,0,H207/H$12)</f>
        <v>2.0345550916992625E-2</v>
      </c>
      <c r="K207" s="1"/>
      <c r="L207" s="1">
        <f t="shared" ref="L207:L216" si="122">+D207-H207</f>
        <v>-2629.9400000000005</v>
      </c>
      <c r="M207" s="1"/>
      <c r="N207" s="5">
        <f t="shared" ref="N207:N216" si="123">IF(H207=0,0,L207/H207)</f>
        <v>-0.2049516832917706</v>
      </c>
      <c r="O207" s="13"/>
      <c r="P207" s="1">
        <f>SUM(OSRRefP22_21x_0)</f>
        <v>122992.84</v>
      </c>
      <c r="Q207" s="1"/>
      <c r="R207" s="5">
        <f t="shared" ref="R207:R216" si="124">IF(P$12=0,0,P207/P$12)</f>
        <v>2.3596750586635937E-2</v>
      </c>
      <c r="S207" s="1"/>
      <c r="T207" s="1">
        <f>SUM(OSRRefT22_21x_0)</f>
        <v>179433</v>
      </c>
      <c r="U207" s="1"/>
      <c r="V207" s="5">
        <f t="shared" ref="V207:V216" si="125">IF(T$12=0,0,T207/T$12)</f>
        <v>1.9137635835959829E-2</v>
      </c>
      <c r="W207" s="1"/>
      <c r="X207" s="1">
        <f t="shared" ref="X207:X216" si="126">+P207-T207</f>
        <v>-56440.160000000003</v>
      </c>
      <c r="Y207" s="1"/>
      <c r="Z207" s="5">
        <f t="shared" ref="Z207:Z216" si="127">IF(T207=0,0,X207/T207)</f>
        <v>-0.31454726833971458</v>
      </c>
    </row>
    <row r="208" spans="1:26" s="24" customFormat="1" hidden="1" outlineLevel="2" x14ac:dyDescent="0.25">
      <c r="A208" s="25"/>
      <c r="B208" s="11" t="str">
        <f>CONCATENATE("          ", "6234", " - ", "EXPENDABLE SUPPLIES &amp; EQUIPMEN")</f>
        <v xml:space="preserve">          6234 - EXPENDABLE SUPPLIES &amp; EQUIPMEN</v>
      </c>
      <c r="C208" s="11"/>
      <c r="D208" s="7"/>
      <c r="E208" s="2"/>
      <c r="F208" s="6">
        <f t="shared" si="120"/>
        <v>0</v>
      </c>
      <c r="G208" s="2"/>
      <c r="H208" s="7">
        <v>150</v>
      </c>
      <c r="I208" s="2"/>
      <c r="J208" s="6">
        <f t="shared" si="121"/>
        <v>2.378298501830497E-4</v>
      </c>
      <c r="K208" s="2"/>
      <c r="L208" s="7">
        <f t="shared" si="122"/>
        <v>-150</v>
      </c>
      <c r="M208" s="2"/>
      <c r="N208" s="6">
        <f t="shared" si="123"/>
        <v>-1</v>
      </c>
      <c r="O208" s="11"/>
      <c r="P208" s="7">
        <v>316.83</v>
      </c>
      <c r="Q208" s="2"/>
      <c r="R208" s="6">
        <f t="shared" si="124"/>
        <v>6.0785314725343878E-5</v>
      </c>
      <c r="S208" s="2"/>
      <c r="T208" s="7">
        <v>1678</v>
      </c>
      <c r="U208" s="2"/>
      <c r="V208" s="6">
        <f t="shared" si="125"/>
        <v>1.7896904656746862E-4</v>
      </c>
      <c r="W208" s="2"/>
      <c r="X208" s="7">
        <f t="shared" si="126"/>
        <v>-1361.17</v>
      </c>
      <c r="Y208" s="2"/>
      <c r="Z208" s="6">
        <f t="shared" si="127"/>
        <v>-0.81118593563766395</v>
      </c>
    </row>
    <row r="209" spans="1:26" s="24" customFormat="1" hidden="1" outlineLevel="2" x14ac:dyDescent="0.25">
      <c r="A209" s="25"/>
      <c r="B209" s="11" t="str">
        <f>CONCATENATE("          ", "6235", " - ", "COVID-19 EXPENSES")</f>
        <v xml:space="preserve">          6235 - COVID-19 EXPENSES</v>
      </c>
      <c r="C209" s="11"/>
      <c r="D209" s="7">
        <v>2928.27</v>
      </c>
      <c r="E209" s="2"/>
      <c r="F209" s="6">
        <f t="shared" si="120"/>
        <v>5.7783435261307978E-3</v>
      </c>
      <c r="G209" s="2"/>
      <c r="H209" s="7">
        <v>800</v>
      </c>
      <c r="I209" s="2"/>
      <c r="J209" s="6">
        <f t="shared" si="121"/>
        <v>1.2684258676429318E-3</v>
      </c>
      <c r="K209" s="2"/>
      <c r="L209" s="7">
        <f t="shared" si="122"/>
        <v>2128.27</v>
      </c>
      <c r="M209" s="2"/>
      <c r="N209" s="6">
        <f t="shared" si="123"/>
        <v>2.6603374999999998</v>
      </c>
      <c r="O209" s="11"/>
      <c r="P209" s="7">
        <v>44205.33</v>
      </c>
      <c r="Q209" s="2"/>
      <c r="R209" s="6">
        <f t="shared" si="124"/>
        <v>8.4809989476617928E-3</v>
      </c>
      <c r="S209" s="2"/>
      <c r="T209" s="7">
        <v>69900</v>
      </c>
      <c r="U209" s="2"/>
      <c r="V209" s="6">
        <f t="shared" si="125"/>
        <v>7.4552660042109991E-3</v>
      </c>
      <c r="W209" s="2"/>
      <c r="X209" s="7">
        <f t="shared" si="126"/>
        <v>-25694.67</v>
      </c>
      <c r="Y209" s="2"/>
      <c r="Z209" s="6">
        <f t="shared" si="127"/>
        <v>-0.36759184549356222</v>
      </c>
    </row>
    <row r="210" spans="1:26" s="24" customFormat="1" hidden="1" outlineLevel="2" x14ac:dyDescent="0.25">
      <c r="A210" s="25"/>
      <c r="B210" s="11" t="str">
        <f>CONCATENATE("          ", "6237", " - ", "JANITORIAL SUPPLIES")</f>
        <v xml:space="preserve">          6237 - JANITORIAL SUPPLIES</v>
      </c>
      <c r="C210" s="11"/>
      <c r="D210" s="7">
        <v>390.73</v>
      </c>
      <c r="E210" s="2"/>
      <c r="F210" s="6">
        <f t="shared" si="120"/>
        <v>7.7102595251294682E-4</v>
      </c>
      <c r="G210" s="2"/>
      <c r="H210" s="7">
        <v>620</v>
      </c>
      <c r="I210" s="2"/>
      <c r="J210" s="6">
        <f t="shared" si="121"/>
        <v>9.830300474232721E-4</v>
      </c>
      <c r="K210" s="2"/>
      <c r="L210" s="7">
        <f t="shared" si="122"/>
        <v>-229.26999999999998</v>
      </c>
      <c r="M210" s="2"/>
      <c r="N210" s="6">
        <f t="shared" si="123"/>
        <v>-0.36979032258064515</v>
      </c>
      <c r="O210" s="11"/>
      <c r="P210" s="7">
        <v>4197.8500000000004</v>
      </c>
      <c r="Q210" s="2"/>
      <c r="R210" s="6">
        <f t="shared" si="124"/>
        <v>8.0537712154715409E-4</v>
      </c>
      <c r="S210" s="2"/>
      <c r="T210" s="7">
        <v>4724</v>
      </c>
      <c r="U210" s="2"/>
      <c r="V210" s="6">
        <f t="shared" si="125"/>
        <v>5.0384372823880912E-4</v>
      </c>
      <c r="W210" s="2"/>
      <c r="X210" s="7">
        <f t="shared" si="126"/>
        <v>-526.14999999999964</v>
      </c>
      <c r="Y210" s="2"/>
      <c r="Z210" s="6">
        <f t="shared" si="127"/>
        <v>-0.11137806943268409</v>
      </c>
    </row>
    <row r="211" spans="1:26" s="24" customFormat="1" hidden="1" outlineLevel="2" x14ac:dyDescent="0.25">
      <c r="A211" s="25"/>
      <c r="B211" s="11" t="str">
        <f>CONCATENATE("          ", "6241", " - ", "OFFICE EXPENSE")</f>
        <v xml:space="preserve">          6241 - OFFICE EXPENSE</v>
      </c>
      <c r="C211" s="11"/>
      <c r="D211" s="7">
        <v>137.71</v>
      </c>
      <c r="E211" s="2"/>
      <c r="F211" s="6">
        <f t="shared" si="120"/>
        <v>2.717425944272462E-4</v>
      </c>
      <c r="G211" s="2"/>
      <c r="H211" s="7">
        <v>425</v>
      </c>
      <c r="I211" s="2"/>
      <c r="J211" s="6">
        <f t="shared" si="121"/>
        <v>6.7385124218530756E-4</v>
      </c>
      <c r="K211" s="2"/>
      <c r="L211" s="7">
        <f t="shared" si="122"/>
        <v>-287.28999999999996</v>
      </c>
      <c r="M211" s="2"/>
      <c r="N211" s="6">
        <f t="shared" si="123"/>
        <v>-0.67597647058823518</v>
      </c>
      <c r="O211" s="11"/>
      <c r="P211" s="7">
        <v>11136.72</v>
      </c>
      <c r="Q211" s="2"/>
      <c r="R211" s="6">
        <f t="shared" si="124"/>
        <v>2.1366317274501521E-3</v>
      </c>
      <c r="S211" s="2"/>
      <c r="T211" s="7">
        <v>5875</v>
      </c>
      <c r="U211" s="2"/>
      <c r="V211" s="6">
        <f t="shared" si="125"/>
        <v>6.2660497531816337E-4</v>
      </c>
      <c r="W211" s="2"/>
      <c r="X211" s="7">
        <f t="shared" si="126"/>
        <v>5261.7199999999993</v>
      </c>
      <c r="Y211" s="2"/>
      <c r="Z211" s="6">
        <f t="shared" si="127"/>
        <v>0.89561191489361691</v>
      </c>
    </row>
    <row r="212" spans="1:26" s="24" customFormat="1" hidden="1" outlineLevel="2" x14ac:dyDescent="0.25">
      <c r="A212" s="25"/>
      <c r="B212" s="11" t="str">
        <f>CONCATENATE("          ", "6243", " - ", "PAPER SUPPLIES")</f>
        <v xml:space="preserve">          6243 - PAPER SUPPLIES</v>
      </c>
      <c r="C212" s="11"/>
      <c r="D212" s="7"/>
      <c r="E212" s="2"/>
      <c r="F212" s="6">
        <f t="shared" si="120"/>
        <v>0</v>
      </c>
      <c r="G212" s="2"/>
      <c r="H212" s="7">
        <v>5135</v>
      </c>
      <c r="I212" s="2"/>
      <c r="J212" s="6">
        <f t="shared" si="121"/>
        <v>8.1417085379330689E-3</v>
      </c>
      <c r="K212" s="2"/>
      <c r="L212" s="7">
        <f t="shared" si="122"/>
        <v>-5135</v>
      </c>
      <c r="M212" s="2"/>
      <c r="N212" s="6">
        <f t="shared" si="123"/>
        <v>-1</v>
      </c>
      <c r="O212" s="11"/>
      <c r="P212" s="7">
        <v>6682.58</v>
      </c>
      <c r="Q212" s="2"/>
      <c r="R212" s="6">
        <f t="shared" si="124"/>
        <v>1.2820841728286099E-3</v>
      </c>
      <c r="S212" s="2"/>
      <c r="T212" s="7">
        <v>28457</v>
      </c>
      <c r="U212" s="2"/>
      <c r="V212" s="6">
        <f t="shared" si="125"/>
        <v>3.0351145161921656E-3</v>
      </c>
      <c r="W212" s="2"/>
      <c r="X212" s="7">
        <f t="shared" si="126"/>
        <v>-21774.42</v>
      </c>
      <c r="Y212" s="2"/>
      <c r="Z212" s="6">
        <f t="shared" si="127"/>
        <v>-0.76516920265663979</v>
      </c>
    </row>
    <row r="213" spans="1:26" s="24" customFormat="1" hidden="1" outlineLevel="2" x14ac:dyDescent="0.25">
      <c r="A213" s="25"/>
      <c r="B213" s="11" t="str">
        <f>CONCATENATE("          ", "6244", " - ", "SAFETY SUPPLY EXPENSE")</f>
        <v xml:space="preserve">          6244 - SAFETY SUPPLY EXPENSE</v>
      </c>
      <c r="C213" s="11"/>
      <c r="D213" s="7"/>
      <c r="E213" s="2"/>
      <c r="F213" s="6">
        <f t="shared" si="120"/>
        <v>0</v>
      </c>
      <c r="G213" s="2"/>
      <c r="H213" s="7">
        <v>0</v>
      </c>
      <c r="I213" s="2"/>
      <c r="J213" s="6">
        <f t="shared" si="121"/>
        <v>0</v>
      </c>
      <c r="K213" s="2"/>
      <c r="L213" s="7">
        <f t="shared" si="122"/>
        <v>0</v>
      </c>
      <c r="M213" s="2"/>
      <c r="N213" s="6">
        <f t="shared" si="123"/>
        <v>0</v>
      </c>
      <c r="O213" s="11"/>
      <c r="P213" s="7"/>
      <c r="Q213" s="2"/>
      <c r="R213" s="6">
        <f t="shared" si="124"/>
        <v>0</v>
      </c>
      <c r="S213" s="2"/>
      <c r="T213" s="7">
        <v>100</v>
      </c>
      <c r="U213" s="2"/>
      <c r="V213" s="6">
        <f t="shared" si="125"/>
        <v>1.0665616601160227E-5</v>
      </c>
      <c r="W213" s="2"/>
      <c r="X213" s="7">
        <f t="shared" si="126"/>
        <v>-100</v>
      </c>
      <c r="Y213" s="2"/>
      <c r="Z213" s="6">
        <f t="shared" si="127"/>
        <v>-1</v>
      </c>
    </row>
    <row r="214" spans="1:26" s="24" customFormat="1" hidden="1" outlineLevel="2" x14ac:dyDescent="0.25">
      <c r="A214" s="25"/>
      <c r="B214" s="11" t="str">
        <f>CONCATENATE("          ", "6245", " - ", "PRINTING")</f>
        <v xml:space="preserve">          6245 - PRINTING</v>
      </c>
      <c r="C214" s="11"/>
      <c r="D214" s="7">
        <v>5963.79</v>
      </c>
      <c r="E214" s="2"/>
      <c r="F214" s="6">
        <f t="shared" si="120"/>
        <v>1.1768323050027351E-2</v>
      </c>
      <c r="G214" s="2"/>
      <c r="H214" s="7">
        <v>750</v>
      </c>
      <c r="I214" s="2"/>
      <c r="J214" s="6">
        <f t="shared" si="121"/>
        <v>1.1891492509152485E-3</v>
      </c>
      <c r="K214" s="2"/>
      <c r="L214" s="7">
        <f t="shared" si="122"/>
        <v>5213.79</v>
      </c>
      <c r="M214" s="2"/>
      <c r="N214" s="6">
        <f t="shared" si="123"/>
        <v>6.9517199999999999</v>
      </c>
      <c r="O214" s="11"/>
      <c r="P214" s="7">
        <v>9084.3799999999992</v>
      </c>
      <c r="Q214" s="2"/>
      <c r="R214" s="6">
        <f t="shared" si="124"/>
        <v>1.7428807164240109E-3</v>
      </c>
      <c r="S214" s="2"/>
      <c r="T214" s="7">
        <v>5350</v>
      </c>
      <c r="U214" s="2"/>
      <c r="V214" s="6">
        <f t="shared" si="125"/>
        <v>5.7061048816207211E-4</v>
      </c>
      <c r="W214" s="2"/>
      <c r="X214" s="7">
        <f t="shared" si="126"/>
        <v>3734.3799999999992</v>
      </c>
      <c r="Y214" s="2"/>
      <c r="Z214" s="6">
        <f t="shared" si="127"/>
        <v>0.69801495327102792</v>
      </c>
    </row>
    <row r="215" spans="1:26" s="24" customFormat="1" hidden="1" outlineLevel="2" x14ac:dyDescent="0.25">
      <c r="A215" s="25"/>
      <c r="B215" s="11" t="str">
        <f>CONCATENATE("          ", "6247", " - ", "STORE SUPPLIES")</f>
        <v xml:space="preserve">          6247 - STORE SUPPLIES</v>
      </c>
      <c r="C215" s="11"/>
      <c r="D215" s="7">
        <v>781.56</v>
      </c>
      <c r="E215" s="2"/>
      <c r="F215" s="6">
        <f t="shared" si="120"/>
        <v>1.5422492346275399E-3</v>
      </c>
      <c r="G215" s="2"/>
      <c r="H215" s="7">
        <v>3452</v>
      </c>
      <c r="I215" s="2"/>
      <c r="J215" s="6">
        <f t="shared" si="121"/>
        <v>5.4732576188792504E-3</v>
      </c>
      <c r="K215" s="2"/>
      <c r="L215" s="7">
        <f t="shared" si="122"/>
        <v>-2670.44</v>
      </c>
      <c r="M215" s="2"/>
      <c r="N215" s="6">
        <f t="shared" si="123"/>
        <v>-0.77359212050984938</v>
      </c>
      <c r="O215" s="11"/>
      <c r="P215" s="7">
        <v>47369.15</v>
      </c>
      <c r="Q215" s="2"/>
      <c r="R215" s="6">
        <f t="shared" si="124"/>
        <v>9.087992585998874E-3</v>
      </c>
      <c r="S215" s="2"/>
      <c r="T215" s="7">
        <v>46449</v>
      </c>
      <c r="U215" s="2"/>
      <c r="V215" s="6">
        <f t="shared" si="125"/>
        <v>4.9540722550729136E-3</v>
      </c>
      <c r="W215" s="2"/>
      <c r="X215" s="7">
        <f t="shared" si="126"/>
        <v>920.15000000000146</v>
      </c>
      <c r="Y215" s="2"/>
      <c r="Z215" s="6">
        <f t="shared" si="127"/>
        <v>1.9809899029042639E-2</v>
      </c>
    </row>
    <row r="216" spans="1:26" s="24" customFormat="1" hidden="1" outlineLevel="2" x14ac:dyDescent="0.25">
      <c r="A216" s="25"/>
      <c r="B216" s="11" t="str">
        <f>CONCATENATE("          ", "6248", " - ", "UNIFORMS")</f>
        <v xml:space="preserve">          6248 - UNIFORMS</v>
      </c>
      <c r="C216" s="11"/>
      <c r="D216" s="7"/>
      <c r="E216" s="2"/>
      <c r="F216" s="6">
        <f t="shared" si="120"/>
        <v>0</v>
      </c>
      <c r="G216" s="2"/>
      <c r="H216" s="7">
        <v>1500</v>
      </c>
      <c r="I216" s="2"/>
      <c r="J216" s="6">
        <f t="shared" si="121"/>
        <v>2.3782985018304969E-3</v>
      </c>
      <c r="K216" s="2"/>
      <c r="L216" s="7">
        <f t="shared" si="122"/>
        <v>-1500</v>
      </c>
      <c r="M216" s="2"/>
      <c r="N216" s="6">
        <f t="shared" si="123"/>
        <v>-1</v>
      </c>
      <c r="O216" s="11"/>
      <c r="P216" s="7"/>
      <c r="Q216" s="2"/>
      <c r="R216" s="6">
        <f t="shared" si="124"/>
        <v>0</v>
      </c>
      <c r="S216" s="2"/>
      <c r="T216" s="7">
        <v>16900</v>
      </c>
      <c r="U216" s="2"/>
      <c r="V216" s="6">
        <f t="shared" si="125"/>
        <v>1.8024892055960784E-3</v>
      </c>
      <c r="W216" s="2"/>
      <c r="X216" s="7">
        <f t="shared" si="126"/>
        <v>-16900</v>
      </c>
      <c r="Y216" s="2"/>
      <c r="Z216" s="6">
        <f t="shared" si="127"/>
        <v>-1</v>
      </c>
    </row>
    <row r="217" spans="1:26" s="27" customFormat="1" outlineLevel="1" collapsed="1" x14ac:dyDescent="0.25">
      <c r="A217" s="26"/>
      <c r="B217" s="13" t="str">
        <f>CONCATENATE("     ","Telephone/Data Lines                              ")</f>
        <v xml:space="preserve">     Telephone/Data Lines                              </v>
      </c>
      <c r="C217" s="13"/>
      <c r="D217" s="1">
        <f>SUM(OSRRefD22_22x_0)</f>
        <v>1888.05</v>
      </c>
      <c r="E217" s="1"/>
      <c r="F217" s="5">
        <f t="shared" ref="F217:F219" si="128">IF(D$12=0,0,D217/D$12)</f>
        <v>3.7256815438847009E-3</v>
      </c>
      <c r="G217" s="1"/>
      <c r="H217" s="1">
        <f>SUM(OSRRefH22_22x_0)</f>
        <v>2530</v>
      </c>
      <c r="I217" s="1"/>
      <c r="J217" s="5">
        <f t="shared" ref="J217:J219" si="129">IF(H$12=0,0,H217/H$12)</f>
        <v>4.0113968064207717E-3</v>
      </c>
      <c r="K217" s="1"/>
      <c r="L217" s="1">
        <f t="shared" ref="L217:L219" si="130">+D217-H217</f>
        <v>-641.95000000000005</v>
      </c>
      <c r="M217" s="1"/>
      <c r="N217" s="5">
        <f t="shared" ref="N217:N219" si="131">IF(H217=0,0,L217/H217)</f>
        <v>-0.25373517786561267</v>
      </c>
      <c r="O217" s="13"/>
      <c r="P217" s="1">
        <f>SUM(OSRRefP22_22x_0)</f>
        <v>27237.87</v>
      </c>
      <c r="Q217" s="1"/>
      <c r="R217" s="5">
        <f t="shared" ref="R217:R219" si="132">IF(P$12=0,0,P217/P$12)</f>
        <v>5.2257125284790023E-3</v>
      </c>
      <c r="S217" s="1"/>
      <c r="T217" s="1">
        <f>SUM(OSRRefT22_22x_0)</f>
        <v>30725</v>
      </c>
      <c r="U217" s="1"/>
      <c r="V217" s="5">
        <f t="shared" ref="V217:V219" si="133">IF(T$12=0,0,T217/T$12)</f>
        <v>3.2770107007064797E-3</v>
      </c>
      <c r="W217" s="1"/>
      <c r="X217" s="1">
        <f t="shared" ref="X217:X219" si="134">+P217-T217</f>
        <v>-3487.130000000001</v>
      </c>
      <c r="Y217" s="1"/>
      <c r="Z217" s="5">
        <f t="shared" ref="Z217:Z219" si="135">IF(T217=0,0,X217/T217)</f>
        <v>-0.11349487388120426</v>
      </c>
    </row>
    <row r="218" spans="1:26" s="24" customFormat="1" hidden="1" outlineLevel="2" x14ac:dyDescent="0.25">
      <c r="A218" s="25"/>
      <c r="B218" s="11" t="str">
        <f>CONCATENATE("          ", "6303", " - ", "DATA PHONE LINES")</f>
        <v xml:space="preserve">          6303 - DATA PHONE LINES</v>
      </c>
      <c r="C218" s="11"/>
      <c r="D218" s="7"/>
      <c r="E218" s="2"/>
      <c r="F218" s="6">
        <f t="shared" si="128"/>
        <v>0</v>
      </c>
      <c r="G218" s="2"/>
      <c r="H218" s="7">
        <v>865</v>
      </c>
      <c r="I218" s="2"/>
      <c r="J218" s="6">
        <f t="shared" si="129"/>
        <v>1.3714854693889201E-3</v>
      </c>
      <c r="K218" s="2"/>
      <c r="L218" s="7">
        <f t="shared" si="130"/>
        <v>-865</v>
      </c>
      <c r="M218" s="2"/>
      <c r="N218" s="6">
        <f t="shared" si="131"/>
        <v>-1</v>
      </c>
      <c r="O218" s="11"/>
      <c r="P218" s="7">
        <v>3540</v>
      </c>
      <c r="Q218" s="2"/>
      <c r="R218" s="6">
        <f t="shared" si="132"/>
        <v>6.7916552765747351E-4</v>
      </c>
      <c r="S218" s="2"/>
      <c r="T218" s="7">
        <v>9510</v>
      </c>
      <c r="U218" s="2"/>
      <c r="V218" s="6">
        <f t="shared" si="133"/>
        <v>1.0143001387703375E-3</v>
      </c>
      <c r="W218" s="2"/>
      <c r="X218" s="7">
        <f t="shared" si="134"/>
        <v>-5970</v>
      </c>
      <c r="Y218" s="2"/>
      <c r="Z218" s="6">
        <f t="shared" si="135"/>
        <v>-0.62776025236593058</v>
      </c>
    </row>
    <row r="219" spans="1:26" s="24" customFormat="1" hidden="1" outlineLevel="2" x14ac:dyDescent="0.25">
      <c r="A219" s="25"/>
      <c r="B219" s="11" t="str">
        <f>CONCATENATE("          ", "6309", " - ", "TELEPHONE")</f>
        <v xml:space="preserve">          6309 - TELEPHONE</v>
      </c>
      <c r="C219" s="11"/>
      <c r="D219" s="7">
        <v>1888.05</v>
      </c>
      <c r="E219" s="2"/>
      <c r="F219" s="6">
        <f t="shared" si="128"/>
        <v>3.7256815438847009E-3</v>
      </c>
      <c r="G219" s="2"/>
      <c r="H219" s="7">
        <v>1665</v>
      </c>
      <c r="I219" s="2"/>
      <c r="J219" s="6">
        <f t="shared" si="129"/>
        <v>2.6399113370318516E-3</v>
      </c>
      <c r="K219" s="2"/>
      <c r="L219" s="7">
        <f t="shared" si="130"/>
        <v>223.04999999999995</v>
      </c>
      <c r="M219" s="2"/>
      <c r="N219" s="6">
        <f t="shared" si="131"/>
        <v>0.13396396396396393</v>
      </c>
      <c r="O219" s="11"/>
      <c r="P219" s="7">
        <v>23697.87</v>
      </c>
      <c r="Q219" s="2"/>
      <c r="R219" s="6">
        <f t="shared" si="132"/>
        <v>4.5465470008215284E-3</v>
      </c>
      <c r="S219" s="2"/>
      <c r="T219" s="7">
        <v>21215</v>
      </c>
      <c r="U219" s="2"/>
      <c r="V219" s="6">
        <f t="shared" si="133"/>
        <v>2.2627105619361424E-3</v>
      </c>
      <c r="W219" s="2"/>
      <c r="X219" s="7">
        <f t="shared" si="134"/>
        <v>2482.869999999999</v>
      </c>
      <c r="Y219" s="2"/>
      <c r="Z219" s="6">
        <f t="shared" si="135"/>
        <v>0.11703370256893703</v>
      </c>
    </row>
    <row r="220" spans="1:26" s="27" customFormat="1" outlineLevel="1" collapsed="1" x14ac:dyDescent="0.25">
      <c r="A220" s="26"/>
      <c r="B220" s="13" t="str">
        <f>CONCATENATE("     ","Training                                          ")</f>
        <v xml:space="preserve">     Training                                          </v>
      </c>
      <c r="C220" s="13"/>
      <c r="D220" s="1">
        <f>SUM(OSRRefD22_23x_0)</f>
        <v>0</v>
      </c>
      <c r="E220" s="1"/>
      <c r="F220" s="5">
        <f t="shared" ref="F220:F225" si="136">IF(D$12=0,0,D220/D$12)</f>
        <v>0</v>
      </c>
      <c r="G220" s="1"/>
      <c r="H220" s="1">
        <f>SUM(OSRRefH22_23x_0)</f>
        <v>0</v>
      </c>
      <c r="I220" s="1"/>
      <c r="J220" s="5">
        <f t="shared" ref="J220:J225" si="137">IF(H$12=0,0,H220/H$12)</f>
        <v>0</v>
      </c>
      <c r="K220" s="1"/>
      <c r="L220" s="1">
        <f t="shared" ref="L220:L225" si="138">+D220-H220</f>
        <v>0</v>
      </c>
      <c r="M220" s="1"/>
      <c r="N220" s="5">
        <f t="shared" ref="N220:N225" si="139">IF(H220=0,0,L220/H220)</f>
        <v>0</v>
      </c>
      <c r="O220" s="13"/>
      <c r="P220" s="1">
        <f>SUM(OSRRefP22_23x_0)</f>
        <v>895.63</v>
      </c>
      <c r="Q220" s="1"/>
      <c r="R220" s="5">
        <f t="shared" ref="R220:R225" si="140">IF(P$12=0,0,P220/P$12)</f>
        <v>1.718307970440291E-4</v>
      </c>
      <c r="S220" s="1"/>
      <c r="T220" s="1">
        <f>SUM(OSRRefT22_23x_0)</f>
        <v>12210</v>
      </c>
      <c r="U220" s="1"/>
      <c r="V220" s="5">
        <f t="shared" ref="V220:V225" si="141">IF(T$12=0,0,T220/T$12)</f>
        <v>1.3022717870016637E-3</v>
      </c>
      <c r="W220" s="1"/>
      <c r="X220" s="1">
        <f t="shared" ref="X220:X225" si="142">+P220-T220</f>
        <v>-11314.37</v>
      </c>
      <c r="Y220" s="1"/>
      <c r="Z220" s="5">
        <f t="shared" ref="Z220:Z225" si="143">IF(T220=0,0,X220/T220)</f>
        <v>-0.92664782964782977</v>
      </c>
    </row>
    <row r="221" spans="1:26" s="24" customFormat="1" hidden="1" outlineLevel="2" x14ac:dyDescent="0.25">
      <c r="A221" s="25"/>
      <c r="B221" s="11" t="str">
        <f>CONCATENATE("          ", "6376", " - ", "TRAINING")</f>
        <v xml:space="preserve">          6376 - TRAINING</v>
      </c>
      <c r="C221" s="11"/>
      <c r="D221" s="7"/>
      <c r="E221" s="2"/>
      <c r="F221" s="6">
        <f t="shared" si="136"/>
        <v>0</v>
      </c>
      <c r="G221" s="2"/>
      <c r="H221" s="7">
        <v>0</v>
      </c>
      <c r="I221" s="2"/>
      <c r="J221" s="6">
        <f t="shared" si="137"/>
        <v>0</v>
      </c>
      <c r="K221" s="2"/>
      <c r="L221" s="7">
        <f t="shared" si="138"/>
        <v>0</v>
      </c>
      <c r="M221" s="2"/>
      <c r="N221" s="6">
        <f t="shared" si="139"/>
        <v>0</v>
      </c>
      <c r="O221" s="11"/>
      <c r="P221" s="7">
        <v>895.63</v>
      </c>
      <c r="Q221" s="2"/>
      <c r="R221" s="6">
        <f t="shared" si="140"/>
        <v>1.718307970440291E-4</v>
      </c>
      <c r="S221" s="2"/>
      <c r="T221" s="7">
        <v>12210</v>
      </c>
      <c r="U221" s="2"/>
      <c r="V221" s="6">
        <f t="shared" si="141"/>
        <v>1.3022717870016637E-3</v>
      </c>
      <c r="W221" s="2"/>
      <c r="X221" s="7">
        <f t="shared" si="142"/>
        <v>-11314.37</v>
      </c>
      <c r="Y221" s="2"/>
      <c r="Z221" s="6">
        <f t="shared" si="143"/>
        <v>-0.92664782964782977</v>
      </c>
    </row>
    <row r="222" spans="1:26" s="27" customFormat="1" outlineLevel="1" collapsed="1" x14ac:dyDescent="0.25">
      <c r="A222" s="26"/>
      <c r="B222" s="13" t="str">
        <f>CONCATENATE("     ","Travel                                            ")</f>
        <v xml:space="preserve">     Travel                                            </v>
      </c>
      <c r="C222" s="13"/>
      <c r="D222" s="1">
        <f>SUM(OSRRefD22_24x_0)</f>
        <v>0</v>
      </c>
      <c r="E222" s="1"/>
      <c r="F222" s="5">
        <f t="shared" si="136"/>
        <v>0</v>
      </c>
      <c r="G222" s="1"/>
      <c r="H222" s="1">
        <f>SUM(OSRRefH22_24x_0)</f>
        <v>50</v>
      </c>
      <c r="I222" s="1"/>
      <c r="J222" s="5">
        <f t="shared" si="137"/>
        <v>7.9276616727683237E-5</v>
      </c>
      <c r="K222" s="1"/>
      <c r="L222" s="1">
        <f t="shared" si="138"/>
        <v>-50</v>
      </c>
      <c r="M222" s="1"/>
      <c r="N222" s="5">
        <f t="shared" si="139"/>
        <v>-1</v>
      </c>
      <c r="O222" s="13"/>
      <c r="P222" s="1">
        <f>SUM(OSRRefP22_24x_0)</f>
        <v>972.4</v>
      </c>
      <c r="Q222" s="1"/>
      <c r="R222" s="5">
        <f t="shared" si="140"/>
        <v>1.8655947997009244E-4</v>
      </c>
      <c r="S222" s="1"/>
      <c r="T222" s="1">
        <f>SUM(OSRRefT22_24x_0)</f>
        <v>2250</v>
      </c>
      <c r="U222" s="1"/>
      <c r="V222" s="5">
        <f t="shared" si="141"/>
        <v>2.399763735261051E-4</v>
      </c>
      <c r="W222" s="1"/>
      <c r="X222" s="1">
        <f t="shared" si="142"/>
        <v>-1277.5999999999999</v>
      </c>
      <c r="Y222" s="1"/>
      <c r="Z222" s="5">
        <f t="shared" si="143"/>
        <v>-0.56782222222222223</v>
      </c>
    </row>
    <row r="223" spans="1:26" s="24" customFormat="1" hidden="1" outlineLevel="2" x14ac:dyDescent="0.25">
      <c r="A223" s="25"/>
      <c r="B223" s="11" t="str">
        <f>CONCATENATE("          ", "6292", " - ", "TRAVEL/CONFERENCE")</f>
        <v xml:space="preserve">          6292 - TRAVEL/CONFERENCE</v>
      </c>
      <c r="C223" s="11"/>
      <c r="D223" s="7"/>
      <c r="E223" s="2"/>
      <c r="F223" s="6">
        <f t="shared" si="136"/>
        <v>0</v>
      </c>
      <c r="G223" s="2"/>
      <c r="H223" s="7"/>
      <c r="I223" s="2"/>
      <c r="J223" s="6">
        <f t="shared" si="137"/>
        <v>0</v>
      </c>
      <c r="K223" s="2"/>
      <c r="L223" s="7">
        <f t="shared" si="138"/>
        <v>0</v>
      </c>
      <c r="M223" s="2"/>
      <c r="N223" s="6">
        <f t="shared" si="139"/>
        <v>0</v>
      </c>
      <c r="O223" s="11"/>
      <c r="P223" s="7">
        <v>299.16000000000003</v>
      </c>
      <c r="Q223" s="2"/>
      <c r="R223" s="6">
        <f t="shared" si="140"/>
        <v>5.7395242727121411E-5</v>
      </c>
      <c r="S223" s="2"/>
      <c r="T223" s="7">
        <v>1500</v>
      </c>
      <c r="U223" s="2"/>
      <c r="V223" s="6">
        <f t="shared" si="141"/>
        <v>1.5998424901740341E-4</v>
      </c>
      <c r="W223" s="2"/>
      <c r="X223" s="7">
        <f t="shared" si="142"/>
        <v>-1200.8399999999999</v>
      </c>
      <c r="Y223" s="2"/>
      <c r="Z223" s="6">
        <f t="shared" si="143"/>
        <v>-0.80055999999999994</v>
      </c>
    </row>
    <row r="224" spans="1:26" s="24" customFormat="1" hidden="1" outlineLevel="2" x14ac:dyDescent="0.25">
      <c r="A224" s="25"/>
      <c r="B224" s="11" t="str">
        <f>CONCATENATE("          ", "6294", " - ", "TRAVEL OPERATIONAL")</f>
        <v xml:space="preserve">          6294 - TRAVEL OPERATIONAL</v>
      </c>
      <c r="C224" s="11"/>
      <c r="D224" s="7"/>
      <c r="E224" s="2"/>
      <c r="F224" s="6">
        <f t="shared" si="136"/>
        <v>0</v>
      </c>
      <c r="G224" s="2"/>
      <c r="H224" s="7">
        <v>25</v>
      </c>
      <c r="I224" s="2"/>
      <c r="J224" s="6">
        <f t="shared" si="137"/>
        <v>3.9638308363841618E-5</v>
      </c>
      <c r="K224" s="2"/>
      <c r="L224" s="7">
        <f t="shared" si="138"/>
        <v>-25</v>
      </c>
      <c r="M224" s="2"/>
      <c r="N224" s="6">
        <f t="shared" si="139"/>
        <v>-1</v>
      </c>
      <c r="O224" s="11"/>
      <c r="P224" s="7">
        <v>613.35</v>
      </c>
      <c r="Q224" s="2"/>
      <c r="R224" s="6">
        <f t="shared" si="140"/>
        <v>1.1767406112675463E-4</v>
      </c>
      <c r="S224" s="2"/>
      <c r="T224" s="7">
        <v>275</v>
      </c>
      <c r="U224" s="2"/>
      <c r="V224" s="6">
        <f t="shared" si="141"/>
        <v>2.9330445653190626E-5</v>
      </c>
      <c r="W224" s="2"/>
      <c r="X224" s="7">
        <f t="shared" si="142"/>
        <v>338.35</v>
      </c>
      <c r="Y224" s="2"/>
      <c r="Z224" s="6">
        <f t="shared" si="143"/>
        <v>1.2303636363636365</v>
      </c>
    </row>
    <row r="225" spans="1:26" s="24" customFormat="1" hidden="1" outlineLevel="2" x14ac:dyDescent="0.25">
      <c r="A225" s="25"/>
      <c r="B225" s="11" t="str">
        <f>CONCATENATE("          ", "6298", " - ", "VEHICLE MILEAGE")</f>
        <v xml:space="preserve">          6298 - VEHICLE MILEAGE</v>
      </c>
      <c r="C225" s="11"/>
      <c r="D225" s="7"/>
      <c r="E225" s="2"/>
      <c r="F225" s="6">
        <f t="shared" si="136"/>
        <v>0</v>
      </c>
      <c r="G225" s="2"/>
      <c r="H225" s="7">
        <v>25</v>
      </c>
      <c r="I225" s="2"/>
      <c r="J225" s="6">
        <f t="shared" si="137"/>
        <v>3.9638308363841618E-5</v>
      </c>
      <c r="K225" s="2"/>
      <c r="L225" s="7">
        <f t="shared" si="138"/>
        <v>-25</v>
      </c>
      <c r="M225" s="2"/>
      <c r="N225" s="6">
        <f t="shared" si="139"/>
        <v>-1</v>
      </c>
      <c r="O225" s="11"/>
      <c r="P225" s="7">
        <v>59.89</v>
      </c>
      <c r="Q225" s="2"/>
      <c r="R225" s="6">
        <f t="shared" si="140"/>
        <v>1.149017611621641E-5</v>
      </c>
      <c r="S225" s="2"/>
      <c r="T225" s="7">
        <v>475</v>
      </c>
      <c r="U225" s="2"/>
      <c r="V225" s="6">
        <f t="shared" si="141"/>
        <v>5.0661678855511079E-5</v>
      </c>
      <c r="W225" s="2"/>
      <c r="X225" s="7">
        <f t="shared" si="142"/>
        <v>-415.11</v>
      </c>
      <c r="Y225" s="2"/>
      <c r="Z225" s="6">
        <f t="shared" si="143"/>
        <v>-0.8739157894736842</v>
      </c>
    </row>
    <row r="226" spans="1:26" s="27" customFormat="1" outlineLevel="1" collapsed="1" x14ac:dyDescent="0.25">
      <c r="A226" s="26"/>
      <c r="B226" s="13" t="str">
        <f>CONCATENATE("     ","Utilities                                         ")</f>
        <v xml:space="preserve">     Utilities                                         </v>
      </c>
      <c r="C226" s="13"/>
      <c r="D226" s="1">
        <f>SUM(OSRRefD22_25x_0)</f>
        <v>7298.9</v>
      </c>
      <c r="E226" s="1"/>
      <c r="F226" s="5">
        <f t="shared" ref="F226:F227" si="144">IF(D$12=0,0,D226/D$12)</f>
        <v>1.4402890294568493E-2</v>
      </c>
      <c r="G226" s="1"/>
      <c r="H226" s="1">
        <f>SUM(OSRRefH22_25x_0)</f>
        <v>6955</v>
      </c>
      <c r="I226" s="1"/>
      <c r="J226" s="5">
        <f t="shared" ref="J226:J227" si="145">IF(H$12=0,0,H226/H$12)</f>
        <v>1.1027377386820738E-2</v>
      </c>
      <c r="K226" s="1"/>
      <c r="L226" s="1">
        <f t="shared" ref="L226:L227" si="146">+D226-H226</f>
        <v>343.89999999999964</v>
      </c>
      <c r="M226" s="1"/>
      <c r="N226" s="5">
        <f t="shared" ref="N226:N227" si="147">IF(H226=0,0,L226/H226)</f>
        <v>4.9446441409058177E-2</v>
      </c>
      <c r="O226" s="13"/>
      <c r="P226" s="1">
        <f>SUM(OSRRefP22_25x_0)</f>
        <v>71762.45</v>
      </c>
      <c r="Q226" s="1"/>
      <c r="R226" s="5">
        <f t="shared" ref="R226:R227" si="148">IF(P$12=0,0,P226/P$12)</f>
        <v>1.3767961079164706E-2</v>
      </c>
      <c r="S226" s="1"/>
      <c r="T226" s="1">
        <f>SUM(OSRRefT22_25x_0)</f>
        <v>79779</v>
      </c>
      <c r="U226" s="1"/>
      <c r="V226" s="5">
        <f t="shared" ref="V226:V227" si="149">IF(T$12=0,0,T226/T$12)</f>
        <v>8.5089222682396184E-3</v>
      </c>
      <c r="W226" s="1"/>
      <c r="X226" s="1">
        <f t="shared" ref="X226:X227" si="150">+P226-T226</f>
        <v>-8016.5500000000029</v>
      </c>
      <c r="Y226" s="1"/>
      <c r="Z226" s="5">
        <f t="shared" ref="Z226:Z227" si="151">IF(T226=0,0,X226/T226)</f>
        <v>-0.10048446332994902</v>
      </c>
    </row>
    <row r="227" spans="1:26" s="24" customFormat="1" hidden="1" outlineLevel="2" x14ac:dyDescent="0.25">
      <c r="A227" s="25"/>
      <c r="B227" s="11" t="str">
        <f>CONCATENATE("          ", "6274", " - ", "UTILITIES")</f>
        <v xml:space="preserve">          6274 - UTILITIES</v>
      </c>
      <c r="C227" s="11"/>
      <c r="D227" s="7">
        <v>7298.9</v>
      </c>
      <c r="E227" s="2"/>
      <c r="F227" s="6">
        <f t="shared" si="144"/>
        <v>1.4402890294568493E-2</v>
      </c>
      <c r="G227" s="2"/>
      <c r="H227" s="7">
        <v>6955</v>
      </c>
      <c r="I227" s="2"/>
      <c r="J227" s="6">
        <f t="shared" si="145"/>
        <v>1.1027377386820738E-2</v>
      </c>
      <c r="K227" s="2"/>
      <c r="L227" s="7">
        <f t="shared" si="146"/>
        <v>343.89999999999964</v>
      </c>
      <c r="M227" s="2"/>
      <c r="N227" s="6">
        <f t="shared" si="147"/>
        <v>4.9446441409058177E-2</v>
      </c>
      <c r="O227" s="11"/>
      <c r="P227" s="7">
        <v>71762.45</v>
      </c>
      <c r="Q227" s="2"/>
      <c r="R227" s="6">
        <f t="shared" si="148"/>
        <v>1.3767961079164706E-2</v>
      </c>
      <c r="S227" s="2"/>
      <c r="T227" s="7">
        <v>79779</v>
      </c>
      <c r="U227" s="2"/>
      <c r="V227" s="6">
        <f t="shared" si="149"/>
        <v>8.5089222682396184E-3</v>
      </c>
      <c r="W227" s="2"/>
      <c r="X227" s="7">
        <f t="shared" si="150"/>
        <v>-8016.5500000000029</v>
      </c>
      <c r="Y227" s="2"/>
      <c r="Z227" s="6">
        <f t="shared" si="151"/>
        <v>-0.10048446332994902</v>
      </c>
    </row>
    <row r="228" spans="1:26" s="56" customFormat="1" x14ac:dyDescent="0.25">
      <c r="A228" s="36"/>
      <c r="B228" s="36"/>
      <c r="C228" s="36"/>
      <c r="D228" s="1"/>
      <c r="E228" s="1"/>
      <c r="F228" s="5"/>
      <c r="G228" s="1"/>
      <c r="H228" s="1"/>
      <c r="I228" s="1"/>
      <c r="J228" s="5"/>
      <c r="K228" s="1"/>
      <c r="L228" s="1"/>
      <c r="M228" s="1"/>
      <c r="N228" s="5"/>
      <c r="O228" s="36"/>
      <c r="P228" s="1"/>
      <c r="Q228" s="1"/>
      <c r="R228" s="5"/>
      <c r="S228" s="1"/>
      <c r="T228" s="1"/>
      <c r="U228" s="1"/>
      <c r="V228" s="5"/>
      <c r="W228" s="1"/>
      <c r="X228" s="1"/>
      <c r="Y228" s="1"/>
      <c r="Z228" s="5"/>
    </row>
    <row r="229" spans="1:26" s="23" customFormat="1" collapsed="1" x14ac:dyDescent="0.25">
      <c r="A229" s="10"/>
      <c r="B229" s="29" t="s">
        <v>293</v>
      </c>
      <c r="C229" s="10"/>
      <c r="D229" s="4">
        <f>SUM(OSRRefD25x_0)</f>
        <v>60098.659999999996</v>
      </c>
      <c r="E229" s="4"/>
      <c r="F229" s="12">
        <f t="shared" ref="F229:F234" si="152">IF(D$12=0,0,D229/D$12)</f>
        <v>0.11859244637281942</v>
      </c>
      <c r="G229" s="4"/>
      <c r="H229" s="4">
        <f>SUM(OSRRefH25x_0)</f>
        <v>39625</v>
      </c>
      <c r="I229" s="4"/>
      <c r="J229" s="12">
        <f t="shared" ref="J229:J234" si="153">IF(H$12=0,0,H229/H$12)</f>
        <v>6.2826718756688965E-2</v>
      </c>
      <c r="K229" s="4"/>
      <c r="L229" s="4">
        <f t="shared" ref="L229:L234" si="154">+D229-H229</f>
        <v>20473.659999999996</v>
      </c>
      <c r="M229" s="4"/>
      <c r="N229" s="12">
        <f t="shared" ref="N229:N234" si="155">IF(H229=0,0,L229/H229)</f>
        <v>0.51668542586750776</v>
      </c>
      <c r="O229" s="10"/>
      <c r="P229" s="4">
        <f>SUM(OSRRefP25x_0)</f>
        <v>1053091.8299999998</v>
      </c>
      <c r="Q229" s="4"/>
      <c r="R229" s="12">
        <f t="shared" ref="R229:R234" si="156">IF(P$12=0,0,P229/P$12)</f>
        <v>0.20204058429201252</v>
      </c>
      <c r="S229" s="4"/>
      <c r="T229" s="4">
        <f>SUM(OSRRefT25x_0)</f>
        <v>910395</v>
      </c>
      <c r="U229" s="4"/>
      <c r="V229" s="12">
        <f t="shared" ref="V229:V234" si="157">IF(T$12=0,0,T229/T$12)</f>
        <v>9.7099240256132646E-2</v>
      </c>
      <c r="W229" s="4"/>
      <c r="X229" s="4">
        <f t="shared" ref="X229:X234" si="158">+P229-T229</f>
        <v>142696.82999999984</v>
      </c>
      <c r="Y229" s="4"/>
      <c r="Z229" s="12">
        <f t="shared" ref="Z229:Z234" si="159">IF(T229=0,0,X229/T229)</f>
        <v>0.15674166707857562</v>
      </c>
    </row>
    <row r="230" spans="1:26" s="24" customFormat="1" hidden="1" outlineLevel="1" x14ac:dyDescent="0.25">
      <c r="A230" s="44"/>
      <c r="B230" s="11" t="str">
        <f>CONCATENATE("          ", "4098", " - ", "TAXABLE SALES-GRAD RENTALS")</f>
        <v xml:space="preserve">          4098 - TAXABLE SALES-GRAD RENTALS</v>
      </c>
      <c r="C230" s="11"/>
      <c r="D230" s="2">
        <f>0</f>
        <v>0</v>
      </c>
      <c r="E230" s="2"/>
      <c r="F230" s="19">
        <f t="shared" si="152"/>
        <v>0</v>
      </c>
      <c r="G230" s="2"/>
      <c r="H230" s="2"/>
      <c r="I230" s="2"/>
      <c r="J230" s="19">
        <f t="shared" si="153"/>
        <v>0</v>
      </c>
      <c r="K230" s="2"/>
      <c r="L230" s="2">
        <f t="shared" si="154"/>
        <v>0</v>
      </c>
      <c r="M230" s="2"/>
      <c r="N230" s="19">
        <f t="shared" si="155"/>
        <v>0</v>
      </c>
      <c r="O230" s="11"/>
      <c r="P230" s="2">
        <f>--49.95</f>
        <v>49.95</v>
      </c>
      <c r="Q230" s="2"/>
      <c r="R230" s="19">
        <f t="shared" si="156"/>
        <v>9.58314070804825E-6</v>
      </c>
      <c r="S230" s="2"/>
      <c r="T230" s="2"/>
      <c r="U230" s="2"/>
      <c r="V230" s="19">
        <f t="shared" si="157"/>
        <v>0</v>
      </c>
      <c r="W230" s="2"/>
      <c r="X230" s="2">
        <f t="shared" si="158"/>
        <v>49.95</v>
      </c>
      <c r="Y230" s="2"/>
      <c r="Z230" s="19">
        <f t="shared" si="159"/>
        <v>0</v>
      </c>
    </row>
    <row r="231" spans="1:26" s="24" customFormat="1" hidden="1" outlineLevel="1" x14ac:dyDescent="0.25">
      <c r="A231" s="44"/>
      <c r="B231" s="11" t="str">
        <f>CONCATENATE("          ", "9150", " - ", "MISC. INCOME")</f>
        <v xml:space="preserve">          9150 - MISC. INCOME</v>
      </c>
      <c r="C231" s="11"/>
      <c r="D231" s="2">
        <f>--56800.59</f>
        <v>56800.59</v>
      </c>
      <c r="E231" s="2"/>
      <c r="F231" s="19">
        <f t="shared" si="152"/>
        <v>0.11208437797980027</v>
      </c>
      <c r="G231" s="2"/>
      <c r="H231" s="2">
        <v>24150</v>
      </c>
      <c r="I231" s="2"/>
      <c r="J231" s="19">
        <f t="shared" si="153"/>
        <v>3.8290605879471001E-2</v>
      </c>
      <c r="K231" s="2"/>
      <c r="L231" s="2">
        <f t="shared" si="154"/>
        <v>32650.589999999997</v>
      </c>
      <c r="M231" s="2"/>
      <c r="N231" s="19">
        <f t="shared" si="155"/>
        <v>1.351991304347826</v>
      </c>
      <c r="O231" s="11"/>
      <c r="P231" s="2">
        <f>--403420.29</f>
        <v>403420.29</v>
      </c>
      <c r="Q231" s="2"/>
      <c r="R231" s="19">
        <f t="shared" si="156"/>
        <v>7.7398066137169763E-2</v>
      </c>
      <c r="S231" s="2"/>
      <c r="T231" s="2">
        <v>223950</v>
      </c>
      <c r="U231" s="2"/>
      <c r="V231" s="19">
        <f t="shared" si="157"/>
        <v>2.3885648378298329E-2</v>
      </c>
      <c r="W231" s="2"/>
      <c r="X231" s="2">
        <f t="shared" si="158"/>
        <v>179470.28999999998</v>
      </c>
      <c r="Y231" s="2"/>
      <c r="Z231" s="19">
        <f t="shared" si="159"/>
        <v>0.80138553248492961</v>
      </c>
    </row>
    <row r="232" spans="1:26" s="24" customFormat="1" hidden="1" outlineLevel="1" x14ac:dyDescent="0.25">
      <c r="A232" s="44"/>
      <c r="B232" s="11" t="str">
        <f>CONCATENATE("          ", "9151", " - ", "MISC. INCOME")</f>
        <v xml:space="preserve">          9151 - MISC. INCOME</v>
      </c>
      <c r="C232" s="11"/>
      <c r="D232" s="2">
        <f>0</f>
        <v>0</v>
      </c>
      <c r="E232" s="2"/>
      <c r="F232" s="19">
        <f t="shared" si="152"/>
        <v>0</v>
      </c>
      <c r="G232" s="2"/>
      <c r="H232" s="2">
        <v>15475</v>
      </c>
      <c r="I232" s="2"/>
      <c r="J232" s="19">
        <f t="shared" si="153"/>
        <v>2.453611287721796E-2</v>
      </c>
      <c r="K232" s="2"/>
      <c r="L232" s="2">
        <f t="shared" si="154"/>
        <v>-15475</v>
      </c>
      <c r="M232" s="2"/>
      <c r="N232" s="19">
        <f t="shared" si="155"/>
        <v>-1</v>
      </c>
      <c r="O232" s="11"/>
      <c r="P232" s="2">
        <f>--295628.46</f>
        <v>295628.46000000002</v>
      </c>
      <c r="Q232" s="2"/>
      <c r="R232" s="19">
        <f t="shared" si="156"/>
        <v>5.6717700289962238E-2</v>
      </c>
      <c r="S232" s="2"/>
      <c r="T232" s="2">
        <v>686445</v>
      </c>
      <c r="U232" s="2"/>
      <c r="V232" s="19">
        <f t="shared" si="157"/>
        <v>7.3213591877834328E-2</v>
      </c>
      <c r="W232" s="2"/>
      <c r="X232" s="2">
        <f t="shared" si="158"/>
        <v>-390816.54</v>
      </c>
      <c r="Y232" s="2"/>
      <c r="Z232" s="19">
        <f t="shared" si="159"/>
        <v>-0.56933409085942788</v>
      </c>
    </row>
    <row r="233" spans="1:26" s="24" customFormat="1" hidden="1" outlineLevel="1" x14ac:dyDescent="0.25">
      <c r="A233" s="44"/>
      <c r="B233" s="11" t="str">
        <f>CONCATENATE("          ", "9152", " - ", "MISC. INCOME")</f>
        <v xml:space="preserve">          9152 - MISC. INCOME</v>
      </c>
      <c r="C233" s="11"/>
      <c r="D233" s="2">
        <f>--1436.07</f>
        <v>1436.07</v>
      </c>
      <c r="E233" s="2"/>
      <c r="F233" s="19">
        <f t="shared" si="152"/>
        <v>2.8337912103633392E-3</v>
      </c>
      <c r="G233" s="2"/>
      <c r="H233" s="2"/>
      <c r="I233" s="2"/>
      <c r="J233" s="19">
        <f t="shared" si="153"/>
        <v>0</v>
      </c>
      <c r="K233" s="2"/>
      <c r="L233" s="2">
        <f t="shared" si="154"/>
        <v>1436.07</v>
      </c>
      <c r="M233" s="2"/>
      <c r="N233" s="19">
        <f t="shared" si="155"/>
        <v>0</v>
      </c>
      <c r="O233" s="11"/>
      <c r="P233" s="2">
        <f>--5652.57</f>
        <v>5652.57</v>
      </c>
      <c r="Q233" s="2"/>
      <c r="R233" s="19">
        <f t="shared" si="156"/>
        <v>1.084471945387233E-3</v>
      </c>
      <c r="S233" s="2"/>
      <c r="T233" s="2"/>
      <c r="U233" s="2"/>
      <c r="V233" s="19">
        <f t="shared" si="157"/>
        <v>0</v>
      </c>
      <c r="W233" s="2"/>
      <c r="X233" s="2">
        <f t="shared" si="158"/>
        <v>5652.57</v>
      </c>
      <c r="Y233" s="2"/>
      <c r="Z233" s="19">
        <f t="shared" si="159"/>
        <v>0</v>
      </c>
    </row>
    <row r="234" spans="1:26" s="24" customFormat="1" hidden="1" outlineLevel="1" x14ac:dyDescent="0.25">
      <c r="A234" s="44"/>
      <c r="B234" s="11" t="str">
        <f>CONCATENATE("          ", "9163", " - ", "MISC. INCOME")</f>
        <v xml:space="preserve">          9163 - MISC. INCOME</v>
      </c>
      <c r="C234" s="11"/>
      <c r="D234" s="2">
        <f>--1862</f>
        <v>1862</v>
      </c>
      <c r="E234" s="2"/>
      <c r="F234" s="19">
        <f t="shared" si="152"/>
        <v>3.6742771826558159E-3</v>
      </c>
      <c r="G234" s="2"/>
      <c r="H234" s="2"/>
      <c r="I234" s="2"/>
      <c r="J234" s="19">
        <f t="shared" si="153"/>
        <v>0</v>
      </c>
      <c r="K234" s="2"/>
      <c r="L234" s="2">
        <f t="shared" si="154"/>
        <v>1862</v>
      </c>
      <c r="M234" s="2"/>
      <c r="N234" s="19">
        <f t="shared" si="155"/>
        <v>0</v>
      </c>
      <c r="O234" s="11"/>
      <c r="P234" s="2">
        <f>--348340.56</f>
        <v>348340.56</v>
      </c>
      <c r="Q234" s="2"/>
      <c r="R234" s="19">
        <f t="shared" si="156"/>
        <v>6.683076277878526E-2</v>
      </c>
      <c r="S234" s="2"/>
      <c r="T234" s="2"/>
      <c r="U234" s="2"/>
      <c r="V234" s="19">
        <f t="shared" si="157"/>
        <v>0</v>
      </c>
      <c r="W234" s="2"/>
      <c r="X234" s="2">
        <f t="shared" si="158"/>
        <v>348340.56</v>
      </c>
      <c r="Y234" s="2"/>
      <c r="Z234" s="19">
        <f t="shared" si="159"/>
        <v>0</v>
      </c>
    </row>
    <row r="235" spans="1:26" x14ac:dyDescent="0.25">
      <c r="A235" s="9"/>
      <c r="B235" s="10"/>
      <c r="C235" s="10"/>
      <c r="D235" s="3"/>
      <c r="E235" s="3"/>
      <c r="F235" s="8"/>
      <c r="G235" s="3"/>
      <c r="H235" s="3"/>
      <c r="I235" s="3"/>
      <c r="J235" s="8"/>
      <c r="K235" s="3"/>
      <c r="L235" s="3"/>
      <c r="M235" s="3"/>
      <c r="N235" s="8"/>
      <c r="O235" s="10"/>
      <c r="P235" s="3"/>
      <c r="Q235" s="3"/>
      <c r="R235" s="8"/>
      <c r="S235" s="3"/>
      <c r="T235" s="3"/>
      <c r="U235" s="3"/>
      <c r="V235" s="8"/>
      <c r="W235" s="3"/>
      <c r="X235" s="3"/>
      <c r="Y235" s="3"/>
      <c r="Z235" s="8"/>
    </row>
    <row r="236" spans="1:26" s="23" customFormat="1" x14ac:dyDescent="0.25">
      <c r="A236" s="10"/>
      <c r="B236" s="28" t="s">
        <v>277</v>
      </c>
      <c r="C236" s="28"/>
      <c r="D236" s="20">
        <f>+D125-D127+D229</f>
        <v>72613.410000000207</v>
      </c>
      <c r="E236" s="14"/>
      <c r="F236" s="21">
        <f>IF(D$12=0,0,D236/D$12)</f>
        <v>0.14328775269486166</v>
      </c>
      <c r="G236" s="14"/>
      <c r="H236" s="20">
        <f>+H125-H127+H229</f>
        <v>-9487.4386196284322</v>
      </c>
      <c r="I236" s="14"/>
      <c r="J236" s="21">
        <f>IF(H$12=0,0,H236/H$12)</f>
        <v>-1.5042640703514066E-2</v>
      </c>
      <c r="K236" s="15"/>
      <c r="L236" s="20">
        <f>+D236-H236</f>
        <v>82100.848619628639</v>
      </c>
      <c r="M236" s="15"/>
      <c r="N236" s="21">
        <f>IF(H236=0,0,L236/H236)</f>
        <v>-8.6536368677812909</v>
      </c>
      <c r="O236" s="29"/>
      <c r="P236" s="20">
        <f>+P125-P127+P229</f>
        <v>-72895.420000002487</v>
      </c>
      <c r="Q236" s="14"/>
      <c r="R236" s="21">
        <f>IF(P$12=0,0,P236/P$12)</f>
        <v>-1.3985326663309277E-2</v>
      </c>
      <c r="S236" s="14"/>
      <c r="T236" s="20">
        <f>+T125-T127+T229</f>
        <v>256260.25422871858</v>
      </c>
      <c r="U236" s="14"/>
      <c r="V236" s="21">
        <f>IF(T$12=0,0,T236/T$12)</f>
        <v>2.7331736217193613E-2</v>
      </c>
      <c r="W236" s="15"/>
      <c r="X236" s="20">
        <f>+P236-T236</f>
        <v>-329155.67422872107</v>
      </c>
      <c r="Y236" s="15"/>
      <c r="Z236" s="21">
        <f>IF(T236=0,0,X236/T236)</f>
        <v>-1.2844585486711551</v>
      </c>
    </row>
    <row r="237" spans="1:26" x14ac:dyDescent="0.25">
      <c r="A237" s="9"/>
      <c r="B237" s="10"/>
      <c r="C237" s="9"/>
      <c r="D237" s="3"/>
      <c r="E237" s="3"/>
      <c r="F237" s="8"/>
      <c r="G237" s="3"/>
      <c r="H237" s="3"/>
      <c r="I237" s="3"/>
      <c r="J237" s="8"/>
      <c r="K237" s="3"/>
      <c r="L237" s="3"/>
      <c r="M237" s="3"/>
      <c r="N237" s="8"/>
      <c r="P237" s="3"/>
      <c r="Q237" s="3"/>
      <c r="R237" s="8"/>
      <c r="S237" s="3"/>
      <c r="T237" s="3"/>
      <c r="U237" s="3"/>
      <c r="V237" s="8"/>
      <c r="W237" s="3"/>
      <c r="X237" s="3"/>
      <c r="Y237" s="3"/>
      <c r="Z237" s="8"/>
    </row>
    <row r="238" spans="1:26" s="23" customFormat="1" x14ac:dyDescent="0.25">
      <c r="A238" s="52"/>
      <c r="B238" s="10" t="s">
        <v>128</v>
      </c>
      <c r="C238" s="10"/>
      <c r="D238" s="4">
        <v>129402.26</v>
      </c>
      <c r="E238" s="4"/>
      <c r="F238" s="12">
        <f>IF(D$12=0,0,D238/D$12)</f>
        <v>0.25534896417942821</v>
      </c>
      <c r="G238" s="4"/>
      <c r="H238" s="4">
        <v>145435</v>
      </c>
      <c r="I238" s="4"/>
      <c r="J238" s="12">
        <f>IF(H$12=0,0,H238/H$12)</f>
        <v>0.23059189507581224</v>
      </c>
      <c r="K238" s="4"/>
      <c r="L238" s="4">
        <f>+D238-H238</f>
        <v>-16032.740000000005</v>
      </c>
      <c r="M238" s="4"/>
      <c r="N238" s="12">
        <f>IF(H238=0,0,L238/H238)</f>
        <v>-0.11023990098669512</v>
      </c>
      <c r="O238" s="10"/>
      <c r="P238" s="4">
        <v>1113814.54</v>
      </c>
      <c r="Q238" s="4"/>
      <c r="R238" s="12">
        <f>IF(P$12=0,0,P238/P$12)</f>
        <v>0.21369051970951022</v>
      </c>
      <c r="S238" s="4"/>
      <c r="T238" s="4">
        <v>1731088</v>
      </c>
      <c r="U238" s="4"/>
      <c r="V238" s="12">
        <f>IF(T$12=0,0,T238/T$12)</f>
        <v>0.18463120910869255</v>
      </c>
      <c r="W238" s="4"/>
      <c r="X238" s="4">
        <f>+P238-T238</f>
        <v>-617273.46</v>
      </c>
      <c r="Y238" s="4"/>
      <c r="Z238" s="12">
        <f>IF(T238=0,0,X238/T238)</f>
        <v>-0.35658121366446993</v>
      </c>
    </row>
    <row r="239" spans="1:26" x14ac:dyDescent="0.25">
      <c r="A239" s="9"/>
      <c r="B239" s="10"/>
      <c r="C239" s="10"/>
      <c r="D239" s="3"/>
      <c r="E239" s="3"/>
      <c r="F239" s="8"/>
      <c r="G239" s="3"/>
      <c r="H239" s="3"/>
      <c r="I239" s="3"/>
      <c r="J239" s="8"/>
      <c r="K239" s="3"/>
      <c r="L239" s="3"/>
      <c r="M239" s="3"/>
      <c r="N239" s="8"/>
      <c r="O239" s="10"/>
      <c r="P239" s="3"/>
      <c r="Q239" s="3"/>
      <c r="R239" s="8"/>
      <c r="S239" s="3"/>
      <c r="T239" s="3"/>
      <c r="U239" s="3"/>
      <c r="V239" s="8"/>
      <c r="W239" s="3"/>
      <c r="X239" s="3"/>
      <c r="Y239" s="3"/>
      <c r="Z239" s="8"/>
    </row>
    <row r="240" spans="1:26" s="23" customFormat="1" ht="15.75" thickBot="1" x14ac:dyDescent="0.3">
      <c r="A240" s="10"/>
      <c r="B240" s="28" t="s">
        <v>126</v>
      </c>
      <c r="C240" s="28"/>
      <c r="D240" s="35">
        <f>+D236-D238</f>
        <v>-56788.849999999788</v>
      </c>
      <c r="E240" s="14"/>
      <c r="F240" s="34">
        <f>IF(D$12=0,0,D240/D$12)</f>
        <v>-0.11206121148456656</v>
      </c>
      <c r="G240" s="14"/>
      <c r="H240" s="35">
        <f>+H236-H238</f>
        <v>-154922.43861962843</v>
      </c>
      <c r="I240" s="14"/>
      <c r="J240" s="34">
        <f>IF(H$12=0,0,H240/H$12)</f>
        <v>-0.24563453577932629</v>
      </c>
      <c r="K240" s="15"/>
      <c r="L240" s="35">
        <f>D240-H240</f>
        <v>98133.588619628645</v>
      </c>
      <c r="M240" s="15"/>
      <c r="N240" s="34">
        <f>IF(H240=0,0,L240/H240)</f>
        <v>-0.63343689586871288</v>
      </c>
      <c r="O240" s="29"/>
      <c r="P240" s="35">
        <f>+P236-P238</f>
        <v>-1186709.9600000025</v>
      </c>
      <c r="Q240" s="14"/>
      <c r="R240" s="34">
        <f>IF(P$12=0,0,P240/P$12)</f>
        <v>-0.22767584637281948</v>
      </c>
      <c r="S240" s="14"/>
      <c r="T240" s="35">
        <f>+T236-T238</f>
        <v>-1474827.7457712814</v>
      </c>
      <c r="U240" s="14"/>
      <c r="V240" s="34">
        <f>IF(T$12=0,0,T240/T$12)</f>
        <v>-0.15729947289149895</v>
      </c>
      <c r="W240" s="15"/>
      <c r="X240" s="35">
        <f>P240-T240</f>
        <v>288117.7857712789</v>
      </c>
      <c r="Y240" s="15"/>
      <c r="Z240" s="34">
        <f>IF(T240=0,0,X240/T240)</f>
        <v>-0.19535690632169639</v>
      </c>
    </row>
    <row r="241" spans="1:26" ht="15.75" thickTop="1" x14ac:dyDescent="0.25">
      <c r="A241" s="9"/>
      <c r="B241" s="9"/>
      <c r="C241" s="9"/>
      <c r="D241" s="3"/>
      <c r="E241" s="3"/>
      <c r="F241" s="8"/>
      <c r="G241" s="3"/>
      <c r="H241" s="3"/>
      <c r="I241" s="3"/>
      <c r="J241" s="8"/>
      <c r="K241" s="3"/>
      <c r="L241" s="3"/>
      <c r="M241" s="3"/>
      <c r="N241" s="8"/>
      <c r="P241" s="3"/>
      <c r="Q241" s="3"/>
      <c r="R241" s="8"/>
      <c r="S241" s="3"/>
      <c r="T241" s="3"/>
      <c r="U241" s="3"/>
      <c r="V241" s="8"/>
      <c r="W241" s="3"/>
      <c r="X241" s="3"/>
      <c r="Y241" s="3"/>
      <c r="Z241" s="8"/>
    </row>
    <row r="242" spans="1:26" x14ac:dyDescent="0.25">
      <c r="A242" s="9"/>
      <c r="B242" s="9"/>
      <c r="C242" s="9"/>
      <c r="D242" s="3"/>
      <c r="E242" s="3"/>
      <c r="F242" s="8"/>
      <c r="G242" s="3"/>
      <c r="H242" s="3"/>
      <c r="I242" s="3"/>
      <c r="J242" s="8"/>
      <c r="K242" s="3"/>
      <c r="L242" s="3"/>
      <c r="M242" s="3"/>
      <c r="N242" s="8"/>
      <c r="P242" s="3"/>
      <c r="Q242" s="3"/>
      <c r="R242" s="8"/>
      <c r="S242" s="3"/>
      <c r="T242" s="3"/>
      <c r="U242" s="3"/>
      <c r="V242" s="8"/>
      <c r="W242" s="3"/>
      <c r="X242" s="3"/>
      <c r="Y242" s="3"/>
      <c r="Z242" s="8"/>
    </row>
    <row r="243" spans="1:26" s="23" customFormat="1" ht="15.75" thickBot="1" x14ac:dyDescent="0.3">
      <c r="A243" s="10"/>
      <c r="B243" s="28" t="s">
        <v>294</v>
      </c>
      <c r="C243" s="28"/>
      <c r="D243" s="33">
        <f>SUM(D240:D242)</f>
        <v>-56788.849999999788</v>
      </c>
      <c r="E243" s="14"/>
      <c r="F243" s="32">
        <f>IF(D$12=0,0,D243/D$12)</f>
        <v>-0.11206121148456656</v>
      </c>
      <c r="G243" s="14"/>
      <c r="H243" s="33">
        <f>SUM(H240:H242)</f>
        <v>-154922.43861962843</v>
      </c>
      <c r="I243" s="14"/>
      <c r="J243" s="32">
        <f>IF(H$12=0,0,H243/H$12)</f>
        <v>-0.24563453577932629</v>
      </c>
      <c r="K243" s="15"/>
      <c r="L243" s="33">
        <f>+D243-H243</f>
        <v>98133.588619628645</v>
      </c>
      <c r="M243" s="15"/>
      <c r="N243" s="32">
        <f>IF(H243=0,0,L243/H243)</f>
        <v>-0.63343689586871288</v>
      </c>
      <c r="O243" s="29"/>
      <c r="P243" s="33">
        <f>SUM(P240:P242)</f>
        <v>-1186709.9600000025</v>
      </c>
      <c r="Q243" s="14"/>
      <c r="R243" s="32">
        <f>IF(P$12=0,0,P243/P$12)</f>
        <v>-0.22767584637281948</v>
      </c>
      <c r="S243" s="14"/>
      <c r="T243" s="33">
        <f>SUM(T240:T242)</f>
        <v>-1474827.7457712814</v>
      </c>
      <c r="U243" s="14"/>
      <c r="V243" s="32">
        <f>IF(T$12=0,0,T243/T$12)</f>
        <v>-0.15729947289149895</v>
      </c>
      <c r="W243" s="15"/>
      <c r="X243" s="33">
        <f>+P243-T243</f>
        <v>288117.7857712789</v>
      </c>
      <c r="Y243" s="15"/>
      <c r="Z243" s="32">
        <f>IF(T243=0,0,X243/T243)</f>
        <v>-0.19535690632169639</v>
      </c>
    </row>
    <row r="244" spans="1:26" ht="15.75" thickTop="1" x14ac:dyDescent="0.25">
      <c r="A244" s="9"/>
      <c r="C244" s="9"/>
      <c r="D244" s="18"/>
      <c r="E244" s="18"/>
      <c r="G244" s="18"/>
      <c r="H244" s="18"/>
      <c r="I244" s="18"/>
      <c r="J244" s="42"/>
      <c r="K244" s="18"/>
      <c r="L244" s="18"/>
      <c r="M244" s="18"/>
      <c r="P244" s="18"/>
      <c r="Q244" s="18"/>
      <c r="R244" s="42"/>
      <c r="S244" s="18"/>
      <c r="T244" s="18"/>
      <c r="U244" s="18"/>
      <c r="V244" s="42"/>
      <c r="W244" s="18"/>
      <c r="X244" s="18"/>
    </row>
    <row r="245" spans="1:26" x14ac:dyDescent="0.25">
      <c r="A245" s="9"/>
      <c r="B245" s="60">
        <v>44356.891827280095</v>
      </c>
      <c r="D245" s="18"/>
      <c r="E245" s="18"/>
      <c r="G245" s="18"/>
      <c r="H245" s="18"/>
      <c r="I245" s="18"/>
      <c r="J245" s="42"/>
      <c r="K245" s="18"/>
      <c r="L245" s="18"/>
      <c r="M245" s="18"/>
      <c r="P245" s="18"/>
      <c r="Q245" s="18"/>
      <c r="R245" s="42"/>
      <c r="S245" s="18"/>
      <c r="T245" s="18"/>
      <c r="U245" s="18"/>
      <c r="V245" s="42"/>
      <c r="W245" s="18"/>
      <c r="X245" s="18"/>
    </row>
    <row r="246" spans="1:26" x14ac:dyDescent="0.25">
      <c r="A246" s="9"/>
      <c r="B246" s="55" t="s">
        <v>56</v>
      </c>
      <c r="D246" s="18"/>
      <c r="E246" s="18"/>
      <c r="G246" s="18"/>
      <c r="H246" s="18"/>
      <c r="I246" s="18"/>
      <c r="J246" s="42"/>
      <c r="K246" s="18"/>
      <c r="L246" s="18"/>
      <c r="M246" s="18"/>
      <c r="P246" s="18"/>
      <c r="Q246" s="18"/>
      <c r="R246" s="42"/>
      <c r="S246" s="18"/>
      <c r="T246" s="18"/>
      <c r="U246" s="18"/>
      <c r="V246" s="42"/>
      <c r="W246" s="18"/>
      <c r="X246" s="18"/>
    </row>
    <row r="247" spans="1:26" x14ac:dyDescent="0.25">
      <c r="A247" s="9"/>
      <c r="B247" s="63"/>
      <c r="D247" s="18"/>
      <c r="E247" s="18"/>
      <c r="G247" s="18"/>
      <c r="H247" s="18"/>
      <c r="I247" s="18"/>
      <c r="J247" s="42"/>
      <c r="K247" s="18"/>
      <c r="L247" s="18"/>
      <c r="M247" s="18"/>
      <c r="P247" s="18"/>
      <c r="Q247" s="18"/>
      <c r="R247" s="42"/>
      <c r="S247" s="18"/>
      <c r="T247" s="18"/>
      <c r="U247" s="18"/>
      <c r="V247" s="42"/>
      <c r="W247" s="18"/>
      <c r="X247" s="18"/>
    </row>
    <row r="248" spans="1:26" x14ac:dyDescent="0.25">
      <c r="D248" s="18"/>
      <c r="E248" s="18"/>
      <c r="G248" s="18"/>
      <c r="H248" s="18"/>
      <c r="I248" s="18"/>
      <c r="J248" s="42"/>
      <c r="K248" s="18"/>
      <c r="L248" s="18"/>
      <c r="M248" s="18"/>
      <c r="P248" s="18"/>
      <c r="Q248" s="18"/>
      <c r="R248" s="42"/>
      <c r="S248" s="18"/>
      <c r="T248" s="18"/>
      <c r="U248" s="18"/>
      <c r="V248" s="42"/>
      <c r="W248" s="18"/>
      <c r="X248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256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506762.3400000002</v>
      </c>
      <c r="E12" s="4"/>
      <c r="F12" s="12"/>
      <c r="G12" s="4"/>
      <c r="H12" s="4">
        <f>SUM(OSRRefH13x_0)</f>
        <v>582893</v>
      </c>
      <c r="I12" s="4"/>
      <c r="J12" s="12"/>
      <c r="K12" s="4"/>
      <c r="L12" s="4">
        <f t="shared" ref="L12:L78" si="0">+D12-H12</f>
        <v>-76130.6599999998</v>
      </c>
      <c r="M12" s="4"/>
      <c r="N12" s="12">
        <f t="shared" ref="N12:N78" si="1">IF(H12=0,0,L12/H12)</f>
        <v>-0.13060829346037747</v>
      </c>
      <c r="O12" s="10"/>
      <c r="P12" s="4">
        <f>SUM(OSRRefP13x_0)</f>
        <v>5209401.7600000007</v>
      </c>
      <c r="Q12" s="4"/>
      <c r="R12" s="12"/>
      <c r="S12" s="4"/>
      <c r="T12" s="4">
        <f>SUM(OSRRefT13x_0)</f>
        <v>8775699</v>
      </c>
      <c r="U12" s="4"/>
      <c r="V12" s="12"/>
      <c r="W12" s="4"/>
      <c r="X12" s="4">
        <f t="shared" ref="X12:X78" si="2">+P12-T12</f>
        <v>-3566297.2399999993</v>
      </c>
      <c r="Y12" s="4"/>
      <c r="Z12" s="12">
        <f t="shared" ref="Z12:Z78" si="3">IF(T12=0,0,X12/T12)</f>
        <v>-0.40638326815903775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-11353.84</f>
        <v>-11353.84</v>
      </c>
      <c r="E13" s="2"/>
      <c r="F13" s="19"/>
      <c r="G13" s="2"/>
      <c r="H13" s="2">
        <v>549695</v>
      </c>
      <c r="I13" s="2"/>
      <c r="J13" s="19"/>
      <c r="K13" s="2"/>
      <c r="L13" s="2">
        <f t="shared" si="0"/>
        <v>-561048.84</v>
      </c>
      <c r="M13" s="2"/>
      <c r="N13" s="19">
        <f t="shared" si="1"/>
        <v>-1.0206547994797115</v>
      </c>
      <c r="O13" s="11"/>
      <c r="P13" s="2">
        <f>-144449.03</f>
        <v>-144449.03</v>
      </c>
      <c r="Q13" s="2"/>
      <c r="R13" s="19"/>
      <c r="S13" s="2"/>
      <c r="T13" s="2">
        <v>8482469</v>
      </c>
      <c r="U13" s="2"/>
      <c r="V13" s="19"/>
      <c r="W13" s="2"/>
      <c r="X13" s="2">
        <f t="shared" si="2"/>
        <v>-8626918.0299999993</v>
      </c>
      <c r="Y13" s="2"/>
      <c r="Z13" s="19">
        <f t="shared" si="3"/>
        <v>-1.0170291256001052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--35278.2</f>
        <v>35278.199999999997</v>
      </c>
      <c r="E14" s="2"/>
      <c r="F14" s="19"/>
      <c r="G14" s="2"/>
      <c r="H14" s="2"/>
      <c r="I14" s="2"/>
      <c r="J14" s="19"/>
      <c r="K14" s="2"/>
      <c r="L14" s="2">
        <f t="shared" si="0"/>
        <v>35278.199999999997</v>
      </c>
      <c r="M14" s="2"/>
      <c r="N14" s="19">
        <f t="shared" si="1"/>
        <v>0</v>
      </c>
      <c r="O14" s="11"/>
      <c r="P14" s="2">
        <f>--1299088.56</f>
        <v>1299088.56</v>
      </c>
      <c r="Q14" s="2"/>
      <c r="R14" s="19"/>
      <c r="S14" s="2"/>
      <c r="T14" s="2"/>
      <c r="U14" s="2"/>
      <c r="V14" s="19"/>
      <c r="W14" s="2"/>
      <c r="X14" s="2">
        <f t="shared" si="2"/>
        <v>1299088.56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--11501.84</f>
        <v>11501.84</v>
      </c>
      <c r="E15" s="2"/>
      <c r="F15" s="19"/>
      <c r="G15" s="2"/>
      <c r="H15" s="2"/>
      <c r="I15" s="2"/>
      <c r="J15" s="19"/>
      <c r="K15" s="2"/>
      <c r="L15" s="2">
        <f t="shared" si="0"/>
        <v>11501.84</v>
      </c>
      <c r="M15" s="2"/>
      <c r="N15" s="19">
        <f t="shared" si="1"/>
        <v>0</v>
      </c>
      <c r="O15" s="11"/>
      <c r="P15" s="2">
        <f>--590270.47</f>
        <v>590270.47</v>
      </c>
      <c r="Q15" s="2"/>
      <c r="R15" s="19"/>
      <c r="S15" s="2"/>
      <c r="T15" s="2"/>
      <c r="U15" s="2"/>
      <c r="V15" s="19"/>
      <c r="W15" s="2"/>
      <c r="X15" s="2">
        <f t="shared" si="2"/>
        <v>590270.47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--494.96</f>
        <v>494.96</v>
      </c>
      <c r="E16" s="2"/>
      <c r="F16" s="19"/>
      <c r="G16" s="2"/>
      <c r="H16" s="2"/>
      <c r="I16" s="2"/>
      <c r="J16" s="19"/>
      <c r="K16" s="2"/>
      <c r="L16" s="2">
        <f t="shared" si="0"/>
        <v>494.96</v>
      </c>
      <c r="M16" s="2"/>
      <c r="N16" s="19">
        <f t="shared" si="1"/>
        <v>0</v>
      </c>
      <c r="O16" s="11"/>
      <c r="P16" s="2">
        <f>--18492.84</f>
        <v>18492.84</v>
      </c>
      <c r="Q16" s="2"/>
      <c r="R16" s="19"/>
      <c r="S16" s="2"/>
      <c r="T16" s="2"/>
      <c r="U16" s="2"/>
      <c r="V16" s="19"/>
      <c r="W16" s="2"/>
      <c r="X16" s="2">
        <f t="shared" si="2"/>
        <v>18492.84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--61.96</f>
        <v>61.96</v>
      </c>
      <c r="E18" s="2"/>
      <c r="F18" s="19"/>
      <c r="G18" s="2"/>
      <c r="H18" s="2"/>
      <c r="I18" s="2"/>
      <c r="J18" s="19"/>
      <c r="K18" s="2"/>
      <c r="L18" s="2">
        <f t="shared" si="0"/>
        <v>61.96</v>
      </c>
      <c r="M18" s="2"/>
      <c r="N18" s="19">
        <f t="shared" si="1"/>
        <v>0</v>
      </c>
      <c r="O18" s="11"/>
      <c r="P18" s="2">
        <f>--1325.79</f>
        <v>1325.79</v>
      </c>
      <c r="Q18" s="2"/>
      <c r="R18" s="19"/>
      <c r="S18" s="2"/>
      <c r="T18" s="2"/>
      <c r="U18" s="2"/>
      <c r="V18" s="19"/>
      <c r="W18" s="2"/>
      <c r="X18" s="2">
        <f t="shared" si="2"/>
        <v>1325.79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--31.17</f>
        <v>31.17</v>
      </c>
      <c r="E19" s="2"/>
      <c r="F19" s="19"/>
      <c r="G19" s="2"/>
      <c r="H19" s="2"/>
      <c r="I19" s="2"/>
      <c r="J19" s="19"/>
      <c r="K19" s="2"/>
      <c r="L19" s="2">
        <f t="shared" si="0"/>
        <v>31.17</v>
      </c>
      <c r="M19" s="2"/>
      <c r="N19" s="19">
        <f t="shared" si="1"/>
        <v>0</v>
      </c>
      <c r="O19" s="11"/>
      <c r="P19" s="2">
        <f>--515.72</f>
        <v>515.72</v>
      </c>
      <c r="Q19" s="2"/>
      <c r="R19" s="19"/>
      <c r="S19" s="2"/>
      <c r="T19" s="2"/>
      <c r="U19" s="2"/>
      <c r="V19" s="19"/>
      <c r="W19" s="2"/>
      <c r="X19" s="2">
        <f t="shared" si="2"/>
        <v>515.72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--35.38</f>
        <v>35.380000000000003</v>
      </c>
      <c r="E20" s="2"/>
      <c r="F20" s="19"/>
      <c r="G20" s="2"/>
      <c r="H20" s="2"/>
      <c r="I20" s="2"/>
      <c r="J20" s="19"/>
      <c r="K20" s="2"/>
      <c r="L20" s="2">
        <f t="shared" si="0"/>
        <v>35.380000000000003</v>
      </c>
      <c r="M20" s="2"/>
      <c r="N20" s="19">
        <f t="shared" si="1"/>
        <v>0</v>
      </c>
      <c r="O20" s="11"/>
      <c r="P20" s="2">
        <f>--508.48</f>
        <v>508.48</v>
      </c>
      <c r="Q20" s="2"/>
      <c r="R20" s="19"/>
      <c r="S20" s="2"/>
      <c r="T20" s="2"/>
      <c r="U20" s="2"/>
      <c r="V20" s="19"/>
      <c r="W20" s="2"/>
      <c r="X20" s="2">
        <f t="shared" si="2"/>
        <v>508.48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--36.37</f>
        <v>36.369999999999997</v>
      </c>
      <c r="E21" s="2"/>
      <c r="F21" s="19"/>
      <c r="G21" s="2"/>
      <c r="H21" s="2"/>
      <c r="I21" s="2"/>
      <c r="J21" s="19"/>
      <c r="K21" s="2"/>
      <c r="L21" s="2">
        <f t="shared" si="0"/>
        <v>36.369999999999997</v>
      </c>
      <c r="M21" s="2"/>
      <c r="N21" s="19">
        <f t="shared" si="1"/>
        <v>0</v>
      </c>
      <c r="O21" s="11"/>
      <c r="P21" s="2">
        <f>--522.54</f>
        <v>522.54</v>
      </c>
      <c r="Q21" s="2"/>
      <c r="R21" s="19"/>
      <c r="S21" s="2"/>
      <c r="T21" s="2"/>
      <c r="U21" s="2"/>
      <c r="V21" s="19"/>
      <c r="W21" s="2"/>
      <c r="X21" s="2">
        <f t="shared" si="2"/>
        <v>522.54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--6033.32</f>
        <v>6033.32</v>
      </c>
      <c r="E22" s="2"/>
      <c r="F22" s="19"/>
      <c r="G22" s="2"/>
      <c r="H22" s="2"/>
      <c r="I22" s="2"/>
      <c r="J22" s="19"/>
      <c r="K22" s="2"/>
      <c r="L22" s="2">
        <f t="shared" si="0"/>
        <v>6033.32</v>
      </c>
      <c r="M22" s="2"/>
      <c r="N22" s="19">
        <f t="shared" si="1"/>
        <v>0</v>
      </c>
      <c r="O22" s="11"/>
      <c r="P22" s="2">
        <f>--70104.29</f>
        <v>70104.289999999994</v>
      </c>
      <c r="Q22" s="2"/>
      <c r="R22" s="19"/>
      <c r="S22" s="2"/>
      <c r="T22" s="2"/>
      <c r="U22" s="2"/>
      <c r="V22" s="19"/>
      <c r="W22" s="2"/>
      <c r="X22" s="2">
        <f t="shared" si="2"/>
        <v>70104.289999999994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>--1495.15</f>
        <v>1495.15</v>
      </c>
      <c r="E23" s="2"/>
      <c r="F23" s="19"/>
      <c r="G23" s="2"/>
      <c r="H23" s="2"/>
      <c r="I23" s="2"/>
      <c r="J23" s="19"/>
      <c r="K23" s="2"/>
      <c r="L23" s="2">
        <f t="shared" si="0"/>
        <v>1495.15</v>
      </c>
      <c r="M23" s="2"/>
      <c r="N23" s="19">
        <f t="shared" si="1"/>
        <v>0</v>
      </c>
      <c r="O23" s="11"/>
      <c r="P23" s="2">
        <f>--48395.32</f>
        <v>48395.32</v>
      </c>
      <c r="Q23" s="2"/>
      <c r="R23" s="19"/>
      <c r="S23" s="2"/>
      <c r="T23" s="2"/>
      <c r="U23" s="2"/>
      <c r="V23" s="19"/>
      <c r="W23" s="2"/>
      <c r="X23" s="2">
        <f t="shared" si="2"/>
        <v>48395.32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>--490.12</f>
        <v>490.12</v>
      </c>
      <c r="E24" s="2"/>
      <c r="F24" s="19"/>
      <c r="G24" s="2"/>
      <c r="H24" s="2"/>
      <c r="I24" s="2"/>
      <c r="J24" s="19"/>
      <c r="K24" s="2"/>
      <c r="L24" s="2">
        <f t="shared" si="0"/>
        <v>490.12</v>
      </c>
      <c r="M24" s="2"/>
      <c r="N24" s="19">
        <f t="shared" si="1"/>
        <v>0</v>
      </c>
      <c r="O24" s="11"/>
      <c r="P24" s="2">
        <f>--4700.71</f>
        <v>4700.71</v>
      </c>
      <c r="Q24" s="2"/>
      <c r="R24" s="19"/>
      <c r="S24" s="2"/>
      <c r="T24" s="2"/>
      <c r="U24" s="2"/>
      <c r="V24" s="19"/>
      <c r="W24" s="2"/>
      <c r="X24" s="2">
        <f t="shared" si="2"/>
        <v>4700.71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--6.78</f>
        <v>6.78</v>
      </c>
      <c r="Q25" s="2"/>
      <c r="R25" s="19"/>
      <c r="S25" s="2"/>
      <c r="T25" s="2"/>
      <c r="U25" s="2"/>
      <c r="V25" s="19"/>
      <c r="W25" s="2"/>
      <c r="X25" s="2">
        <f t="shared" si="2"/>
        <v>6.78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>--187399.42</f>
        <v>187399.42</v>
      </c>
      <c r="E26" s="2"/>
      <c r="F26" s="19"/>
      <c r="G26" s="2"/>
      <c r="H26" s="2"/>
      <c r="I26" s="2"/>
      <c r="J26" s="19"/>
      <c r="K26" s="2"/>
      <c r="L26" s="2">
        <f t="shared" si="0"/>
        <v>187399.42</v>
      </c>
      <c r="M26" s="2"/>
      <c r="N26" s="19">
        <f t="shared" si="1"/>
        <v>0</v>
      </c>
      <c r="O26" s="11"/>
      <c r="P26" s="2">
        <f>--1100580.15</f>
        <v>1100580.1499999999</v>
      </c>
      <c r="Q26" s="2"/>
      <c r="R26" s="19"/>
      <c r="S26" s="2"/>
      <c r="T26" s="2"/>
      <c r="U26" s="2"/>
      <c r="V26" s="19"/>
      <c r="W26" s="2"/>
      <c r="X26" s="2">
        <f t="shared" si="2"/>
        <v>1100580.1499999999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>--191315.61</f>
        <v>191315.61</v>
      </c>
      <c r="E27" s="2"/>
      <c r="F27" s="19"/>
      <c r="G27" s="2"/>
      <c r="H27" s="2"/>
      <c r="I27" s="2"/>
      <c r="J27" s="19"/>
      <c r="K27" s="2"/>
      <c r="L27" s="2">
        <f t="shared" si="0"/>
        <v>191315.61</v>
      </c>
      <c r="M27" s="2"/>
      <c r="N27" s="19">
        <f t="shared" si="1"/>
        <v>0</v>
      </c>
      <c r="O27" s="11"/>
      <c r="P27" s="2">
        <f>--631772.59</f>
        <v>631772.59</v>
      </c>
      <c r="Q27" s="2"/>
      <c r="R27" s="19"/>
      <c r="S27" s="2"/>
      <c r="T27" s="2"/>
      <c r="U27" s="2"/>
      <c r="V27" s="19"/>
      <c r="W27" s="2"/>
      <c r="X27" s="2">
        <f t="shared" si="2"/>
        <v>631772.59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--8228.03</f>
        <v>8228.0300000000007</v>
      </c>
      <c r="E28" s="2"/>
      <c r="F28" s="19"/>
      <c r="G28" s="2"/>
      <c r="H28" s="2"/>
      <c r="I28" s="2"/>
      <c r="J28" s="19"/>
      <c r="K28" s="2"/>
      <c r="L28" s="2">
        <f t="shared" si="0"/>
        <v>8228.0300000000007</v>
      </c>
      <c r="M28" s="2"/>
      <c r="N28" s="19">
        <f t="shared" si="1"/>
        <v>0</v>
      </c>
      <c r="O28" s="11"/>
      <c r="P28" s="2">
        <f>--108906.55</f>
        <v>108906.55</v>
      </c>
      <c r="Q28" s="2"/>
      <c r="R28" s="19"/>
      <c r="S28" s="2"/>
      <c r="T28" s="2"/>
      <c r="U28" s="2"/>
      <c r="V28" s="19"/>
      <c r="W28" s="2"/>
      <c r="X28" s="2">
        <f t="shared" si="2"/>
        <v>108906.55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>--7218.29</f>
        <v>7218.29</v>
      </c>
      <c r="E29" s="2"/>
      <c r="F29" s="19"/>
      <c r="G29" s="2"/>
      <c r="H29" s="2"/>
      <c r="I29" s="2"/>
      <c r="J29" s="19"/>
      <c r="K29" s="2"/>
      <c r="L29" s="2">
        <f t="shared" si="0"/>
        <v>7218.29</v>
      </c>
      <c r="M29" s="2"/>
      <c r="N29" s="19">
        <f t="shared" si="1"/>
        <v>0</v>
      </c>
      <c r="O29" s="11"/>
      <c r="P29" s="2">
        <f>--144077.67</f>
        <v>144077.67000000001</v>
      </c>
      <c r="Q29" s="2"/>
      <c r="R29" s="19"/>
      <c r="S29" s="2"/>
      <c r="T29" s="2"/>
      <c r="U29" s="2"/>
      <c r="V29" s="19"/>
      <c r="W29" s="2"/>
      <c r="X29" s="2">
        <f t="shared" si="2"/>
        <v>144077.67000000001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>--5024.1</f>
        <v>5024.1000000000004</v>
      </c>
      <c r="E30" s="2"/>
      <c r="F30" s="19"/>
      <c r="G30" s="2"/>
      <c r="H30" s="2"/>
      <c r="I30" s="2"/>
      <c r="J30" s="19"/>
      <c r="K30" s="2"/>
      <c r="L30" s="2">
        <f t="shared" si="0"/>
        <v>5024.1000000000004</v>
      </c>
      <c r="M30" s="2"/>
      <c r="N30" s="19">
        <f t="shared" si="1"/>
        <v>0</v>
      </c>
      <c r="O30" s="11"/>
      <c r="P30" s="2">
        <f>--41116.33</f>
        <v>41116.33</v>
      </c>
      <c r="Q30" s="2"/>
      <c r="R30" s="19"/>
      <c r="S30" s="2"/>
      <c r="T30" s="2"/>
      <c r="U30" s="2"/>
      <c r="V30" s="19"/>
      <c r="W30" s="2"/>
      <c r="X30" s="2">
        <f t="shared" si="2"/>
        <v>41116.33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--26335.59</f>
        <v>26335.59</v>
      </c>
      <c r="E31" s="2"/>
      <c r="F31" s="19"/>
      <c r="G31" s="2"/>
      <c r="H31" s="2"/>
      <c r="I31" s="2"/>
      <c r="J31" s="19"/>
      <c r="K31" s="2"/>
      <c r="L31" s="2">
        <f t="shared" si="0"/>
        <v>26335.59</v>
      </c>
      <c r="M31" s="2"/>
      <c r="N31" s="19">
        <f t="shared" si="1"/>
        <v>0</v>
      </c>
      <c r="O31" s="11"/>
      <c r="P31" s="2">
        <f>--233577.93</f>
        <v>233577.93</v>
      </c>
      <c r="Q31" s="2"/>
      <c r="R31" s="19"/>
      <c r="S31" s="2"/>
      <c r="T31" s="2"/>
      <c r="U31" s="2"/>
      <c r="V31" s="19"/>
      <c r="W31" s="2"/>
      <c r="X31" s="2">
        <f t="shared" si="2"/>
        <v>233577.93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ref="D32:D33" si="4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--71.95</f>
        <v>71.95</v>
      </c>
      <c r="Q32" s="2"/>
      <c r="R32" s="19"/>
      <c r="S32" s="2"/>
      <c r="T32" s="2"/>
      <c r="U32" s="2"/>
      <c r="V32" s="19"/>
      <c r="W32" s="2"/>
      <c r="X32" s="2">
        <f t="shared" si="2"/>
        <v>71.95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"4083", " - ", "TAXABLE SALES-COMPUTER EQUIPME")</f>
        <v xml:space="preserve">          4083 - TAXABLE SALES-COMPUTER EQUIPME</v>
      </c>
      <c r="C33" s="11"/>
      <c r="D33" s="2">
        <f t="shared" si="4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--9.99</f>
        <v>9.99</v>
      </c>
      <c r="Q33" s="2"/>
      <c r="R33" s="19"/>
      <c r="S33" s="2"/>
      <c r="T33" s="2"/>
      <c r="U33" s="2"/>
      <c r="V33" s="19"/>
      <c r="W33" s="2"/>
      <c r="X33" s="2">
        <f t="shared" si="2"/>
        <v>9.99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"4095", " - ", "TAXABLE SALES-CUSTOMER SERVICE")</f>
        <v xml:space="preserve">          4095 - TAXABLE SALES-CUSTOMER SERVICE</v>
      </c>
      <c r="C34" s="11"/>
      <c r="D34" s="2">
        <f>--10891.24</f>
        <v>10891.24</v>
      </c>
      <c r="E34" s="2"/>
      <c r="F34" s="19"/>
      <c r="G34" s="2"/>
      <c r="H34" s="2"/>
      <c r="I34" s="2"/>
      <c r="J34" s="19"/>
      <c r="K34" s="2"/>
      <c r="L34" s="2">
        <f t="shared" si="0"/>
        <v>10891.24</v>
      </c>
      <c r="M34" s="2"/>
      <c r="N34" s="19">
        <f t="shared" si="1"/>
        <v>0</v>
      </c>
      <c r="O34" s="11"/>
      <c r="P34" s="2">
        <f>--13925.83</f>
        <v>13925.83</v>
      </c>
      <c r="Q34" s="2"/>
      <c r="R34" s="19"/>
      <c r="S34" s="2"/>
      <c r="T34" s="2"/>
      <c r="U34" s="2"/>
      <c r="V34" s="19"/>
      <c r="W34" s="2"/>
      <c r="X34" s="2">
        <f t="shared" si="2"/>
        <v>13925.83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"4100", " - ", "NON-TAXABLE SALES")</f>
        <v xml:space="preserve">          4100 - NON-TAXABLE SALES</v>
      </c>
      <c r="C35" s="11"/>
      <c r="D35" s="2">
        <f>--3546.21</f>
        <v>3546.21</v>
      </c>
      <c r="E35" s="2"/>
      <c r="F35" s="19"/>
      <c r="G35" s="2"/>
      <c r="H35" s="2">
        <v>33198</v>
      </c>
      <c r="I35" s="2"/>
      <c r="J35" s="19"/>
      <c r="K35" s="2"/>
      <c r="L35" s="2">
        <f t="shared" si="0"/>
        <v>-29651.79</v>
      </c>
      <c r="M35" s="2"/>
      <c r="N35" s="19">
        <f t="shared" si="1"/>
        <v>-0.89318001084402676</v>
      </c>
      <c r="O35" s="11"/>
      <c r="P35" s="2">
        <f>--277384.98</f>
        <v>277384.98</v>
      </c>
      <c r="Q35" s="2"/>
      <c r="R35" s="19"/>
      <c r="S35" s="2"/>
      <c r="T35" s="2">
        <v>293230</v>
      </c>
      <c r="U35" s="2"/>
      <c r="V35" s="19"/>
      <c r="W35" s="2"/>
      <c r="X35" s="2">
        <f t="shared" si="2"/>
        <v>-15845.020000000019</v>
      </c>
      <c r="Y35" s="2"/>
      <c r="Z35" s="19">
        <f t="shared" si="3"/>
        <v>-5.4036149097977763E-2</v>
      </c>
    </row>
    <row r="36" spans="1:26" s="24" customFormat="1" hidden="1" outlineLevel="1" x14ac:dyDescent="0.25">
      <c r="A36" s="44"/>
      <c r="B36" s="11" t="str">
        <f>CONCATENATE("          ", "4101", " - ", "NON-TAXABLE SALES-NEW TEXT")</f>
        <v xml:space="preserve">          4101 - NON-TAXABLE SALES-NEW TEXT</v>
      </c>
      <c r="C36" s="11"/>
      <c r="D36" s="2">
        <f>--6450.33</f>
        <v>6450.33</v>
      </c>
      <c r="E36" s="2"/>
      <c r="F36" s="19"/>
      <c r="G36" s="2"/>
      <c r="H36" s="2"/>
      <c r="I36" s="2"/>
      <c r="J36" s="19"/>
      <c r="K36" s="2"/>
      <c r="L36" s="2">
        <f t="shared" si="0"/>
        <v>6450.33</v>
      </c>
      <c r="M36" s="2"/>
      <c r="N36" s="19">
        <f t="shared" si="1"/>
        <v>0</v>
      </c>
      <c r="O36" s="11"/>
      <c r="P36" s="2">
        <f>--119247.07</f>
        <v>119247.07</v>
      </c>
      <c r="Q36" s="2"/>
      <c r="R36" s="19"/>
      <c r="S36" s="2"/>
      <c r="T36" s="2"/>
      <c r="U36" s="2"/>
      <c r="V36" s="19"/>
      <c r="W36" s="2"/>
      <c r="X36" s="2">
        <f t="shared" si="2"/>
        <v>119247.07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"4102", " - ", "NON-TAXABLE SALES-USED TEXT")</f>
        <v xml:space="preserve">          4102 - NON-TAXABLE SALES-USED TEXT</v>
      </c>
      <c r="C37" s="11"/>
      <c r="D37" s="2">
        <f>--2343.31</f>
        <v>2343.31</v>
      </c>
      <c r="E37" s="2"/>
      <c r="F37" s="19"/>
      <c r="G37" s="2"/>
      <c r="H37" s="2"/>
      <c r="I37" s="2"/>
      <c r="J37" s="19"/>
      <c r="K37" s="2"/>
      <c r="L37" s="2">
        <f t="shared" si="0"/>
        <v>2343.31</v>
      </c>
      <c r="M37" s="2"/>
      <c r="N37" s="19">
        <f t="shared" si="1"/>
        <v>0</v>
      </c>
      <c r="O37" s="11"/>
      <c r="P37" s="2">
        <f>--51046.73</f>
        <v>51046.73</v>
      </c>
      <c r="Q37" s="2"/>
      <c r="R37" s="19"/>
      <c r="S37" s="2"/>
      <c r="T37" s="2"/>
      <c r="U37" s="2"/>
      <c r="V37" s="19"/>
      <c r="W37" s="2"/>
      <c r="X37" s="2">
        <f t="shared" si="2"/>
        <v>51046.73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"4103", " - ", "NON-TAXABLE SALES-RENTAL TEXT")</f>
        <v xml:space="preserve">          4103 - NON-TAXABLE SALES-RENTAL TEXT</v>
      </c>
      <c r="C38" s="11"/>
      <c r="D38" s="2">
        <f>0</f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--1138.95</f>
        <v>1138.95</v>
      </c>
      <c r="Q38" s="2"/>
      <c r="R38" s="19"/>
      <c r="S38" s="2"/>
      <c r="T38" s="2"/>
      <c r="U38" s="2"/>
      <c r="V38" s="19"/>
      <c r="W38" s="2"/>
      <c r="X38" s="2">
        <f t="shared" si="2"/>
        <v>1138.95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"4104", " - ", "NON-TAXABLE SALES-DIGITAL TEXT")</f>
        <v xml:space="preserve">          4104 - NON-TAXABLE SALES-DIGITAL TEXT</v>
      </c>
      <c r="C39" s="11"/>
      <c r="D39" s="2">
        <f>--10484.56</f>
        <v>10484.56</v>
      </c>
      <c r="E39" s="2"/>
      <c r="F39" s="19"/>
      <c r="G39" s="2"/>
      <c r="H39" s="2"/>
      <c r="I39" s="2"/>
      <c r="J39" s="19"/>
      <c r="K39" s="2"/>
      <c r="L39" s="2">
        <f t="shared" si="0"/>
        <v>10484.56</v>
      </c>
      <c r="M39" s="2"/>
      <c r="N39" s="19">
        <f t="shared" si="1"/>
        <v>0</v>
      </c>
      <c r="O39" s="11"/>
      <c r="P39" s="2">
        <f>--490887.73</f>
        <v>490887.73</v>
      </c>
      <c r="Q39" s="2"/>
      <c r="R39" s="19"/>
      <c r="S39" s="2"/>
      <c r="T39" s="2"/>
      <c r="U39" s="2"/>
      <c r="V39" s="19"/>
      <c r="W39" s="2"/>
      <c r="X39" s="2">
        <f t="shared" si="2"/>
        <v>490887.73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"4113", " - ", "NON-TAXABLE SALES-TRADE BOOKS")</f>
        <v xml:space="preserve">          4113 - NON-TAXABLE SALES-TRADE BOOKS</v>
      </c>
      <c r="C40" s="11"/>
      <c r="D40" s="2">
        <f t="shared" ref="D40:D42" si="5"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--12127.25</f>
        <v>12127.25</v>
      </c>
      <c r="Q40" s="2"/>
      <c r="R40" s="19"/>
      <c r="S40" s="2"/>
      <c r="T40" s="2"/>
      <c r="U40" s="2"/>
      <c r="V40" s="19"/>
      <c r="W40" s="2"/>
      <c r="X40" s="2">
        <f t="shared" si="2"/>
        <v>12127.25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"4118", " - ", "NON-TAXABLE SALES-STUDY GUIDES")</f>
        <v xml:space="preserve">          4118 - NON-TAXABLE SALES-STUDY GUIDES</v>
      </c>
      <c r="C41" s="11"/>
      <c r="D41" s="2">
        <f t="shared" si="5"/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--771.73</f>
        <v>771.73</v>
      </c>
      <c r="Q41" s="2"/>
      <c r="R41" s="19"/>
      <c r="S41" s="2"/>
      <c r="T41" s="2"/>
      <c r="U41" s="2"/>
      <c r="V41" s="19"/>
      <c r="W41" s="2"/>
      <c r="X41" s="2">
        <f t="shared" si="2"/>
        <v>771.73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"4126", " - ", "NON-TAXABLE SALES-WRITING INST")</f>
        <v xml:space="preserve">          4126 - NON-TAXABLE SALES-WRITING INST</v>
      </c>
      <c r="C42" s="11"/>
      <c r="D42" s="2">
        <f t="shared" si="5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--52.68</f>
        <v>52.68</v>
      </c>
      <c r="Q42" s="2"/>
      <c r="R42" s="19"/>
      <c r="S42" s="2"/>
      <c r="T42" s="2"/>
      <c r="U42" s="2"/>
      <c r="V42" s="19"/>
      <c r="W42" s="2"/>
      <c r="X42" s="2">
        <f t="shared" si="2"/>
        <v>52.68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"4127", " - ", "NON-TAXABLE SALES-SCHOOL SUPPL")</f>
        <v xml:space="preserve">          4127 - NON-TAXABLE SALES-SCHOOL SUPPL</v>
      </c>
      <c r="C43" s="11"/>
      <c r="D43" s="2">
        <f>--548.05</f>
        <v>548.04999999999995</v>
      </c>
      <c r="E43" s="2"/>
      <c r="F43" s="19"/>
      <c r="G43" s="2"/>
      <c r="H43" s="2"/>
      <c r="I43" s="2"/>
      <c r="J43" s="19"/>
      <c r="K43" s="2"/>
      <c r="L43" s="2">
        <f t="shared" si="0"/>
        <v>548.04999999999995</v>
      </c>
      <c r="M43" s="2"/>
      <c r="N43" s="19">
        <f t="shared" si="1"/>
        <v>0</v>
      </c>
      <c r="O43" s="11"/>
      <c r="P43" s="2">
        <f>--7648.73</f>
        <v>7648.73</v>
      </c>
      <c r="Q43" s="2"/>
      <c r="R43" s="19"/>
      <c r="S43" s="2"/>
      <c r="T43" s="2"/>
      <c r="U43" s="2"/>
      <c r="V43" s="19"/>
      <c r="W43" s="2"/>
      <c r="X43" s="2">
        <f t="shared" si="2"/>
        <v>7648.73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"4128", " - ", "NON-TAXABLE SALES-ART/TECH")</f>
        <v xml:space="preserve">          4128 - NON-TAXABLE SALES-ART/TECH</v>
      </c>
      <c r="C44" s="11"/>
      <c r="D44" s="2">
        <f>--45.96</f>
        <v>45.96</v>
      </c>
      <c r="E44" s="2"/>
      <c r="F44" s="19"/>
      <c r="G44" s="2"/>
      <c r="H44" s="2"/>
      <c r="I44" s="2"/>
      <c r="J44" s="19"/>
      <c r="K44" s="2"/>
      <c r="L44" s="2">
        <f t="shared" si="0"/>
        <v>45.96</v>
      </c>
      <c r="M44" s="2"/>
      <c r="N44" s="19">
        <f t="shared" si="1"/>
        <v>0</v>
      </c>
      <c r="O44" s="11"/>
      <c r="P44" s="2">
        <f>--115.91</f>
        <v>115.91</v>
      </c>
      <c r="Q44" s="2"/>
      <c r="R44" s="19"/>
      <c r="S44" s="2"/>
      <c r="T44" s="2"/>
      <c r="U44" s="2"/>
      <c r="V44" s="19"/>
      <c r="W44" s="2"/>
      <c r="X44" s="2">
        <f t="shared" si="2"/>
        <v>115.91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"4131", " - ", "NON-TAXABLE SALES-FOOD")</f>
        <v xml:space="preserve">          4131 - NON-TAXABLE SALES-FOOD</v>
      </c>
      <c r="C45" s="11"/>
      <c r="D45" s="2">
        <f>--775.78</f>
        <v>775.78</v>
      </c>
      <c r="E45" s="2"/>
      <c r="F45" s="19"/>
      <c r="G45" s="2"/>
      <c r="H45" s="2"/>
      <c r="I45" s="2"/>
      <c r="J45" s="19"/>
      <c r="K45" s="2"/>
      <c r="L45" s="2">
        <f t="shared" si="0"/>
        <v>775.78</v>
      </c>
      <c r="M45" s="2"/>
      <c r="N45" s="19">
        <f t="shared" si="1"/>
        <v>0</v>
      </c>
      <c r="O45" s="11"/>
      <c r="P45" s="2">
        <f>--12156.14</f>
        <v>12156.14</v>
      </c>
      <c r="Q45" s="2"/>
      <c r="R45" s="19"/>
      <c r="S45" s="2"/>
      <c r="T45" s="2"/>
      <c r="U45" s="2"/>
      <c r="V45" s="19"/>
      <c r="W45" s="2"/>
      <c r="X45" s="2">
        <f t="shared" si="2"/>
        <v>12156.14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"4132", " - ", "NON-TAXABLE SALES-JUICE")</f>
        <v xml:space="preserve">          4132 - NON-TAXABLE SALES-JUICE</v>
      </c>
      <c r="C46" s="11"/>
      <c r="D46" s="2">
        <f t="shared" ref="D46:D49" si="6">0</f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--22.49</f>
        <v>22.49</v>
      </c>
      <c r="Q46" s="2"/>
      <c r="R46" s="19"/>
      <c r="S46" s="2"/>
      <c r="T46" s="2"/>
      <c r="U46" s="2"/>
      <c r="V46" s="19"/>
      <c r="W46" s="2"/>
      <c r="X46" s="2">
        <f t="shared" si="2"/>
        <v>22.49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"4133", " - ", "NON-TAXABLE SALES-CANDY")</f>
        <v xml:space="preserve">          4133 - NON-TAXABLE SALES-CANDY</v>
      </c>
      <c r="C47" s="11"/>
      <c r="D47" s="2">
        <f t="shared" si="6"/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--80.71</f>
        <v>80.709999999999994</v>
      </c>
      <c r="Q47" s="2"/>
      <c r="R47" s="19"/>
      <c r="S47" s="2"/>
      <c r="T47" s="2"/>
      <c r="U47" s="2"/>
      <c r="V47" s="19"/>
      <c r="W47" s="2"/>
      <c r="X47" s="2">
        <f t="shared" si="2"/>
        <v>80.709999999999994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"4134", " - ", "NON-TAXABLE SALES-SODA")</f>
        <v xml:space="preserve">          4134 - NON-TAXABLE SALES-SODA</v>
      </c>
      <c r="C48" s="11"/>
      <c r="D48" s="2">
        <f t="shared" si="6"/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--45.53</f>
        <v>45.53</v>
      </c>
      <c r="Q48" s="2"/>
      <c r="R48" s="19"/>
      <c r="S48" s="2"/>
      <c r="T48" s="2"/>
      <c r="U48" s="2"/>
      <c r="V48" s="19"/>
      <c r="W48" s="2"/>
      <c r="X48" s="2">
        <f t="shared" si="2"/>
        <v>45.53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"4137", " - ", "NON-TAXABLE SALES-WATER")</f>
        <v xml:space="preserve">          4137 - NON-TAXABLE SALES-WATER</v>
      </c>
      <c r="C49" s="11"/>
      <c r="D49" s="2">
        <f t="shared" si="6"/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--68.25</f>
        <v>68.25</v>
      </c>
      <c r="Q49" s="2"/>
      <c r="R49" s="19"/>
      <c r="S49" s="2"/>
      <c r="T49" s="2"/>
      <c r="U49" s="2"/>
      <c r="V49" s="19"/>
      <c r="W49" s="2"/>
      <c r="X49" s="2">
        <f t="shared" si="2"/>
        <v>68.25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"4140", " - ", "NON-TAXABLE SALES-LOGO CLOTHIN")</f>
        <v xml:space="preserve">          4140 - NON-TAXABLE SALES-LOGO CLOTHIN</v>
      </c>
      <c r="C50" s="11"/>
      <c r="D50" s="2">
        <f>--16733.37</f>
        <v>16733.37</v>
      </c>
      <c r="E50" s="2"/>
      <c r="F50" s="19"/>
      <c r="G50" s="2"/>
      <c r="H50" s="2"/>
      <c r="I50" s="2"/>
      <c r="J50" s="19"/>
      <c r="K50" s="2"/>
      <c r="L50" s="2">
        <f t="shared" si="0"/>
        <v>16733.37</v>
      </c>
      <c r="M50" s="2"/>
      <c r="N50" s="19">
        <f t="shared" si="1"/>
        <v>0</v>
      </c>
      <c r="O50" s="11"/>
      <c r="P50" s="2">
        <f>--171525.76</f>
        <v>171525.76000000001</v>
      </c>
      <c r="Q50" s="2"/>
      <c r="R50" s="19"/>
      <c r="S50" s="2"/>
      <c r="T50" s="2"/>
      <c r="U50" s="2"/>
      <c r="V50" s="19"/>
      <c r="W50" s="2"/>
      <c r="X50" s="2">
        <f t="shared" si="2"/>
        <v>171525.76000000001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"4141", " - ", "NON-TAXABLE SALES-LOGO GIFTS")</f>
        <v xml:space="preserve">          4141 - NON-TAXABLE SALES-LOGO GIFTS</v>
      </c>
      <c r="C51" s="11"/>
      <c r="D51" s="2">
        <f>--2359.22</f>
        <v>2359.2199999999998</v>
      </c>
      <c r="E51" s="2"/>
      <c r="F51" s="19"/>
      <c r="G51" s="2"/>
      <c r="H51" s="2"/>
      <c r="I51" s="2"/>
      <c r="J51" s="19"/>
      <c r="K51" s="2"/>
      <c r="L51" s="2">
        <f t="shared" si="0"/>
        <v>2359.2199999999998</v>
      </c>
      <c r="M51" s="2"/>
      <c r="N51" s="19">
        <f t="shared" si="1"/>
        <v>0</v>
      </c>
      <c r="O51" s="11"/>
      <c r="P51" s="2">
        <f>--39156.03</f>
        <v>39156.03</v>
      </c>
      <c r="Q51" s="2"/>
      <c r="R51" s="19"/>
      <c r="S51" s="2"/>
      <c r="T51" s="2"/>
      <c r="U51" s="2"/>
      <c r="V51" s="19"/>
      <c r="W51" s="2"/>
      <c r="X51" s="2">
        <f t="shared" si="2"/>
        <v>39156.03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"4142", " - ", "NON-TAXABLE SALES-EVERYDAY GIF")</f>
        <v xml:space="preserve">          4142 - NON-TAXABLE SALES-EVERYDAY GIF</v>
      </c>
      <c r="C52" s="11"/>
      <c r="D52" s="2">
        <f>--16.35</f>
        <v>16.350000000000001</v>
      </c>
      <c r="E52" s="2"/>
      <c r="F52" s="19"/>
      <c r="G52" s="2"/>
      <c r="H52" s="2"/>
      <c r="I52" s="2"/>
      <c r="J52" s="19"/>
      <c r="K52" s="2"/>
      <c r="L52" s="2">
        <f t="shared" si="0"/>
        <v>16.350000000000001</v>
      </c>
      <c r="M52" s="2"/>
      <c r="N52" s="19">
        <f t="shared" si="1"/>
        <v>0</v>
      </c>
      <c r="O52" s="11"/>
      <c r="P52" s="2">
        <f>--2604.45</f>
        <v>2604.4499999999998</v>
      </c>
      <c r="Q52" s="2"/>
      <c r="R52" s="19"/>
      <c r="S52" s="2"/>
      <c r="T52" s="2"/>
      <c r="U52" s="2"/>
      <c r="V52" s="19"/>
      <c r="W52" s="2"/>
      <c r="X52" s="2">
        <f t="shared" si="2"/>
        <v>2604.4499999999998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"4143", " - ", "NON-TAXABLE SALES-CARDS")</f>
        <v xml:space="preserve">          4143 - NON-TAXABLE SALES-CARDS</v>
      </c>
      <c r="C53" s="11"/>
      <c r="D53" s="2">
        <f>--120.71</f>
        <v>120.71</v>
      </c>
      <c r="E53" s="2"/>
      <c r="F53" s="19"/>
      <c r="G53" s="2"/>
      <c r="H53" s="2"/>
      <c r="I53" s="2"/>
      <c r="J53" s="19"/>
      <c r="K53" s="2"/>
      <c r="L53" s="2">
        <f t="shared" si="0"/>
        <v>120.71</v>
      </c>
      <c r="M53" s="2"/>
      <c r="N53" s="19">
        <f t="shared" si="1"/>
        <v>0</v>
      </c>
      <c r="O53" s="11"/>
      <c r="P53" s="2">
        <f>--2552.16</f>
        <v>2552.16</v>
      </c>
      <c r="Q53" s="2"/>
      <c r="R53" s="19"/>
      <c r="S53" s="2"/>
      <c r="T53" s="2"/>
      <c r="U53" s="2"/>
      <c r="V53" s="19"/>
      <c r="W53" s="2"/>
      <c r="X53" s="2">
        <f t="shared" si="2"/>
        <v>2552.16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"4144", " - ", "NON-TAXABLE SALES-ACCESSORIES")</f>
        <v xml:space="preserve">          4144 - NON-TAXABLE SALES-ACCESSORIES</v>
      </c>
      <c r="C54" s="11"/>
      <c r="D54" s="2">
        <f>--164.7</f>
        <v>164.7</v>
      </c>
      <c r="E54" s="2"/>
      <c r="F54" s="19"/>
      <c r="G54" s="2"/>
      <c r="H54" s="2"/>
      <c r="I54" s="2"/>
      <c r="J54" s="19"/>
      <c r="K54" s="2"/>
      <c r="L54" s="2">
        <f t="shared" si="0"/>
        <v>164.7</v>
      </c>
      <c r="M54" s="2"/>
      <c r="N54" s="19">
        <f t="shared" si="1"/>
        <v>0</v>
      </c>
      <c r="O54" s="11"/>
      <c r="P54" s="2">
        <f>--873.8</f>
        <v>873.8</v>
      </c>
      <c r="Q54" s="2"/>
      <c r="R54" s="19"/>
      <c r="S54" s="2"/>
      <c r="T54" s="2"/>
      <c r="U54" s="2"/>
      <c r="V54" s="19"/>
      <c r="W54" s="2"/>
      <c r="X54" s="2">
        <f t="shared" si="2"/>
        <v>873.8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"4145", " - ", "NON-TAXABLE SALES-SPECIAL ORDE")</f>
        <v xml:space="preserve">          4145 - NON-TAXABLE SALES-SPECIAL ORDE</v>
      </c>
      <c r="C55" s="11"/>
      <c r="D55" s="2">
        <f>0</f>
        <v>0</v>
      </c>
      <c r="E55" s="2"/>
      <c r="F55" s="19"/>
      <c r="G55" s="2"/>
      <c r="H55" s="2"/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--74066.89</f>
        <v>74066.89</v>
      </c>
      <c r="Q55" s="2"/>
      <c r="R55" s="19"/>
      <c r="S55" s="2"/>
      <c r="T55" s="2"/>
      <c r="U55" s="2"/>
      <c r="V55" s="19"/>
      <c r="W55" s="2"/>
      <c r="X55" s="2">
        <f t="shared" si="2"/>
        <v>74066.89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"4146", " - ", "NON-TAXABLE SALES-COIN OP MACH")</f>
        <v xml:space="preserve">          4146 - NON-TAXABLE SALES-COIN OP MACH</v>
      </c>
      <c r="C56" s="11"/>
      <c r="D56" s="2">
        <f>--56.6</f>
        <v>56.6</v>
      </c>
      <c r="E56" s="2"/>
      <c r="F56" s="19"/>
      <c r="G56" s="2"/>
      <c r="H56" s="2"/>
      <c r="I56" s="2"/>
      <c r="J56" s="19"/>
      <c r="K56" s="2"/>
      <c r="L56" s="2">
        <f t="shared" si="0"/>
        <v>56.6</v>
      </c>
      <c r="M56" s="2"/>
      <c r="N56" s="19">
        <f t="shared" si="1"/>
        <v>0</v>
      </c>
      <c r="O56" s="11"/>
      <c r="P56" s="2">
        <f>--385.9</f>
        <v>385.9</v>
      </c>
      <c r="Q56" s="2"/>
      <c r="R56" s="19"/>
      <c r="S56" s="2"/>
      <c r="T56" s="2"/>
      <c r="U56" s="2"/>
      <c r="V56" s="19"/>
      <c r="W56" s="2"/>
      <c r="X56" s="2">
        <f t="shared" si="2"/>
        <v>385.9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"4147", " - ", "NON-TAXABLE SALES-MISC")</f>
        <v xml:space="preserve">          4147 - NON-TAXABLE SALES-MISC</v>
      </c>
      <c r="C57" s="11"/>
      <c r="D57" s="2">
        <f>--13.5</f>
        <v>13.5</v>
      </c>
      <c r="E57" s="2"/>
      <c r="F57" s="19"/>
      <c r="G57" s="2"/>
      <c r="H57" s="2"/>
      <c r="I57" s="2"/>
      <c r="J57" s="19"/>
      <c r="K57" s="2"/>
      <c r="L57" s="2">
        <f t="shared" si="0"/>
        <v>13.5</v>
      </c>
      <c r="M57" s="2"/>
      <c r="N57" s="19">
        <f t="shared" si="1"/>
        <v>0</v>
      </c>
      <c r="O57" s="11"/>
      <c r="P57" s="2">
        <f>--168</f>
        <v>168</v>
      </c>
      <c r="Q57" s="2"/>
      <c r="R57" s="19"/>
      <c r="S57" s="2"/>
      <c r="T57" s="2"/>
      <c r="U57" s="2"/>
      <c r="V57" s="19"/>
      <c r="W57" s="2"/>
      <c r="X57" s="2">
        <f t="shared" si="2"/>
        <v>168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"4201", " - ", "SALES RETURN TAXABLE-NEW TEXT")</f>
        <v xml:space="preserve">          4201 - SALES RETURN TAXABLE-NEW TEXT</v>
      </c>
      <c r="C58" s="11"/>
      <c r="D58" s="2">
        <f>-658.4</f>
        <v>-658.4</v>
      </c>
      <c r="E58" s="2"/>
      <c r="F58" s="19"/>
      <c r="G58" s="2"/>
      <c r="H58" s="2"/>
      <c r="I58" s="2"/>
      <c r="J58" s="19"/>
      <c r="K58" s="2"/>
      <c r="L58" s="2">
        <f t="shared" si="0"/>
        <v>-658.4</v>
      </c>
      <c r="M58" s="2"/>
      <c r="N58" s="19">
        <f t="shared" si="1"/>
        <v>0</v>
      </c>
      <c r="O58" s="11"/>
      <c r="P58" s="2">
        <f>-52296.42</f>
        <v>-52296.42</v>
      </c>
      <c r="Q58" s="2"/>
      <c r="R58" s="19"/>
      <c r="S58" s="2"/>
      <c r="T58" s="2"/>
      <c r="U58" s="2"/>
      <c r="V58" s="19"/>
      <c r="W58" s="2"/>
      <c r="X58" s="2">
        <f t="shared" si="2"/>
        <v>-52296.42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"4202", " - ", "SALES RETURN TAXABLE-USED TEXT")</f>
        <v xml:space="preserve">          4202 - SALES RETURN TAXABLE-USED TEXT</v>
      </c>
      <c r="C59" s="11"/>
      <c r="D59" s="2">
        <f>-359.4</f>
        <v>-359.4</v>
      </c>
      <c r="E59" s="2"/>
      <c r="F59" s="19"/>
      <c r="G59" s="2"/>
      <c r="H59" s="2"/>
      <c r="I59" s="2"/>
      <c r="J59" s="19"/>
      <c r="K59" s="2"/>
      <c r="L59" s="2">
        <f t="shared" si="0"/>
        <v>-359.4</v>
      </c>
      <c r="M59" s="2"/>
      <c r="N59" s="19">
        <f t="shared" si="1"/>
        <v>0</v>
      </c>
      <c r="O59" s="11"/>
      <c r="P59" s="2">
        <f>-20455.66</f>
        <v>-20455.66</v>
      </c>
      <c r="Q59" s="2"/>
      <c r="R59" s="19"/>
      <c r="S59" s="2"/>
      <c r="T59" s="2"/>
      <c r="U59" s="2"/>
      <c r="V59" s="19"/>
      <c r="W59" s="2"/>
      <c r="X59" s="2">
        <f t="shared" si="2"/>
        <v>-20455.66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"4204", " - ", "SALES RETURN TAXABLE-DIGITAL T")</f>
        <v xml:space="preserve">          4204 - SALES RETURN TAXABLE-DIGITAL T</v>
      </c>
      <c r="C60" s="11"/>
      <c r="D60" s="2">
        <f>0</f>
        <v>0</v>
      </c>
      <c r="E60" s="2"/>
      <c r="F60" s="19"/>
      <c r="G60" s="2"/>
      <c r="H60" s="2"/>
      <c r="I60" s="2"/>
      <c r="J60" s="19"/>
      <c r="K60" s="2"/>
      <c r="L60" s="2">
        <f t="shared" si="0"/>
        <v>0</v>
      </c>
      <c r="M60" s="2"/>
      <c r="N60" s="19">
        <f t="shared" si="1"/>
        <v>0</v>
      </c>
      <c r="O60" s="11"/>
      <c r="P60" s="2">
        <f>-1763.1</f>
        <v>-1763.1</v>
      </c>
      <c r="Q60" s="2"/>
      <c r="R60" s="19"/>
      <c r="S60" s="2"/>
      <c r="T60" s="2"/>
      <c r="U60" s="2"/>
      <c r="V60" s="19"/>
      <c r="W60" s="2"/>
      <c r="X60" s="2">
        <f t="shared" si="2"/>
        <v>-1763.1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"4213", " - ", "NON-TAXABLE SALES-TRADE BOOKS")</f>
        <v xml:space="preserve">          4213 - NON-TAXABLE SALES-TRADE BOOKS</v>
      </c>
      <c r="C61" s="11"/>
      <c r="D61" s="2">
        <f>-8.99</f>
        <v>-8.99</v>
      </c>
      <c r="E61" s="2"/>
      <c r="F61" s="19"/>
      <c r="G61" s="2"/>
      <c r="H61" s="2"/>
      <c r="I61" s="2"/>
      <c r="J61" s="19"/>
      <c r="K61" s="2"/>
      <c r="L61" s="2">
        <f t="shared" si="0"/>
        <v>-8.99</v>
      </c>
      <c r="M61" s="2"/>
      <c r="N61" s="19">
        <f t="shared" si="1"/>
        <v>0</v>
      </c>
      <c r="O61" s="11"/>
      <c r="P61" s="2">
        <f>-78.92</f>
        <v>-78.92</v>
      </c>
      <c r="Q61" s="2"/>
      <c r="R61" s="19"/>
      <c r="S61" s="2"/>
      <c r="T61" s="2"/>
      <c r="U61" s="2"/>
      <c r="V61" s="19"/>
      <c r="W61" s="2"/>
      <c r="X61" s="2">
        <f t="shared" si="2"/>
        <v>-78.92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"4218", " - ", "SALES RETURN TAXABLE-STUDY GUI")</f>
        <v xml:space="preserve">          4218 - SALES RETURN TAXABLE-STUDY GUI</v>
      </c>
      <c r="C62" s="11"/>
      <c r="D62" s="2">
        <f>0</f>
        <v>0</v>
      </c>
      <c r="E62" s="2"/>
      <c r="F62" s="19"/>
      <c r="G62" s="2"/>
      <c r="H62" s="2"/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-5.21</f>
        <v>-5.21</v>
      </c>
      <c r="Q62" s="2"/>
      <c r="R62" s="19"/>
      <c r="S62" s="2"/>
      <c r="T62" s="2"/>
      <c r="U62" s="2"/>
      <c r="V62" s="19"/>
      <c r="W62" s="2"/>
      <c r="X62" s="2">
        <f t="shared" si="2"/>
        <v>-5.21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"4226", " - ", "SALES RETURN TAXABLE-WRITING I")</f>
        <v xml:space="preserve">          4226 - SALES RETURN TAXABLE-WRITING I</v>
      </c>
      <c r="C63" s="11"/>
      <c r="D63" s="2">
        <f>-0.79</f>
        <v>-0.79</v>
      </c>
      <c r="E63" s="2"/>
      <c r="F63" s="19"/>
      <c r="G63" s="2"/>
      <c r="H63" s="2"/>
      <c r="I63" s="2"/>
      <c r="J63" s="19"/>
      <c r="K63" s="2"/>
      <c r="L63" s="2">
        <f t="shared" si="0"/>
        <v>-0.79</v>
      </c>
      <c r="M63" s="2"/>
      <c r="N63" s="19">
        <f t="shared" si="1"/>
        <v>0</v>
      </c>
      <c r="O63" s="11"/>
      <c r="P63" s="2">
        <f>-35.02</f>
        <v>-35.020000000000003</v>
      </c>
      <c r="Q63" s="2"/>
      <c r="R63" s="19"/>
      <c r="S63" s="2"/>
      <c r="T63" s="2"/>
      <c r="U63" s="2"/>
      <c r="V63" s="19"/>
      <c r="W63" s="2"/>
      <c r="X63" s="2">
        <f t="shared" si="2"/>
        <v>-35.020000000000003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"4227", " - ", "SALES RETURN TAXABLE-SCHOOL SU")</f>
        <v xml:space="preserve">          4227 - SALES RETURN TAXABLE-SCHOOL SU</v>
      </c>
      <c r="C64" s="11"/>
      <c r="D64" s="2">
        <f>-137.82</f>
        <v>-137.82</v>
      </c>
      <c r="E64" s="2"/>
      <c r="F64" s="19"/>
      <c r="G64" s="2"/>
      <c r="H64" s="2"/>
      <c r="I64" s="2"/>
      <c r="J64" s="19"/>
      <c r="K64" s="2"/>
      <c r="L64" s="2">
        <f t="shared" si="0"/>
        <v>-137.82</v>
      </c>
      <c r="M64" s="2"/>
      <c r="N64" s="19">
        <f t="shared" si="1"/>
        <v>0</v>
      </c>
      <c r="O64" s="11"/>
      <c r="P64" s="2">
        <f>-1484.48</f>
        <v>-1484.48</v>
      </c>
      <c r="Q64" s="2"/>
      <c r="R64" s="19"/>
      <c r="S64" s="2"/>
      <c r="T64" s="2"/>
      <c r="U64" s="2"/>
      <c r="V64" s="19"/>
      <c r="W64" s="2"/>
      <c r="X64" s="2">
        <f t="shared" si="2"/>
        <v>-1484.48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"4228", " - ", "SALES RETURN TAXABLE-ART/TECH")</f>
        <v xml:space="preserve">          4228 - SALES RETURN TAXABLE-ART/TECH</v>
      </c>
      <c r="C65" s="11"/>
      <c r="D65" s="2">
        <f>0</f>
        <v>0</v>
      </c>
      <c r="E65" s="2"/>
      <c r="F65" s="19"/>
      <c r="G65" s="2"/>
      <c r="H65" s="2"/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-12973.73</f>
        <v>-12973.73</v>
      </c>
      <c r="Q65" s="2"/>
      <c r="R65" s="19"/>
      <c r="S65" s="2"/>
      <c r="T65" s="2"/>
      <c r="U65" s="2"/>
      <c r="V65" s="19"/>
      <c r="W65" s="2"/>
      <c r="X65" s="2">
        <f t="shared" si="2"/>
        <v>-12973.73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"4240", " - ", "SALES RETURN TAXABLE-LOGO CLOT")</f>
        <v xml:space="preserve">          4240 - SALES RETURN TAXABLE-LOGO CLOT</v>
      </c>
      <c r="C66" s="11"/>
      <c r="D66" s="2">
        <f>-6427.17</f>
        <v>-6427.17</v>
      </c>
      <c r="E66" s="2"/>
      <c r="F66" s="19"/>
      <c r="G66" s="2"/>
      <c r="H66" s="2"/>
      <c r="I66" s="2"/>
      <c r="J66" s="19"/>
      <c r="K66" s="2"/>
      <c r="L66" s="2">
        <f t="shared" si="0"/>
        <v>-6427.17</v>
      </c>
      <c r="M66" s="2"/>
      <c r="N66" s="19">
        <f t="shared" si="1"/>
        <v>0</v>
      </c>
      <c r="O66" s="11"/>
      <c r="P66" s="2">
        <f>-47093.44</f>
        <v>-47093.440000000002</v>
      </c>
      <c r="Q66" s="2"/>
      <c r="R66" s="19"/>
      <c r="S66" s="2"/>
      <c r="T66" s="2"/>
      <c r="U66" s="2"/>
      <c r="V66" s="19"/>
      <c r="W66" s="2"/>
      <c r="X66" s="2">
        <f t="shared" si="2"/>
        <v>-47093.440000000002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"4241", " - ", "SALES RETURN TAXABLE-LOGO GIFT")</f>
        <v xml:space="preserve">          4241 - SALES RETURN TAXABLE-LOGO GIFT</v>
      </c>
      <c r="C67" s="11"/>
      <c r="D67" s="2">
        <f>-4505.29</f>
        <v>-4505.29</v>
      </c>
      <c r="E67" s="2"/>
      <c r="F67" s="19"/>
      <c r="G67" s="2"/>
      <c r="H67" s="2"/>
      <c r="I67" s="2"/>
      <c r="J67" s="19"/>
      <c r="K67" s="2"/>
      <c r="L67" s="2">
        <f t="shared" si="0"/>
        <v>-4505.29</v>
      </c>
      <c r="M67" s="2"/>
      <c r="N67" s="19">
        <f t="shared" si="1"/>
        <v>0</v>
      </c>
      <c r="O67" s="11"/>
      <c r="P67" s="2">
        <f>-16680.54</f>
        <v>-16680.54</v>
      </c>
      <c r="Q67" s="2"/>
      <c r="R67" s="19"/>
      <c r="S67" s="2"/>
      <c r="T67" s="2"/>
      <c r="U67" s="2"/>
      <c r="V67" s="19"/>
      <c r="W67" s="2"/>
      <c r="X67" s="2">
        <f t="shared" si="2"/>
        <v>-16680.54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"4242", " - ", "SALES RETURN TAXABLE-EVERYDAY")</f>
        <v xml:space="preserve">          4242 - SALES RETURN TAXABLE-EVERYDAY</v>
      </c>
      <c r="C68" s="11"/>
      <c r="D68" s="2">
        <f>-107</f>
        <v>-107</v>
      </c>
      <c r="E68" s="2"/>
      <c r="F68" s="19"/>
      <c r="G68" s="2"/>
      <c r="H68" s="2"/>
      <c r="I68" s="2"/>
      <c r="J68" s="19"/>
      <c r="K68" s="2"/>
      <c r="L68" s="2">
        <f t="shared" si="0"/>
        <v>-107</v>
      </c>
      <c r="M68" s="2"/>
      <c r="N68" s="19">
        <f t="shared" si="1"/>
        <v>0</v>
      </c>
      <c r="O68" s="11"/>
      <c r="P68" s="2">
        <f>-2743.09</f>
        <v>-2743.09</v>
      </c>
      <c r="Q68" s="2"/>
      <c r="R68" s="19"/>
      <c r="S68" s="2"/>
      <c r="T68" s="2"/>
      <c r="U68" s="2"/>
      <c r="V68" s="19"/>
      <c r="W68" s="2"/>
      <c r="X68" s="2">
        <f t="shared" si="2"/>
        <v>-2743.09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"4243", " - ", "SALES RETURN TAXABLE-CARDS")</f>
        <v xml:space="preserve">          4243 - SALES RETURN TAXABLE-CARDS</v>
      </c>
      <c r="C69" s="11"/>
      <c r="D69" s="2">
        <f>-76.9</f>
        <v>-76.900000000000006</v>
      </c>
      <c r="E69" s="2"/>
      <c r="F69" s="19"/>
      <c r="G69" s="2"/>
      <c r="H69" s="2"/>
      <c r="I69" s="2"/>
      <c r="J69" s="19"/>
      <c r="K69" s="2"/>
      <c r="L69" s="2">
        <f t="shared" si="0"/>
        <v>-76.900000000000006</v>
      </c>
      <c r="M69" s="2"/>
      <c r="N69" s="19">
        <f t="shared" si="1"/>
        <v>0</v>
      </c>
      <c r="O69" s="11"/>
      <c r="P69" s="2">
        <f>-6218.99</f>
        <v>-6218.99</v>
      </c>
      <c r="Q69" s="2"/>
      <c r="R69" s="19"/>
      <c r="S69" s="2"/>
      <c r="T69" s="2"/>
      <c r="U69" s="2"/>
      <c r="V69" s="19"/>
      <c r="W69" s="2"/>
      <c r="X69" s="2">
        <f t="shared" si="2"/>
        <v>-6218.99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"4244", " - ", "SALES RETURN TAXABLE-ACCESSORI")</f>
        <v xml:space="preserve">          4244 - SALES RETURN TAXABLE-ACCESSORI</v>
      </c>
      <c r="C70" s="11"/>
      <c r="D70" s="2">
        <f>-24.41</f>
        <v>-24.41</v>
      </c>
      <c r="E70" s="2"/>
      <c r="F70" s="19"/>
      <c r="G70" s="2"/>
      <c r="H70" s="2"/>
      <c r="I70" s="2"/>
      <c r="J70" s="19"/>
      <c r="K70" s="2"/>
      <c r="L70" s="2">
        <f t="shared" si="0"/>
        <v>-24.41</v>
      </c>
      <c r="M70" s="2"/>
      <c r="N70" s="19">
        <f t="shared" si="1"/>
        <v>0</v>
      </c>
      <c r="O70" s="11"/>
      <c r="P70" s="2">
        <f>-1267.91</f>
        <v>-1267.9100000000001</v>
      </c>
      <c r="Q70" s="2"/>
      <c r="R70" s="19"/>
      <c r="S70" s="2"/>
      <c r="T70" s="2"/>
      <c r="U70" s="2"/>
      <c r="V70" s="19"/>
      <c r="W70" s="2"/>
      <c r="X70" s="2">
        <f t="shared" si="2"/>
        <v>-1267.9100000000001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"4245", " - ", "SALES RETURN TAXABLE-SPECIAL O")</f>
        <v xml:space="preserve">          4245 - SALES RETURN TAXABLE-SPECIAL O</v>
      </c>
      <c r="C71" s="11"/>
      <c r="D71" s="2">
        <f>-36</f>
        <v>-36</v>
      </c>
      <c r="E71" s="2"/>
      <c r="F71" s="19"/>
      <c r="G71" s="2"/>
      <c r="H71" s="2"/>
      <c r="I71" s="2"/>
      <c r="J71" s="19"/>
      <c r="K71" s="2"/>
      <c r="L71" s="2">
        <f t="shared" si="0"/>
        <v>-36</v>
      </c>
      <c r="M71" s="2"/>
      <c r="N71" s="19">
        <f t="shared" si="1"/>
        <v>0</v>
      </c>
      <c r="O71" s="11"/>
      <c r="P71" s="2">
        <f>-15460.73</f>
        <v>-15460.73</v>
      </c>
      <c r="Q71" s="2"/>
      <c r="R71" s="19"/>
      <c r="S71" s="2"/>
      <c r="T71" s="2"/>
      <c r="U71" s="2"/>
      <c r="V71" s="19"/>
      <c r="W71" s="2"/>
      <c r="X71" s="2">
        <f t="shared" si="2"/>
        <v>-15460.73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"4301", " - ", "SALES RETURN NON TAXABLE-NEW T")</f>
        <v xml:space="preserve">          4301 - SALES RETURN NON TAXABLE-NEW T</v>
      </c>
      <c r="C72" s="11"/>
      <c r="D72" s="2">
        <f>-1333.16</f>
        <v>-1333.16</v>
      </c>
      <c r="E72" s="2"/>
      <c r="F72" s="19"/>
      <c r="G72" s="2"/>
      <c r="H72" s="2"/>
      <c r="I72" s="2"/>
      <c r="J72" s="19"/>
      <c r="K72" s="2"/>
      <c r="L72" s="2">
        <f t="shared" si="0"/>
        <v>-1333.16</v>
      </c>
      <c r="M72" s="2"/>
      <c r="N72" s="19">
        <f t="shared" si="1"/>
        <v>0</v>
      </c>
      <c r="O72" s="11"/>
      <c r="P72" s="2">
        <f>-4796.36</f>
        <v>-4796.3599999999997</v>
      </c>
      <c r="Q72" s="2"/>
      <c r="R72" s="19"/>
      <c r="S72" s="2"/>
      <c r="T72" s="2"/>
      <c r="U72" s="2"/>
      <c r="V72" s="19"/>
      <c r="W72" s="2"/>
      <c r="X72" s="2">
        <f t="shared" si="2"/>
        <v>-4796.3599999999997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"4302", " - ", "SALES RETURN NON TAXABLE-TEXT")</f>
        <v xml:space="preserve">          4302 - SALES RETURN NON TAXABLE-TEXT</v>
      </c>
      <c r="C73" s="11"/>
      <c r="D73" s="2">
        <f>-134.22</f>
        <v>-134.22</v>
      </c>
      <c r="E73" s="2"/>
      <c r="F73" s="19"/>
      <c r="G73" s="2"/>
      <c r="H73" s="2"/>
      <c r="I73" s="2"/>
      <c r="J73" s="19"/>
      <c r="K73" s="2"/>
      <c r="L73" s="2">
        <f t="shared" si="0"/>
        <v>-134.22</v>
      </c>
      <c r="M73" s="2"/>
      <c r="N73" s="19">
        <f t="shared" si="1"/>
        <v>0</v>
      </c>
      <c r="O73" s="11"/>
      <c r="P73" s="2">
        <f>-2577.54</f>
        <v>-2577.54</v>
      </c>
      <c r="Q73" s="2"/>
      <c r="R73" s="19"/>
      <c r="S73" s="2"/>
      <c r="T73" s="2"/>
      <c r="U73" s="2"/>
      <c r="V73" s="19"/>
      <c r="W73" s="2"/>
      <c r="X73" s="2">
        <f t="shared" si="2"/>
        <v>-2577.54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"4304", " - ", "SALES RETURN NON TAXABLE-DIGIT")</f>
        <v xml:space="preserve">          4304 - SALES RETURN NON TAXABLE-DIGIT</v>
      </c>
      <c r="C74" s="11"/>
      <c r="D74" s="2">
        <f>-3338.22</f>
        <v>-3338.22</v>
      </c>
      <c r="E74" s="2"/>
      <c r="F74" s="19"/>
      <c r="G74" s="2"/>
      <c r="H74" s="2"/>
      <c r="I74" s="2"/>
      <c r="J74" s="19"/>
      <c r="K74" s="2"/>
      <c r="L74" s="2">
        <f t="shared" si="0"/>
        <v>-3338.22</v>
      </c>
      <c r="M74" s="2"/>
      <c r="N74" s="19">
        <f t="shared" si="1"/>
        <v>0</v>
      </c>
      <c r="O74" s="11"/>
      <c r="P74" s="2">
        <f>-30881.98</f>
        <v>-30881.98</v>
      </c>
      <c r="Q74" s="2"/>
      <c r="R74" s="19"/>
      <c r="S74" s="2"/>
      <c r="T74" s="2"/>
      <c r="U74" s="2"/>
      <c r="V74" s="19"/>
      <c r="W74" s="2"/>
      <c r="X74" s="2">
        <f t="shared" si="2"/>
        <v>-30881.98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"4327", " - ", "SALES RETURN NON TAXABLE-SCHOO")</f>
        <v xml:space="preserve">          4327 - SALES RETURN NON TAXABLE-SCHOO</v>
      </c>
      <c r="C75" s="11"/>
      <c r="D75" s="2">
        <f>-17.41</f>
        <v>-17.41</v>
      </c>
      <c r="E75" s="2"/>
      <c r="F75" s="19"/>
      <c r="G75" s="2"/>
      <c r="H75" s="2"/>
      <c r="I75" s="2"/>
      <c r="J75" s="19"/>
      <c r="K75" s="2"/>
      <c r="L75" s="2">
        <f t="shared" si="0"/>
        <v>-17.41</v>
      </c>
      <c r="M75" s="2"/>
      <c r="N75" s="19">
        <f t="shared" si="1"/>
        <v>0</v>
      </c>
      <c r="O75" s="11"/>
      <c r="P75" s="2">
        <f>-17.41</f>
        <v>-17.41</v>
      </c>
      <c r="Q75" s="2"/>
      <c r="R75" s="19"/>
      <c r="S75" s="2"/>
      <c r="T75" s="2"/>
      <c r="U75" s="2"/>
      <c r="V75" s="19"/>
      <c r="W75" s="2"/>
      <c r="X75" s="2">
        <f t="shared" si="2"/>
        <v>-17.41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"4340", " - ", "SALES RETURN NON TAXABLE-LOGO")</f>
        <v xml:space="preserve">          4340 - SALES RETURN NON TAXABLE-LOGO</v>
      </c>
      <c r="C76" s="11"/>
      <c r="D76" s="2">
        <f>-143.74</f>
        <v>-143.74</v>
      </c>
      <c r="E76" s="2"/>
      <c r="F76" s="19"/>
      <c r="G76" s="2"/>
      <c r="H76" s="2"/>
      <c r="I76" s="2"/>
      <c r="J76" s="19"/>
      <c r="K76" s="2"/>
      <c r="L76" s="2">
        <f t="shared" si="0"/>
        <v>-143.74</v>
      </c>
      <c r="M76" s="2"/>
      <c r="N76" s="19">
        <f t="shared" si="1"/>
        <v>0</v>
      </c>
      <c r="O76" s="11"/>
      <c r="P76" s="2">
        <f>-3451.26</f>
        <v>-3451.26</v>
      </c>
      <c r="Q76" s="2"/>
      <c r="R76" s="19"/>
      <c r="S76" s="2"/>
      <c r="T76" s="2"/>
      <c r="U76" s="2"/>
      <c r="V76" s="19"/>
      <c r="W76" s="2"/>
      <c r="X76" s="2">
        <f t="shared" si="2"/>
        <v>-3451.26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"4341", " - ", "SALES RETURN NON TAXABLE-LOGO")</f>
        <v xml:space="preserve">          4341 - SALES RETURN NON TAXABLE-LOGO</v>
      </c>
      <c r="C77" s="11"/>
      <c r="D77" s="2">
        <f>-104.3</f>
        <v>-104.3</v>
      </c>
      <c r="E77" s="2"/>
      <c r="F77" s="19"/>
      <c r="G77" s="2"/>
      <c r="H77" s="2"/>
      <c r="I77" s="2"/>
      <c r="J77" s="19"/>
      <c r="K77" s="2"/>
      <c r="L77" s="2">
        <f t="shared" si="0"/>
        <v>-104.3</v>
      </c>
      <c r="M77" s="2"/>
      <c r="N77" s="19">
        <f t="shared" si="1"/>
        <v>0</v>
      </c>
      <c r="O77" s="11"/>
      <c r="P77" s="2">
        <f>-506.74</f>
        <v>-506.74</v>
      </c>
      <c r="Q77" s="2"/>
      <c r="R77" s="19"/>
      <c r="S77" s="2"/>
      <c r="T77" s="2"/>
      <c r="U77" s="2"/>
      <c r="V77" s="19"/>
      <c r="W77" s="2"/>
      <c r="X77" s="2">
        <f t="shared" si="2"/>
        <v>-506.74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"4342", " - ", "SALES RETURN NON TAXABLE-EVERY")</f>
        <v xml:space="preserve">          4342 - SALES RETURN NON TAXABLE-EVERY</v>
      </c>
      <c r="C78" s="11"/>
      <c r="D78" s="2">
        <f>0</f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-118.7</f>
        <v>-118.7</v>
      </c>
      <c r="Q78" s="2"/>
      <c r="R78" s="19"/>
      <c r="S78" s="2"/>
      <c r="T78" s="2"/>
      <c r="U78" s="2"/>
      <c r="V78" s="19"/>
      <c r="W78" s="2"/>
      <c r="X78" s="2">
        <f t="shared" si="2"/>
        <v>-118.7</v>
      </c>
      <c r="Y78" s="2"/>
      <c r="Z78" s="19">
        <f t="shared" si="3"/>
        <v>0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collapsed="1" x14ac:dyDescent="0.25">
      <c r="A80" s="10"/>
      <c r="B80" s="29" t="s">
        <v>257</v>
      </c>
      <c r="C80" s="10"/>
      <c r="D80" s="4">
        <f>SUM(OSRRefD16x_0)</f>
        <v>248623.07</v>
      </c>
      <c r="E80" s="4"/>
      <c r="F80" s="12">
        <f t="shared" ref="F80:F119" si="7">IF(D$12=0,0,D80/D$12)</f>
        <v>0.49061078611326941</v>
      </c>
      <c r="G80" s="4"/>
      <c r="H80" s="4">
        <f>SUM(OSRRefH16x_0)</f>
        <v>264387</v>
      </c>
      <c r="I80" s="4"/>
      <c r="J80" s="12">
        <f t="shared" ref="J80:J119" si="8">IF(H$12=0,0,H80/H$12)</f>
        <v>0.45357724316469744</v>
      </c>
      <c r="K80" s="4"/>
      <c r="L80" s="4">
        <f t="shared" ref="L80:L119" si="9">+D80-H80</f>
        <v>-15763.929999999993</v>
      </c>
      <c r="M80" s="4"/>
      <c r="N80" s="12">
        <f t="shared" ref="N80:N119" si="10">IF(H80=0,0,L80/H80)</f>
        <v>-5.9624452034328437E-2</v>
      </c>
      <c r="O80" s="10"/>
      <c r="P80" s="4">
        <f>SUM(OSRRefP16x_0)</f>
        <v>3192780.8200000008</v>
      </c>
      <c r="Q80" s="4"/>
      <c r="R80" s="12">
        <f t="shared" ref="R80:R119" si="11">IF(P$12=0,0,P80/P$12)</f>
        <v>0.61288819083134038</v>
      </c>
      <c r="S80" s="4"/>
      <c r="T80" s="4">
        <f>SUM(OSRRefT16x_0)</f>
        <v>5049200</v>
      </c>
      <c r="U80" s="4"/>
      <c r="V80" s="12">
        <f t="shared" ref="V80:V119" si="12">IF(T$12=0,0,T80/T$12)</f>
        <v>0.57536157518620457</v>
      </c>
      <c r="W80" s="4"/>
      <c r="X80" s="4">
        <f t="shared" ref="X80:X119" si="13">+P80-T80</f>
        <v>-1856419.1799999992</v>
      </c>
      <c r="Y80" s="4"/>
      <c r="Z80" s="12">
        <f t="shared" ref="Z80:Z119" si="14">IF(T80=0,0,X80/T80)</f>
        <v>-0.36766600253505488</v>
      </c>
    </row>
    <row r="81" spans="1:26" s="24" customFormat="1" hidden="1" outlineLevel="1" x14ac:dyDescent="0.25">
      <c r="A81" s="44"/>
      <c r="B81" s="11" t="str">
        <f>CONCATENATE("          ", "5000", " - ", "PURCHASES @ COST")</f>
        <v xml:space="preserve">          5000 - PURCHASES @ COST</v>
      </c>
      <c r="C81" s="11"/>
      <c r="D81" s="2"/>
      <c r="E81" s="2"/>
      <c r="F81" s="19">
        <f t="shared" si="7"/>
        <v>0</v>
      </c>
      <c r="G81" s="2"/>
      <c r="H81" s="2">
        <v>264387</v>
      </c>
      <c r="I81" s="2"/>
      <c r="J81" s="19">
        <f t="shared" si="8"/>
        <v>0.45357724316469744</v>
      </c>
      <c r="K81" s="2"/>
      <c r="L81" s="2">
        <f t="shared" si="9"/>
        <v>-264387</v>
      </c>
      <c r="M81" s="2"/>
      <c r="N81" s="19">
        <f t="shared" si="10"/>
        <v>-1</v>
      </c>
      <c r="O81" s="11"/>
      <c r="P81" s="2">
        <v>0</v>
      </c>
      <c r="Q81" s="2"/>
      <c r="R81" s="19">
        <f t="shared" si="11"/>
        <v>0</v>
      </c>
      <c r="S81" s="2"/>
      <c r="T81" s="2">
        <v>5049200</v>
      </c>
      <c r="U81" s="2"/>
      <c r="V81" s="19">
        <f t="shared" si="12"/>
        <v>0.57536157518620457</v>
      </c>
      <c r="W81" s="2"/>
      <c r="X81" s="2">
        <f t="shared" si="13"/>
        <v>-5049200</v>
      </c>
      <c r="Y81" s="2"/>
      <c r="Z81" s="19">
        <f t="shared" si="14"/>
        <v>-1</v>
      </c>
    </row>
    <row r="82" spans="1:26" s="24" customFormat="1" hidden="1" outlineLevel="1" x14ac:dyDescent="0.25">
      <c r="A82" s="44"/>
      <c r="B82" s="11" t="str">
        <f>CONCATENATE("          ", "5001", " - ", "PURCHASES @ COST-NEW TEXT")</f>
        <v xml:space="preserve">          5001 - PURCHASES @ COST-NEW TEXT</v>
      </c>
      <c r="C82" s="11"/>
      <c r="D82" s="2">
        <v>65020.01</v>
      </c>
      <c r="E82" s="2"/>
      <c r="F82" s="19">
        <f t="shared" si="7"/>
        <v>0.12830473945636919</v>
      </c>
      <c r="G82" s="2"/>
      <c r="H82" s="2"/>
      <c r="I82" s="2"/>
      <c r="J82" s="19">
        <f t="shared" si="8"/>
        <v>0</v>
      </c>
      <c r="K82" s="2"/>
      <c r="L82" s="2">
        <f t="shared" si="9"/>
        <v>65020.01</v>
      </c>
      <c r="M82" s="2"/>
      <c r="N82" s="19">
        <f t="shared" si="10"/>
        <v>0</v>
      </c>
      <c r="O82" s="11"/>
      <c r="P82" s="2">
        <v>1071566.48</v>
      </c>
      <c r="Q82" s="2"/>
      <c r="R82" s="19">
        <f t="shared" si="11"/>
        <v>0.20569856758369887</v>
      </c>
      <c r="S82" s="2"/>
      <c r="T82" s="2"/>
      <c r="U82" s="2"/>
      <c r="V82" s="19">
        <f t="shared" si="12"/>
        <v>0</v>
      </c>
      <c r="W82" s="2"/>
      <c r="X82" s="2">
        <f t="shared" si="13"/>
        <v>1071566.48</v>
      </c>
      <c r="Y82" s="2"/>
      <c r="Z82" s="19">
        <f t="shared" si="14"/>
        <v>0</v>
      </c>
    </row>
    <row r="83" spans="1:26" s="24" customFormat="1" hidden="1" outlineLevel="1" x14ac:dyDescent="0.25">
      <c r="A83" s="44"/>
      <c r="B83" s="11" t="str">
        <f>CONCATENATE("          ", "5002", " - ", "PURCHASES @ COST-USED TEXT")</f>
        <v xml:space="preserve">          5002 - PURCHASES @ COST-USED TEXT</v>
      </c>
      <c r="C83" s="11"/>
      <c r="D83" s="2">
        <v>4952.26</v>
      </c>
      <c r="E83" s="2"/>
      <c r="F83" s="19">
        <f t="shared" si="7"/>
        <v>9.772352065467213E-3</v>
      </c>
      <c r="G83" s="2"/>
      <c r="H83" s="2"/>
      <c r="I83" s="2"/>
      <c r="J83" s="19">
        <f t="shared" si="8"/>
        <v>0</v>
      </c>
      <c r="K83" s="2"/>
      <c r="L83" s="2">
        <f t="shared" si="9"/>
        <v>4952.26</v>
      </c>
      <c r="M83" s="2"/>
      <c r="N83" s="19">
        <f t="shared" si="10"/>
        <v>0</v>
      </c>
      <c r="O83" s="11"/>
      <c r="P83" s="2">
        <v>279913.28000000003</v>
      </c>
      <c r="Q83" s="2"/>
      <c r="R83" s="19">
        <f t="shared" si="11"/>
        <v>5.3732327222156887E-2</v>
      </c>
      <c r="S83" s="2"/>
      <c r="T83" s="2"/>
      <c r="U83" s="2"/>
      <c r="V83" s="19">
        <f t="shared" si="12"/>
        <v>0</v>
      </c>
      <c r="W83" s="2"/>
      <c r="X83" s="2">
        <f t="shared" si="13"/>
        <v>279913.28000000003</v>
      </c>
      <c r="Y83" s="2"/>
      <c r="Z83" s="19">
        <f t="shared" si="14"/>
        <v>0</v>
      </c>
    </row>
    <row r="84" spans="1:26" s="24" customFormat="1" hidden="1" outlineLevel="1" x14ac:dyDescent="0.25">
      <c r="A84" s="44"/>
      <c r="B84" s="11" t="str">
        <f>CONCATENATE("          ", "5003", " - ", "PURCHASES @ COST-RENTAL TEXT")</f>
        <v xml:space="preserve">          5003 - PURCHASES @ COST-RENTAL TEXT</v>
      </c>
      <c r="C84" s="11"/>
      <c r="D84" s="2">
        <v>7179.56</v>
      </c>
      <c r="E84" s="2"/>
      <c r="F84" s="19">
        <f t="shared" si="7"/>
        <v>1.4167508974719783E-2</v>
      </c>
      <c r="G84" s="2"/>
      <c r="H84" s="2"/>
      <c r="I84" s="2"/>
      <c r="J84" s="19">
        <f t="shared" si="8"/>
        <v>0</v>
      </c>
      <c r="K84" s="2"/>
      <c r="L84" s="2">
        <f t="shared" si="9"/>
        <v>7179.56</v>
      </c>
      <c r="M84" s="2"/>
      <c r="N84" s="19">
        <f t="shared" si="10"/>
        <v>0</v>
      </c>
      <c r="O84" s="11"/>
      <c r="P84" s="2">
        <v>7212.08</v>
      </c>
      <c r="Q84" s="2"/>
      <c r="R84" s="19">
        <f t="shared" si="11"/>
        <v>1.3844353598099139E-3</v>
      </c>
      <c r="S84" s="2"/>
      <c r="T84" s="2"/>
      <c r="U84" s="2"/>
      <c r="V84" s="19">
        <f t="shared" si="12"/>
        <v>0</v>
      </c>
      <c r="W84" s="2"/>
      <c r="X84" s="2">
        <f t="shared" si="13"/>
        <v>7212.08</v>
      </c>
      <c r="Y84" s="2"/>
      <c r="Z84" s="19">
        <f t="shared" si="14"/>
        <v>0</v>
      </c>
    </row>
    <row r="85" spans="1:26" s="24" customFormat="1" hidden="1" outlineLevel="1" x14ac:dyDescent="0.25">
      <c r="A85" s="44"/>
      <c r="B85" s="11" t="str">
        <f>CONCATENATE("          ", "5004", " - ", "PURCHASES @ COST-DIGITAL TEXT")</f>
        <v xml:space="preserve">          5004 - PURCHASES @ COST-DIGITAL TEXT</v>
      </c>
      <c r="C85" s="11"/>
      <c r="D85" s="2">
        <v>-7843.95</v>
      </c>
      <c r="E85" s="2"/>
      <c r="F85" s="19">
        <f t="shared" si="7"/>
        <v>-1.5478557463445284E-2</v>
      </c>
      <c r="G85" s="2"/>
      <c r="H85" s="2"/>
      <c r="I85" s="2"/>
      <c r="J85" s="19">
        <f t="shared" si="8"/>
        <v>0</v>
      </c>
      <c r="K85" s="2"/>
      <c r="L85" s="2">
        <f t="shared" si="9"/>
        <v>-7843.95</v>
      </c>
      <c r="M85" s="2"/>
      <c r="N85" s="19">
        <f t="shared" si="10"/>
        <v>0</v>
      </c>
      <c r="O85" s="11"/>
      <c r="P85" s="2">
        <v>199606.43</v>
      </c>
      <c r="Q85" s="2"/>
      <c r="R85" s="19">
        <f t="shared" si="11"/>
        <v>3.8316574377630641E-2</v>
      </c>
      <c r="S85" s="2"/>
      <c r="T85" s="2"/>
      <c r="U85" s="2"/>
      <c r="V85" s="19">
        <f t="shared" si="12"/>
        <v>0</v>
      </c>
      <c r="W85" s="2"/>
      <c r="X85" s="2">
        <f t="shared" si="13"/>
        <v>199606.43</v>
      </c>
      <c r="Y85" s="2"/>
      <c r="Z85" s="19">
        <f t="shared" si="14"/>
        <v>0</v>
      </c>
    </row>
    <row r="86" spans="1:26" s="24" customFormat="1" hidden="1" outlineLevel="1" x14ac:dyDescent="0.25">
      <c r="A86" s="44"/>
      <c r="B86" s="11" t="str">
        <f>CONCATENATE("          ", "5011", " - ", "PURCHASES @ COST-NO VALUE TEXT")</f>
        <v xml:space="preserve">          5011 - PURCHASES @ COST-NO VALUE TEXT</v>
      </c>
      <c r="C86" s="11"/>
      <c r="D86" s="2"/>
      <c r="E86" s="2"/>
      <c r="F86" s="19">
        <f t="shared" si="7"/>
        <v>0</v>
      </c>
      <c r="G86" s="2"/>
      <c r="H86" s="2"/>
      <c r="I86" s="2"/>
      <c r="J86" s="19">
        <f t="shared" si="8"/>
        <v>0</v>
      </c>
      <c r="K86" s="2"/>
      <c r="L86" s="2">
        <f t="shared" si="9"/>
        <v>0</v>
      </c>
      <c r="M86" s="2"/>
      <c r="N86" s="19">
        <f t="shared" si="10"/>
        <v>0</v>
      </c>
      <c r="O86" s="11"/>
      <c r="P86" s="2">
        <v>67.17</v>
      </c>
      <c r="Q86" s="2"/>
      <c r="R86" s="19">
        <f t="shared" si="11"/>
        <v>1.2893994952694913E-5</v>
      </c>
      <c r="S86" s="2"/>
      <c r="T86" s="2"/>
      <c r="U86" s="2"/>
      <c r="V86" s="19">
        <f t="shared" si="12"/>
        <v>0</v>
      </c>
      <c r="W86" s="2"/>
      <c r="X86" s="2">
        <f t="shared" si="13"/>
        <v>67.17</v>
      </c>
      <c r="Y86" s="2"/>
      <c r="Z86" s="19">
        <f t="shared" si="14"/>
        <v>0</v>
      </c>
    </row>
    <row r="87" spans="1:26" s="24" customFormat="1" hidden="1" outlineLevel="1" x14ac:dyDescent="0.25">
      <c r="A87" s="44"/>
      <c r="B87" s="11" t="str">
        <f>CONCATENATE("          ", "5013", " - ", "PURCHASES @ COST-TRADE BOOKS")</f>
        <v xml:space="preserve">          5013 - PURCHASES @ COST-TRADE BOOKS</v>
      </c>
      <c r="C87" s="11"/>
      <c r="D87" s="2"/>
      <c r="E87" s="2"/>
      <c r="F87" s="19">
        <f t="shared" si="7"/>
        <v>0</v>
      </c>
      <c r="G87" s="2"/>
      <c r="H87" s="2"/>
      <c r="I87" s="2"/>
      <c r="J87" s="19">
        <f t="shared" si="8"/>
        <v>0</v>
      </c>
      <c r="K87" s="2"/>
      <c r="L87" s="2">
        <f t="shared" si="9"/>
        <v>0</v>
      </c>
      <c r="M87" s="2"/>
      <c r="N87" s="19">
        <f t="shared" si="10"/>
        <v>0</v>
      </c>
      <c r="O87" s="11"/>
      <c r="P87" s="2">
        <v>9670.02</v>
      </c>
      <c r="Q87" s="2"/>
      <c r="R87" s="19">
        <f t="shared" si="11"/>
        <v>1.8562630500589378E-3</v>
      </c>
      <c r="S87" s="2"/>
      <c r="T87" s="2"/>
      <c r="U87" s="2"/>
      <c r="V87" s="19">
        <f t="shared" si="12"/>
        <v>0</v>
      </c>
      <c r="W87" s="2"/>
      <c r="X87" s="2">
        <f t="shared" si="13"/>
        <v>9670.02</v>
      </c>
      <c r="Y87" s="2"/>
      <c r="Z87" s="19">
        <f t="shared" si="14"/>
        <v>0</v>
      </c>
    </row>
    <row r="88" spans="1:26" s="24" customFormat="1" hidden="1" outlineLevel="1" x14ac:dyDescent="0.25">
      <c r="A88" s="44"/>
      <c r="B88" s="11" t="str">
        <f>CONCATENATE("          ", "5014", " - ", "PURCHASES @ COST-REMAINDERS")</f>
        <v xml:space="preserve">          5014 - PURCHASES @ COST-REMAINDERS</v>
      </c>
      <c r="C88" s="11"/>
      <c r="D88" s="2"/>
      <c r="E88" s="2"/>
      <c r="F88" s="19">
        <f t="shared" si="7"/>
        <v>0</v>
      </c>
      <c r="G88" s="2"/>
      <c r="H88" s="2"/>
      <c r="I88" s="2"/>
      <c r="J88" s="19">
        <f t="shared" si="8"/>
        <v>0</v>
      </c>
      <c r="K88" s="2"/>
      <c r="L88" s="2">
        <f t="shared" si="9"/>
        <v>0</v>
      </c>
      <c r="M88" s="2"/>
      <c r="N88" s="19">
        <f t="shared" si="10"/>
        <v>0</v>
      </c>
      <c r="O88" s="11"/>
      <c r="P88" s="2">
        <v>111.57</v>
      </c>
      <c r="Q88" s="2"/>
      <c r="R88" s="19">
        <f t="shared" si="11"/>
        <v>2.1417046551617855E-5</v>
      </c>
      <c r="S88" s="2"/>
      <c r="T88" s="2"/>
      <c r="U88" s="2"/>
      <c r="V88" s="19">
        <f t="shared" si="12"/>
        <v>0</v>
      </c>
      <c r="W88" s="2"/>
      <c r="X88" s="2">
        <f t="shared" si="13"/>
        <v>111.57</v>
      </c>
      <c r="Y88" s="2"/>
      <c r="Z88" s="19">
        <f t="shared" si="14"/>
        <v>0</v>
      </c>
    </row>
    <row r="89" spans="1:26" s="24" customFormat="1" hidden="1" outlineLevel="1" x14ac:dyDescent="0.25">
      <c r="A89" s="44"/>
      <c r="B89" s="11" t="str">
        <f>CONCATENATE("          ", "5018", " - ", "PURCHASES @ COST-STUDY GUIDES")</f>
        <v xml:space="preserve">          5018 - PURCHASES @ COST-STUDY GUIDES</v>
      </c>
      <c r="C89" s="11"/>
      <c r="D89" s="2"/>
      <c r="E89" s="2"/>
      <c r="F89" s="19">
        <f t="shared" si="7"/>
        <v>0</v>
      </c>
      <c r="G89" s="2"/>
      <c r="H89" s="2"/>
      <c r="I89" s="2"/>
      <c r="J89" s="19">
        <f t="shared" si="8"/>
        <v>0</v>
      </c>
      <c r="K89" s="2"/>
      <c r="L89" s="2">
        <f t="shared" si="9"/>
        <v>0</v>
      </c>
      <c r="M89" s="2"/>
      <c r="N89" s="19">
        <f t="shared" si="10"/>
        <v>0</v>
      </c>
      <c r="O89" s="11"/>
      <c r="P89" s="2">
        <v>967.21</v>
      </c>
      <c r="Q89" s="2"/>
      <c r="R89" s="19">
        <f t="shared" si="11"/>
        <v>1.8566623281518604E-4</v>
      </c>
      <c r="S89" s="2"/>
      <c r="T89" s="2"/>
      <c r="U89" s="2"/>
      <c r="V89" s="19">
        <f t="shared" si="12"/>
        <v>0</v>
      </c>
      <c r="W89" s="2"/>
      <c r="X89" s="2">
        <f t="shared" si="13"/>
        <v>967.21</v>
      </c>
      <c r="Y89" s="2"/>
      <c r="Z89" s="19">
        <f t="shared" si="14"/>
        <v>0</v>
      </c>
    </row>
    <row r="90" spans="1:26" s="24" customFormat="1" hidden="1" outlineLevel="1" x14ac:dyDescent="0.25">
      <c r="A90" s="44"/>
      <c r="B90" s="11" t="str">
        <f>CONCATENATE("          ", "5025", " - ", "PURCHASES @ COST-TEST FORMS")</f>
        <v xml:space="preserve">          5025 - PURCHASES @ COST-TEST FORMS</v>
      </c>
      <c r="C90" s="11"/>
      <c r="D90" s="2"/>
      <c r="E90" s="2"/>
      <c r="F90" s="19">
        <f t="shared" si="7"/>
        <v>0</v>
      </c>
      <c r="G90" s="2"/>
      <c r="H90" s="2"/>
      <c r="I90" s="2"/>
      <c r="J90" s="19">
        <f t="shared" si="8"/>
        <v>0</v>
      </c>
      <c r="K90" s="2"/>
      <c r="L90" s="2">
        <f t="shared" si="9"/>
        <v>0</v>
      </c>
      <c r="M90" s="2"/>
      <c r="N90" s="19">
        <f t="shared" si="10"/>
        <v>0</v>
      </c>
      <c r="O90" s="11"/>
      <c r="P90" s="2">
        <v>599.29</v>
      </c>
      <c r="Q90" s="2"/>
      <c r="R90" s="19">
        <f t="shared" si="11"/>
        <v>1.1504008091708401E-4</v>
      </c>
      <c r="S90" s="2"/>
      <c r="T90" s="2"/>
      <c r="U90" s="2"/>
      <c r="V90" s="19">
        <f t="shared" si="12"/>
        <v>0</v>
      </c>
      <c r="W90" s="2"/>
      <c r="X90" s="2">
        <f t="shared" si="13"/>
        <v>599.29</v>
      </c>
      <c r="Y90" s="2"/>
      <c r="Z90" s="19">
        <f t="shared" si="14"/>
        <v>0</v>
      </c>
    </row>
    <row r="91" spans="1:26" s="24" customFormat="1" hidden="1" outlineLevel="1" x14ac:dyDescent="0.25">
      <c r="A91" s="44"/>
      <c r="B91" s="11" t="str">
        <f>CONCATENATE("          ", "5026", " - ", "PURCHASES @ COST-WRITING INSTR")</f>
        <v xml:space="preserve">          5026 - PURCHASES @ COST-WRITING INSTR</v>
      </c>
      <c r="C91" s="11"/>
      <c r="D91" s="2">
        <v>-2.0499999999999998</v>
      </c>
      <c r="E91" s="2"/>
      <c r="F91" s="19">
        <f t="shared" si="7"/>
        <v>-4.0452887639598459E-6</v>
      </c>
      <c r="G91" s="2"/>
      <c r="H91" s="2"/>
      <c r="I91" s="2"/>
      <c r="J91" s="19">
        <f t="shared" si="8"/>
        <v>0</v>
      </c>
      <c r="K91" s="2"/>
      <c r="L91" s="2">
        <f t="shared" si="9"/>
        <v>-2.0499999999999998</v>
      </c>
      <c r="M91" s="2"/>
      <c r="N91" s="19">
        <f t="shared" si="10"/>
        <v>0</v>
      </c>
      <c r="O91" s="11"/>
      <c r="P91" s="2">
        <v>582.5</v>
      </c>
      <c r="Q91" s="2"/>
      <c r="R91" s="19">
        <f t="shared" si="11"/>
        <v>1.1181706208046428E-4</v>
      </c>
      <c r="S91" s="2"/>
      <c r="T91" s="2"/>
      <c r="U91" s="2"/>
      <c r="V91" s="19">
        <f t="shared" si="12"/>
        <v>0</v>
      </c>
      <c r="W91" s="2"/>
      <c r="X91" s="2">
        <f t="shared" si="13"/>
        <v>582.5</v>
      </c>
      <c r="Y91" s="2"/>
      <c r="Z91" s="19">
        <f t="shared" si="14"/>
        <v>0</v>
      </c>
    </row>
    <row r="92" spans="1:26" s="24" customFormat="1" hidden="1" outlineLevel="1" x14ac:dyDescent="0.25">
      <c r="A92" s="44"/>
      <c r="B92" s="11" t="str">
        <f>CONCATENATE("          ", "5027", " - ", "PURCHASES @ COST-SCHOOL SUPPLI")</f>
        <v xml:space="preserve">          5027 - PURCHASES @ COST-SCHOOL SUPPLI</v>
      </c>
      <c r="C92" s="11"/>
      <c r="D92" s="2">
        <v>0.39</v>
      </c>
      <c r="E92" s="2"/>
      <c r="F92" s="19">
        <f t="shared" si="7"/>
        <v>7.6959152094845853E-7</v>
      </c>
      <c r="G92" s="2"/>
      <c r="H92" s="2"/>
      <c r="I92" s="2"/>
      <c r="J92" s="19">
        <f t="shared" si="8"/>
        <v>0</v>
      </c>
      <c r="K92" s="2"/>
      <c r="L92" s="2">
        <f t="shared" si="9"/>
        <v>0.39</v>
      </c>
      <c r="M92" s="2"/>
      <c r="N92" s="19">
        <f t="shared" si="10"/>
        <v>0</v>
      </c>
      <c r="O92" s="11"/>
      <c r="P92" s="2">
        <v>23734.99</v>
      </c>
      <c r="Q92" s="2"/>
      <c r="R92" s="19">
        <f t="shared" si="11"/>
        <v>4.5561834340072088E-3</v>
      </c>
      <c r="S92" s="2"/>
      <c r="T92" s="2"/>
      <c r="U92" s="2"/>
      <c r="V92" s="19">
        <f t="shared" si="12"/>
        <v>0</v>
      </c>
      <c r="W92" s="2"/>
      <c r="X92" s="2">
        <f t="shared" si="13"/>
        <v>23734.99</v>
      </c>
      <c r="Y92" s="2"/>
      <c r="Z92" s="19">
        <f t="shared" si="14"/>
        <v>0</v>
      </c>
    </row>
    <row r="93" spans="1:26" s="24" customFormat="1" hidden="1" outlineLevel="1" x14ac:dyDescent="0.25">
      <c r="A93" s="44"/>
      <c r="B93" s="11" t="str">
        <f>CONCATENATE("          ", "5028", " - ", "PURCHASES @ COST-ART/TECH")</f>
        <v xml:space="preserve">          5028 - PURCHASES @ COST-ART/TECH</v>
      </c>
      <c r="C93" s="11"/>
      <c r="D93" s="2">
        <v>674.12</v>
      </c>
      <c r="E93" s="2"/>
      <c r="F93" s="19">
        <f t="shared" si="7"/>
        <v>1.3302488105173713E-3</v>
      </c>
      <c r="G93" s="2"/>
      <c r="H93" s="2"/>
      <c r="I93" s="2"/>
      <c r="J93" s="19">
        <f t="shared" si="8"/>
        <v>0</v>
      </c>
      <c r="K93" s="2"/>
      <c r="L93" s="2">
        <f t="shared" si="9"/>
        <v>674.12</v>
      </c>
      <c r="M93" s="2"/>
      <c r="N93" s="19">
        <f t="shared" si="10"/>
        <v>0</v>
      </c>
      <c r="O93" s="11"/>
      <c r="P93" s="2">
        <v>47680.74</v>
      </c>
      <c r="Q93" s="2"/>
      <c r="R93" s="19">
        <f t="shared" si="11"/>
        <v>9.1528244886222767E-3</v>
      </c>
      <c r="S93" s="2"/>
      <c r="T93" s="2"/>
      <c r="U93" s="2"/>
      <c r="V93" s="19">
        <f t="shared" si="12"/>
        <v>0</v>
      </c>
      <c r="W93" s="2"/>
      <c r="X93" s="2">
        <f t="shared" si="13"/>
        <v>47680.74</v>
      </c>
      <c r="Y93" s="2"/>
      <c r="Z93" s="19">
        <f t="shared" si="14"/>
        <v>0</v>
      </c>
    </row>
    <row r="94" spans="1:26" s="24" customFormat="1" hidden="1" outlineLevel="1" x14ac:dyDescent="0.25">
      <c r="A94" s="44"/>
      <c r="B94" s="11" t="str">
        <f>CONCATENATE("          ", "5031", " - ", "PURCHASES @ COST-FOOD")</f>
        <v xml:space="preserve">          5031 - PURCHASES @ COST-FOOD</v>
      </c>
      <c r="C94" s="11"/>
      <c r="D94" s="2">
        <v>280.37</v>
      </c>
      <c r="E94" s="2"/>
      <c r="F94" s="19">
        <f t="shared" si="7"/>
        <v>5.532573710982547E-4</v>
      </c>
      <c r="G94" s="2"/>
      <c r="H94" s="2"/>
      <c r="I94" s="2"/>
      <c r="J94" s="19">
        <f t="shared" si="8"/>
        <v>0</v>
      </c>
      <c r="K94" s="2"/>
      <c r="L94" s="2">
        <f t="shared" si="9"/>
        <v>280.37</v>
      </c>
      <c r="M94" s="2"/>
      <c r="N94" s="19">
        <f t="shared" si="10"/>
        <v>0</v>
      </c>
      <c r="O94" s="11"/>
      <c r="P94" s="2">
        <v>8066.09</v>
      </c>
      <c r="Q94" s="2"/>
      <c r="R94" s="19">
        <f t="shared" si="11"/>
        <v>1.5483716502602786E-3</v>
      </c>
      <c r="S94" s="2"/>
      <c r="T94" s="2"/>
      <c r="U94" s="2"/>
      <c r="V94" s="19">
        <f t="shared" si="12"/>
        <v>0</v>
      </c>
      <c r="W94" s="2"/>
      <c r="X94" s="2">
        <f t="shared" si="13"/>
        <v>8066.09</v>
      </c>
      <c r="Y94" s="2"/>
      <c r="Z94" s="19">
        <f t="shared" si="14"/>
        <v>0</v>
      </c>
    </row>
    <row r="95" spans="1:26" s="24" customFormat="1" hidden="1" outlineLevel="1" x14ac:dyDescent="0.25">
      <c r="A95" s="44"/>
      <c r="B95" s="11" t="str">
        <f>CONCATENATE("          ", "5040", " - ", "PURCHASES @ COST-LOGO CLOTHING")</f>
        <v xml:space="preserve">          5040 - PURCHASES @ COST-LOGO CLOTHING</v>
      </c>
      <c r="C95" s="11"/>
      <c r="D95" s="2">
        <v>48288.73</v>
      </c>
      <c r="E95" s="2"/>
      <c r="F95" s="19">
        <f t="shared" si="7"/>
        <v>9.5288710680434513E-2</v>
      </c>
      <c r="G95" s="2"/>
      <c r="H95" s="2"/>
      <c r="I95" s="2"/>
      <c r="J95" s="19">
        <f t="shared" si="8"/>
        <v>0</v>
      </c>
      <c r="K95" s="2"/>
      <c r="L95" s="2">
        <f t="shared" si="9"/>
        <v>48288.73</v>
      </c>
      <c r="M95" s="2"/>
      <c r="N95" s="19">
        <f t="shared" si="10"/>
        <v>0</v>
      </c>
      <c r="O95" s="11"/>
      <c r="P95" s="2">
        <v>327378.98</v>
      </c>
      <c r="Q95" s="2"/>
      <c r="R95" s="19">
        <f t="shared" si="11"/>
        <v>6.2843872498710859E-2</v>
      </c>
      <c r="S95" s="2"/>
      <c r="T95" s="2"/>
      <c r="U95" s="2"/>
      <c r="V95" s="19">
        <f t="shared" si="12"/>
        <v>0</v>
      </c>
      <c r="W95" s="2"/>
      <c r="X95" s="2">
        <f t="shared" si="13"/>
        <v>327378.98</v>
      </c>
      <c r="Y95" s="2"/>
      <c r="Z95" s="19">
        <f t="shared" si="14"/>
        <v>0</v>
      </c>
    </row>
    <row r="96" spans="1:26" s="24" customFormat="1" hidden="1" outlineLevel="1" x14ac:dyDescent="0.25">
      <c r="A96" s="44"/>
      <c r="B96" s="11" t="str">
        <f>CONCATENATE("          ", "5041", " - ", "PURCHASES @ COST-LOGO GIFTS")</f>
        <v xml:space="preserve">          5041 - PURCHASES @ COST-LOGO GIFTS</v>
      </c>
      <c r="C96" s="11"/>
      <c r="D96" s="2">
        <v>22136.9</v>
      </c>
      <c r="E96" s="2"/>
      <c r="F96" s="19">
        <f t="shared" si="7"/>
        <v>4.3683001384830597E-2</v>
      </c>
      <c r="G96" s="2"/>
      <c r="H96" s="2"/>
      <c r="I96" s="2"/>
      <c r="J96" s="19">
        <f t="shared" si="8"/>
        <v>0</v>
      </c>
      <c r="K96" s="2"/>
      <c r="L96" s="2">
        <f t="shared" si="9"/>
        <v>22136.9</v>
      </c>
      <c r="M96" s="2"/>
      <c r="N96" s="19">
        <f t="shared" si="10"/>
        <v>0</v>
      </c>
      <c r="O96" s="11"/>
      <c r="P96" s="2">
        <v>106398.85</v>
      </c>
      <c r="Q96" s="2"/>
      <c r="R96" s="19">
        <f t="shared" si="11"/>
        <v>2.0424389383244649E-2</v>
      </c>
      <c r="S96" s="2"/>
      <c r="T96" s="2"/>
      <c r="U96" s="2"/>
      <c r="V96" s="19">
        <f t="shared" si="12"/>
        <v>0</v>
      </c>
      <c r="W96" s="2"/>
      <c r="X96" s="2">
        <f t="shared" si="13"/>
        <v>106398.85</v>
      </c>
      <c r="Y96" s="2"/>
      <c r="Z96" s="19">
        <f t="shared" si="14"/>
        <v>0</v>
      </c>
    </row>
    <row r="97" spans="1:26" s="24" customFormat="1" hidden="1" outlineLevel="1" x14ac:dyDescent="0.25">
      <c r="A97" s="44"/>
      <c r="B97" s="11" t="str">
        <f>CONCATENATE("          ", "5042", " - ", "PURCHASES @ COST-EVERYDAY GIFT")</f>
        <v xml:space="preserve">          5042 - PURCHASES @ COST-EVERYDAY GIFT</v>
      </c>
      <c r="C97" s="11"/>
      <c r="D97" s="2">
        <v>-0.11</v>
      </c>
      <c r="E97" s="2"/>
      <c r="F97" s="19">
        <f t="shared" si="7"/>
        <v>-2.1706427513930882E-7</v>
      </c>
      <c r="G97" s="2"/>
      <c r="H97" s="2"/>
      <c r="I97" s="2"/>
      <c r="J97" s="19">
        <f t="shared" si="8"/>
        <v>0</v>
      </c>
      <c r="K97" s="2"/>
      <c r="L97" s="2">
        <f t="shared" si="9"/>
        <v>-0.11</v>
      </c>
      <c r="M97" s="2"/>
      <c r="N97" s="19">
        <f t="shared" si="10"/>
        <v>0</v>
      </c>
      <c r="O97" s="11"/>
      <c r="P97" s="2">
        <v>18748.07</v>
      </c>
      <c r="Q97" s="2"/>
      <c r="R97" s="19">
        <f t="shared" si="11"/>
        <v>3.5988911709508844E-3</v>
      </c>
      <c r="S97" s="2"/>
      <c r="T97" s="2"/>
      <c r="U97" s="2"/>
      <c r="V97" s="19">
        <f t="shared" si="12"/>
        <v>0</v>
      </c>
      <c r="W97" s="2"/>
      <c r="X97" s="2">
        <f t="shared" si="13"/>
        <v>18748.07</v>
      </c>
      <c r="Y97" s="2"/>
      <c r="Z97" s="19">
        <f t="shared" si="14"/>
        <v>0</v>
      </c>
    </row>
    <row r="98" spans="1:26" s="24" customFormat="1" hidden="1" outlineLevel="1" x14ac:dyDescent="0.25">
      <c r="A98" s="44"/>
      <c r="B98" s="11" t="str">
        <f>CONCATENATE("          ", "5043", " - ", "PURCHASES @ COST-CARDS")</f>
        <v xml:space="preserve">          5043 - PURCHASES @ COST-CARDS</v>
      </c>
      <c r="C98" s="11"/>
      <c r="D98" s="2">
        <v>178</v>
      </c>
      <c r="E98" s="2"/>
      <c r="F98" s="19">
        <f t="shared" si="7"/>
        <v>3.5124946340724518E-4</v>
      </c>
      <c r="G98" s="2"/>
      <c r="H98" s="2"/>
      <c r="I98" s="2"/>
      <c r="J98" s="19">
        <f t="shared" si="8"/>
        <v>0</v>
      </c>
      <c r="K98" s="2"/>
      <c r="L98" s="2">
        <f t="shared" si="9"/>
        <v>178</v>
      </c>
      <c r="M98" s="2"/>
      <c r="N98" s="19">
        <f t="shared" si="10"/>
        <v>0</v>
      </c>
      <c r="O98" s="11"/>
      <c r="P98" s="2">
        <v>55583.33</v>
      </c>
      <c r="Q98" s="2"/>
      <c r="R98" s="19">
        <f t="shared" si="11"/>
        <v>1.0669810577251387E-2</v>
      </c>
      <c r="S98" s="2"/>
      <c r="T98" s="2"/>
      <c r="U98" s="2"/>
      <c r="V98" s="19">
        <f t="shared" si="12"/>
        <v>0</v>
      </c>
      <c r="W98" s="2"/>
      <c r="X98" s="2">
        <f t="shared" si="13"/>
        <v>55583.33</v>
      </c>
      <c r="Y98" s="2"/>
      <c r="Z98" s="19">
        <f t="shared" si="14"/>
        <v>0</v>
      </c>
    </row>
    <row r="99" spans="1:26" s="24" customFormat="1" hidden="1" outlineLevel="1" x14ac:dyDescent="0.25">
      <c r="A99" s="44"/>
      <c r="B99" s="11" t="str">
        <f>CONCATENATE("          ", "5044", " - ", "PURCHASES @ COST-ACCESSORIES")</f>
        <v xml:space="preserve">          5044 - PURCHASES @ COST-ACCESSORIES</v>
      </c>
      <c r="C99" s="11"/>
      <c r="D99" s="2"/>
      <c r="E99" s="2"/>
      <c r="F99" s="19">
        <f t="shared" si="7"/>
        <v>0</v>
      </c>
      <c r="G99" s="2"/>
      <c r="H99" s="2"/>
      <c r="I99" s="2"/>
      <c r="J99" s="19">
        <f t="shared" si="8"/>
        <v>0</v>
      </c>
      <c r="K99" s="2"/>
      <c r="L99" s="2">
        <f t="shared" si="9"/>
        <v>0</v>
      </c>
      <c r="M99" s="2"/>
      <c r="N99" s="19">
        <f t="shared" si="10"/>
        <v>0</v>
      </c>
      <c r="O99" s="11"/>
      <c r="P99" s="2">
        <v>2555.71</v>
      </c>
      <c r="Q99" s="2"/>
      <c r="R99" s="19">
        <f t="shared" si="11"/>
        <v>4.9059568022259811E-4</v>
      </c>
      <c r="S99" s="2"/>
      <c r="T99" s="2"/>
      <c r="U99" s="2"/>
      <c r="V99" s="19">
        <f t="shared" si="12"/>
        <v>0</v>
      </c>
      <c r="W99" s="2"/>
      <c r="X99" s="2">
        <f t="shared" si="13"/>
        <v>2555.71</v>
      </c>
      <c r="Y99" s="2"/>
      <c r="Z99" s="19">
        <f t="shared" si="14"/>
        <v>0</v>
      </c>
    </row>
    <row r="100" spans="1:26" s="24" customFormat="1" hidden="1" outlineLevel="1" x14ac:dyDescent="0.25">
      <c r="A100" s="44"/>
      <c r="B100" s="11" t="str">
        <f>CONCATENATE("          ", "5045", " - ", "PURCHASES @ COST-SPECIAL ORDER")</f>
        <v xml:space="preserve">          5045 - PURCHASES @ COST-SPECIAL ORDER</v>
      </c>
      <c r="C100" s="11"/>
      <c r="D100" s="2">
        <v>24141.17</v>
      </c>
      <c r="E100" s="2"/>
      <c r="F100" s="19">
        <f t="shared" si="7"/>
        <v>4.7638050609680245E-2</v>
      </c>
      <c r="G100" s="2"/>
      <c r="H100" s="2"/>
      <c r="I100" s="2"/>
      <c r="J100" s="19">
        <f t="shared" si="8"/>
        <v>0</v>
      </c>
      <c r="K100" s="2"/>
      <c r="L100" s="2">
        <f t="shared" si="9"/>
        <v>24141.17</v>
      </c>
      <c r="M100" s="2"/>
      <c r="N100" s="19">
        <f t="shared" si="10"/>
        <v>0</v>
      </c>
      <c r="O100" s="11"/>
      <c r="P100" s="2">
        <v>139139.24</v>
      </c>
      <c r="Q100" s="2"/>
      <c r="R100" s="19">
        <f t="shared" si="11"/>
        <v>2.6709254998984754E-2</v>
      </c>
      <c r="S100" s="2"/>
      <c r="T100" s="2"/>
      <c r="U100" s="2"/>
      <c r="V100" s="19">
        <f t="shared" si="12"/>
        <v>0</v>
      </c>
      <c r="W100" s="2"/>
      <c r="X100" s="2">
        <f t="shared" si="13"/>
        <v>139139.24</v>
      </c>
      <c r="Y100" s="2"/>
      <c r="Z100" s="19">
        <f t="shared" si="14"/>
        <v>0</v>
      </c>
    </row>
    <row r="101" spans="1:26" s="24" customFormat="1" hidden="1" outlineLevel="1" x14ac:dyDescent="0.25">
      <c r="A101" s="44"/>
      <c r="B101" s="11" t="str">
        <f>CONCATENATE("          ", "5086", " - ", "PURCHASES @ COST-COMPUTER SUPP")</f>
        <v xml:space="preserve">          5086 - PURCHASES @ COST-COMPUTER SUPP</v>
      </c>
      <c r="C101" s="11"/>
      <c r="D101" s="2"/>
      <c r="E101" s="2"/>
      <c r="F101" s="19">
        <f t="shared" si="7"/>
        <v>0</v>
      </c>
      <c r="G101" s="2"/>
      <c r="H101" s="2"/>
      <c r="I101" s="2"/>
      <c r="J101" s="19">
        <f t="shared" si="8"/>
        <v>0</v>
      </c>
      <c r="K101" s="2"/>
      <c r="L101" s="2">
        <f t="shared" si="9"/>
        <v>0</v>
      </c>
      <c r="M101" s="2"/>
      <c r="N101" s="19">
        <f t="shared" si="10"/>
        <v>0</v>
      </c>
      <c r="O101" s="11"/>
      <c r="P101" s="2">
        <v>13.21</v>
      </c>
      <c r="Q101" s="2"/>
      <c r="R101" s="19">
        <f t="shared" si="11"/>
        <v>2.5357998113011729E-6</v>
      </c>
      <c r="S101" s="2"/>
      <c r="T101" s="2"/>
      <c r="U101" s="2"/>
      <c r="V101" s="19">
        <f t="shared" si="12"/>
        <v>0</v>
      </c>
      <c r="W101" s="2"/>
      <c r="X101" s="2">
        <f t="shared" si="13"/>
        <v>13.21</v>
      </c>
      <c r="Y101" s="2"/>
      <c r="Z101" s="19">
        <f t="shared" si="14"/>
        <v>0</v>
      </c>
    </row>
    <row r="102" spans="1:26" s="24" customFormat="1" hidden="1" outlineLevel="1" x14ac:dyDescent="0.25">
      <c r="A102" s="44"/>
      <c r="B102" s="11" t="str">
        <f>CONCATENATE("          ", "5092", " - ", "PURCHASES @ COST-GRAD MERCH")</f>
        <v xml:space="preserve">          5092 - PURCHASES @ COST-GRAD MERCH</v>
      </c>
      <c r="C102" s="11"/>
      <c r="D102" s="2"/>
      <c r="E102" s="2"/>
      <c r="F102" s="19">
        <f t="shared" si="7"/>
        <v>0</v>
      </c>
      <c r="G102" s="2"/>
      <c r="H102" s="2"/>
      <c r="I102" s="2"/>
      <c r="J102" s="19">
        <f t="shared" si="8"/>
        <v>0</v>
      </c>
      <c r="K102" s="2"/>
      <c r="L102" s="2">
        <f t="shared" si="9"/>
        <v>0</v>
      </c>
      <c r="M102" s="2"/>
      <c r="N102" s="19">
        <f t="shared" si="10"/>
        <v>0</v>
      </c>
      <c r="O102" s="11"/>
      <c r="P102" s="2">
        <v>0</v>
      </c>
      <c r="Q102" s="2"/>
      <c r="R102" s="19">
        <f t="shared" si="11"/>
        <v>0</v>
      </c>
      <c r="S102" s="2"/>
      <c r="T102" s="2"/>
      <c r="U102" s="2"/>
      <c r="V102" s="19">
        <f t="shared" si="12"/>
        <v>0</v>
      </c>
      <c r="W102" s="2"/>
      <c r="X102" s="2">
        <f t="shared" si="13"/>
        <v>0</v>
      </c>
      <c r="Y102" s="2"/>
      <c r="Z102" s="19">
        <f t="shared" si="14"/>
        <v>0</v>
      </c>
    </row>
    <row r="103" spans="1:26" s="24" customFormat="1" hidden="1" outlineLevel="1" x14ac:dyDescent="0.25">
      <c r="A103" s="44"/>
      <c r="B103" s="11" t="str">
        <f>CONCATENATE("          ", "5200", " - ", "PURCHASES OFFSET")</f>
        <v xml:space="preserve">          5200 - PURCHASES OFFSET</v>
      </c>
      <c r="C103" s="11"/>
      <c r="D103" s="2">
        <v>-162582.03</v>
      </c>
      <c r="E103" s="2"/>
      <c r="F103" s="19">
        <f t="shared" si="7"/>
        <v>-0.32082500447843054</v>
      </c>
      <c r="G103" s="2"/>
      <c r="H103" s="2"/>
      <c r="I103" s="2"/>
      <c r="J103" s="19">
        <f t="shared" si="8"/>
        <v>0</v>
      </c>
      <c r="K103" s="2"/>
      <c r="L103" s="2">
        <f t="shared" si="9"/>
        <v>-162582.03</v>
      </c>
      <c r="M103" s="2"/>
      <c r="N103" s="19">
        <f t="shared" si="10"/>
        <v>0</v>
      </c>
      <c r="O103" s="11"/>
      <c r="P103" s="2">
        <v>-1847967.16</v>
      </c>
      <c r="Q103" s="2"/>
      <c r="R103" s="19">
        <f t="shared" si="11"/>
        <v>-0.35473692472511464</v>
      </c>
      <c r="S103" s="2"/>
      <c r="T103" s="2"/>
      <c r="U103" s="2"/>
      <c r="V103" s="19">
        <f t="shared" si="12"/>
        <v>0</v>
      </c>
      <c r="W103" s="2"/>
      <c r="X103" s="2">
        <f t="shared" si="13"/>
        <v>-1847967.16</v>
      </c>
      <c r="Y103" s="2"/>
      <c r="Z103" s="19">
        <f t="shared" si="14"/>
        <v>0</v>
      </c>
    </row>
    <row r="104" spans="1:26" s="24" customFormat="1" hidden="1" outlineLevel="1" x14ac:dyDescent="0.25">
      <c r="A104" s="44"/>
      <c r="B104" s="11" t="str">
        <f>CONCATENATE("          ", "5300", " - ", "COG$ OFFSET")</f>
        <v xml:space="preserve">          5300 - COG$ OFFSET</v>
      </c>
      <c r="C104" s="11"/>
      <c r="D104" s="2">
        <v>241236</v>
      </c>
      <c r="E104" s="2"/>
      <c r="F104" s="19">
        <f t="shared" si="7"/>
        <v>0.47603379525005729</v>
      </c>
      <c r="G104" s="2"/>
      <c r="H104" s="2"/>
      <c r="I104" s="2"/>
      <c r="J104" s="19">
        <f t="shared" si="8"/>
        <v>0</v>
      </c>
      <c r="K104" s="2"/>
      <c r="L104" s="2">
        <f t="shared" si="9"/>
        <v>241236</v>
      </c>
      <c r="M104" s="2"/>
      <c r="N104" s="19">
        <f t="shared" si="10"/>
        <v>0</v>
      </c>
      <c r="O104" s="11"/>
      <c r="P104" s="2">
        <v>2641632</v>
      </c>
      <c r="Q104" s="2"/>
      <c r="R104" s="19">
        <f t="shared" si="11"/>
        <v>0.50708932075148672</v>
      </c>
      <c r="S104" s="2"/>
      <c r="T104" s="2"/>
      <c r="U104" s="2"/>
      <c r="V104" s="19">
        <f t="shared" si="12"/>
        <v>0</v>
      </c>
      <c r="W104" s="2"/>
      <c r="X104" s="2">
        <f t="shared" si="13"/>
        <v>2641632</v>
      </c>
      <c r="Y104" s="2"/>
      <c r="Z104" s="19">
        <f t="shared" si="14"/>
        <v>0</v>
      </c>
    </row>
    <row r="105" spans="1:26" s="24" customFormat="1" hidden="1" outlineLevel="1" x14ac:dyDescent="0.25">
      <c r="A105" s="44"/>
      <c r="B105" s="11" t="str">
        <f>CONCATENATE("          ", "5500", " - ", "FREIGHT-IN")</f>
        <v xml:space="preserve">          5500 - FREIGHT-IN</v>
      </c>
      <c r="C105" s="11"/>
      <c r="D105" s="2">
        <v>0</v>
      </c>
      <c r="E105" s="2"/>
      <c r="F105" s="19">
        <f t="shared" si="7"/>
        <v>0</v>
      </c>
      <c r="G105" s="2"/>
      <c r="H105" s="2"/>
      <c r="I105" s="2"/>
      <c r="J105" s="19">
        <f t="shared" si="8"/>
        <v>0</v>
      </c>
      <c r="K105" s="2"/>
      <c r="L105" s="2">
        <f t="shared" si="9"/>
        <v>0</v>
      </c>
      <c r="M105" s="2"/>
      <c r="N105" s="19">
        <f t="shared" si="10"/>
        <v>0</v>
      </c>
      <c r="O105" s="11"/>
      <c r="P105" s="2">
        <v>0</v>
      </c>
      <c r="Q105" s="2"/>
      <c r="R105" s="19">
        <f t="shared" si="11"/>
        <v>0</v>
      </c>
      <c r="S105" s="2"/>
      <c r="T105" s="2"/>
      <c r="U105" s="2"/>
      <c r="V105" s="19">
        <f t="shared" si="12"/>
        <v>0</v>
      </c>
      <c r="W105" s="2"/>
      <c r="X105" s="2">
        <f t="shared" si="13"/>
        <v>0</v>
      </c>
      <c r="Y105" s="2"/>
      <c r="Z105" s="19">
        <f t="shared" si="14"/>
        <v>0</v>
      </c>
    </row>
    <row r="106" spans="1:26" s="24" customFormat="1" hidden="1" outlineLevel="1" x14ac:dyDescent="0.25">
      <c r="A106" s="44"/>
      <c r="B106" s="11" t="str">
        <f>CONCATENATE("          ", "5501", " - ", "FREIGHT-IN-NEW TEXT")</f>
        <v xml:space="preserve">          5501 - FREIGHT-IN-NEW TEXT</v>
      </c>
      <c r="C106" s="11"/>
      <c r="D106" s="2">
        <v>1522.41</v>
      </c>
      <c r="E106" s="2"/>
      <c r="F106" s="19">
        <f t="shared" si="7"/>
        <v>3.0041893010439558E-3</v>
      </c>
      <c r="G106" s="2"/>
      <c r="H106" s="2"/>
      <c r="I106" s="2"/>
      <c r="J106" s="19">
        <f t="shared" si="8"/>
        <v>0</v>
      </c>
      <c r="K106" s="2"/>
      <c r="L106" s="2">
        <f t="shared" si="9"/>
        <v>1522.41</v>
      </c>
      <c r="M106" s="2"/>
      <c r="N106" s="19">
        <f t="shared" si="10"/>
        <v>0</v>
      </c>
      <c r="O106" s="11"/>
      <c r="P106" s="2">
        <v>51836.14</v>
      </c>
      <c r="Q106" s="2"/>
      <c r="R106" s="19">
        <f t="shared" si="11"/>
        <v>9.9504976556079629E-3</v>
      </c>
      <c r="S106" s="2"/>
      <c r="T106" s="2"/>
      <c r="U106" s="2"/>
      <c r="V106" s="19">
        <f t="shared" si="12"/>
        <v>0</v>
      </c>
      <c r="W106" s="2"/>
      <c r="X106" s="2">
        <f t="shared" si="13"/>
        <v>51836.14</v>
      </c>
      <c r="Y106" s="2"/>
      <c r="Z106" s="19">
        <f t="shared" si="14"/>
        <v>0</v>
      </c>
    </row>
    <row r="107" spans="1:26" s="24" customFormat="1" hidden="1" outlineLevel="1" x14ac:dyDescent="0.25">
      <c r="A107" s="44"/>
      <c r="B107" s="11" t="str">
        <f>CONCATENATE("          ", "5502", " - ", "FREIGHT-IN-USED TEXT")</f>
        <v xml:space="preserve">          5502 - FREIGHT-IN-USED TEXT</v>
      </c>
      <c r="C107" s="11"/>
      <c r="D107" s="2">
        <v>133.97</v>
      </c>
      <c r="E107" s="2"/>
      <c r="F107" s="19">
        <f t="shared" si="7"/>
        <v>2.643645540037564E-4</v>
      </c>
      <c r="G107" s="2"/>
      <c r="H107" s="2"/>
      <c r="I107" s="2"/>
      <c r="J107" s="19">
        <f t="shared" si="8"/>
        <v>0</v>
      </c>
      <c r="K107" s="2"/>
      <c r="L107" s="2">
        <f t="shared" si="9"/>
        <v>133.97</v>
      </c>
      <c r="M107" s="2"/>
      <c r="N107" s="19">
        <f t="shared" si="10"/>
        <v>0</v>
      </c>
      <c r="O107" s="11"/>
      <c r="P107" s="2">
        <v>17992.87</v>
      </c>
      <c r="Q107" s="2"/>
      <c r="R107" s="19">
        <f t="shared" si="11"/>
        <v>3.453922509520555E-3</v>
      </c>
      <c r="S107" s="2"/>
      <c r="T107" s="2"/>
      <c r="U107" s="2"/>
      <c r="V107" s="19">
        <f t="shared" si="12"/>
        <v>0</v>
      </c>
      <c r="W107" s="2"/>
      <c r="X107" s="2">
        <f t="shared" si="13"/>
        <v>17992.87</v>
      </c>
      <c r="Y107" s="2"/>
      <c r="Z107" s="19">
        <f t="shared" si="14"/>
        <v>0</v>
      </c>
    </row>
    <row r="108" spans="1:26" s="24" customFormat="1" hidden="1" outlineLevel="1" x14ac:dyDescent="0.25">
      <c r="A108" s="44"/>
      <c r="B108" s="11" t="str">
        <f>CONCATENATE("          ", "5504", " - ", "FREIGHT-IN-DIGITAL TEXT")</f>
        <v xml:space="preserve">          5504 - FREIGHT-IN-DIGITAL TEXT</v>
      </c>
      <c r="C108" s="11"/>
      <c r="D108" s="2"/>
      <c r="E108" s="2"/>
      <c r="F108" s="19">
        <f t="shared" si="7"/>
        <v>0</v>
      </c>
      <c r="G108" s="2"/>
      <c r="H108" s="2"/>
      <c r="I108" s="2"/>
      <c r="J108" s="19">
        <f t="shared" si="8"/>
        <v>0</v>
      </c>
      <c r="K108" s="2"/>
      <c r="L108" s="2">
        <f t="shared" si="9"/>
        <v>0</v>
      </c>
      <c r="M108" s="2"/>
      <c r="N108" s="19">
        <f t="shared" si="10"/>
        <v>0</v>
      </c>
      <c r="O108" s="11"/>
      <c r="P108" s="2">
        <v>28.92</v>
      </c>
      <c r="Q108" s="2"/>
      <c r="R108" s="19">
        <f t="shared" si="11"/>
        <v>5.5515011765957549E-6</v>
      </c>
      <c r="S108" s="2"/>
      <c r="T108" s="2"/>
      <c r="U108" s="2"/>
      <c r="V108" s="19">
        <f t="shared" si="12"/>
        <v>0</v>
      </c>
      <c r="W108" s="2"/>
      <c r="X108" s="2">
        <f t="shared" si="13"/>
        <v>28.92</v>
      </c>
      <c r="Y108" s="2"/>
      <c r="Z108" s="19">
        <f t="shared" si="14"/>
        <v>0</v>
      </c>
    </row>
    <row r="109" spans="1:26" s="24" customFormat="1" hidden="1" outlineLevel="1" x14ac:dyDescent="0.25">
      <c r="A109" s="44"/>
      <c r="B109" s="11" t="str">
        <f>CONCATENATE("          ", "5513", " - ", "FREIGHT-IN-TRADE BOOKS")</f>
        <v xml:space="preserve">          5513 - FREIGHT-IN-TRADE BOOKS</v>
      </c>
      <c r="C109" s="11"/>
      <c r="D109" s="2"/>
      <c r="E109" s="2"/>
      <c r="F109" s="19">
        <f t="shared" si="7"/>
        <v>0</v>
      </c>
      <c r="G109" s="2"/>
      <c r="H109" s="2"/>
      <c r="I109" s="2"/>
      <c r="J109" s="19">
        <f t="shared" si="8"/>
        <v>0</v>
      </c>
      <c r="K109" s="2"/>
      <c r="L109" s="2">
        <f t="shared" si="9"/>
        <v>0</v>
      </c>
      <c r="M109" s="2"/>
      <c r="N109" s="19">
        <f t="shared" si="10"/>
        <v>0</v>
      </c>
      <c r="O109" s="11"/>
      <c r="P109" s="2">
        <v>85.28</v>
      </c>
      <c r="Q109" s="2"/>
      <c r="R109" s="19">
        <f t="shared" si="11"/>
        <v>1.6370401809823167E-5</v>
      </c>
      <c r="S109" s="2"/>
      <c r="T109" s="2"/>
      <c r="U109" s="2"/>
      <c r="V109" s="19">
        <f t="shared" si="12"/>
        <v>0</v>
      </c>
      <c r="W109" s="2"/>
      <c r="X109" s="2">
        <f t="shared" si="13"/>
        <v>85.28</v>
      </c>
      <c r="Y109" s="2"/>
      <c r="Z109" s="19">
        <f t="shared" si="14"/>
        <v>0</v>
      </c>
    </row>
    <row r="110" spans="1:26" s="24" customFormat="1" hidden="1" outlineLevel="1" x14ac:dyDescent="0.25">
      <c r="A110" s="44"/>
      <c r="B110" s="11" t="str">
        <f>CONCATENATE("          ", "5525", " - ", "FREIGHT-IN-TEST FORMS")</f>
        <v xml:space="preserve">          5525 - FREIGHT-IN-TEST FORMS</v>
      </c>
      <c r="C110" s="11"/>
      <c r="D110" s="2"/>
      <c r="E110" s="2"/>
      <c r="F110" s="19">
        <f t="shared" si="7"/>
        <v>0</v>
      </c>
      <c r="G110" s="2"/>
      <c r="H110" s="2"/>
      <c r="I110" s="2"/>
      <c r="J110" s="19">
        <f t="shared" si="8"/>
        <v>0</v>
      </c>
      <c r="K110" s="2"/>
      <c r="L110" s="2">
        <f t="shared" si="9"/>
        <v>0</v>
      </c>
      <c r="M110" s="2"/>
      <c r="N110" s="19">
        <f t="shared" si="10"/>
        <v>0</v>
      </c>
      <c r="O110" s="11"/>
      <c r="P110" s="2">
        <v>48.14</v>
      </c>
      <c r="Q110" s="2"/>
      <c r="R110" s="19">
        <f t="shared" si="11"/>
        <v>9.2409843236970828E-6</v>
      </c>
      <c r="S110" s="2"/>
      <c r="T110" s="2"/>
      <c r="U110" s="2"/>
      <c r="V110" s="19">
        <f t="shared" si="12"/>
        <v>0</v>
      </c>
      <c r="W110" s="2"/>
      <c r="X110" s="2">
        <f t="shared" si="13"/>
        <v>48.14</v>
      </c>
      <c r="Y110" s="2"/>
      <c r="Z110" s="19">
        <f t="shared" si="14"/>
        <v>0</v>
      </c>
    </row>
    <row r="111" spans="1:26" s="24" customFormat="1" hidden="1" outlineLevel="1" x14ac:dyDescent="0.25">
      <c r="A111" s="44"/>
      <c r="B111" s="11" t="str">
        <f>CONCATENATE("          ", "5526", " - ", "FREIGHT-IN-WRITING INSTRUMENTS")</f>
        <v xml:space="preserve">          5526 - FREIGHT-IN-WRITING INSTRUMENTS</v>
      </c>
      <c r="C111" s="11"/>
      <c r="D111" s="2"/>
      <c r="E111" s="2"/>
      <c r="F111" s="19">
        <f t="shared" si="7"/>
        <v>0</v>
      </c>
      <c r="G111" s="2"/>
      <c r="H111" s="2"/>
      <c r="I111" s="2"/>
      <c r="J111" s="19">
        <f t="shared" si="8"/>
        <v>0</v>
      </c>
      <c r="K111" s="2"/>
      <c r="L111" s="2">
        <f t="shared" si="9"/>
        <v>0</v>
      </c>
      <c r="M111" s="2"/>
      <c r="N111" s="19">
        <f t="shared" si="10"/>
        <v>0</v>
      </c>
      <c r="O111" s="11"/>
      <c r="P111" s="2">
        <v>0</v>
      </c>
      <c r="Q111" s="2"/>
      <c r="R111" s="19">
        <f t="shared" si="11"/>
        <v>0</v>
      </c>
      <c r="S111" s="2"/>
      <c r="T111" s="2"/>
      <c r="U111" s="2"/>
      <c r="V111" s="19">
        <f t="shared" si="12"/>
        <v>0</v>
      </c>
      <c r="W111" s="2"/>
      <c r="X111" s="2">
        <f t="shared" si="13"/>
        <v>0</v>
      </c>
      <c r="Y111" s="2"/>
      <c r="Z111" s="19">
        <f t="shared" si="14"/>
        <v>0</v>
      </c>
    </row>
    <row r="112" spans="1:26" s="24" customFormat="1" hidden="1" outlineLevel="1" x14ac:dyDescent="0.25">
      <c r="A112" s="44"/>
      <c r="B112" s="11" t="str">
        <f>CONCATENATE("          ", "5527", " - ", "FREIGHT-IN-SCHOOL SUPPLIES")</f>
        <v xml:space="preserve">          5527 - FREIGHT-IN-SCHOOL SUPPLIES</v>
      </c>
      <c r="C112" s="11"/>
      <c r="D112" s="2"/>
      <c r="E112" s="2"/>
      <c r="F112" s="19">
        <f t="shared" si="7"/>
        <v>0</v>
      </c>
      <c r="G112" s="2"/>
      <c r="H112" s="2"/>
      <c r="I112" s="2"/>
      <c r="J112" s="19">
        <f t="shared" si="8"/>
        <v>0</v>
      </c>
      <c r="K112" s="2"/>
      <c r="L112" s="2">
        <f t="shared" si="9"/>
        <v>0</v>
      </c>
      <c r="M112" s="2"/>
      <c r="N112" s="19">
        <f t="shared" si="10"/>
        <v>0</v>
      </c>
      <c r="O112" s="11"/>
      <c r="P112" s="2">
        <v>218.62</v>
      </c>
      <c r="Q112" s="2"/>
      <c r="R112" s="19">
        <f t="shared" si="11"/>
        <v>4.196643109361563E-5</v>
      </c>
      <c r="S112" s="2"/>
      <c r="T112" s="2"/>
      <c r="U112" s="2"/>
      <c r="V112" s="19">
        <f t="shared" si="12"/>
        <v>0</v>
      </c>
      <c r="W112" s="2"/>
      <c r="X112" s="2">
        <f t="shared" si="13"/>
        <v>218.62</v>
      </c>
      <c r="Y112" s="2"/>
      <c r="Z112" s="19">
        <f t="shared" si="14"/>
        <v>0</v>
      </c>
    </row>
    <row r="113" spans="1:26" s="24" customFormat="1" hidden="1" outlineLevel="1" x14ac:dyDescent="0.25">
      <c r="A113" s="44"/>
      <c r="B113" s="11" t="str">
        <f>CONCATENATE("          ", "5528", " - ", "FREIGHT-IN-ART/TECH")</f>
        <v xml:space="preserve">          5528 - FREIGHT-IN-ART/TECH</v>
      </c>
      <c r="C113" s="11"/>
      <c r="D113" s="2">
        <v>28.53</v>
      </c>
      <c r="E113" s="2"/>
      <c r="F113" s="19">
        <f t="shared" si="7"/>
        <v>5.6298579724768003E-5</v>
      </c>
      <c r="G113" s="2"/>
      <c r="H113" s="2"/>
      <c r="I113" s="2"/>
      <c r="J113" s="19">
        <f t="shared" si="8"/>
        <v>0</v>
      </c>
      <c r="K113" s="2"/>
      <c r="L113" s="2">
        <f t="shared" si="9"/>
        <v>28.53</v>
      </c>
      <c r="M113" s="2"/>
      <c r="N113" s="19">
        <f t="shared" si="10"/>
        <v>0</v>
      </c>
      <c r="O113" s="11"/>
      <c r="P113" s="2">
        <v>572.96</v>
      </c>
      <c r="Q113" s="2"/>
      <c r="R113" s="19">
        <f t="shared" si="11"/>
        <v>1.0998575775042545E-4</v>
      </c>
      <c r="S113" s="2"/>
      <c r="T113" s="2"/>
      <c r="U113" s="2"/>
      <c r="V113" s="19">
        <f t="shared" si="12"/>
        <v>0</v>
      </c>
      <c r="W113" s="2"/>
      <c r="X113" s="2">
        <f t="shared" si="13"/>
        <v>572.96</v>
      </c>
      <c r="Y113" s="2"/>
      <c r="Z113" s="19">
        <f t="shared" si="14"/>
        <v>0</v>
      </c>
    </row>
    <row r="114" spans="1:26" s="24" customFormat="1" hidden="1" outlineLevel="1" x14ac:dyDescent="0.25">
      <c r="A114" s="44"/>
      <c r="B114" s="11" t="str">
        <f>CONCATENATE("          ", "5540", " - ", "FREIGHT-IN-LOGO CLOTHING")</f>
        <v xml:space="preserve">          5540 - FREIGHT-IN-LOGO CLOTHING</v>
      </c>
      <c r="C114" s="11"/>
      <c r="D114" s="2">
        <v>1283.68</v>
      </c>
      <c r="E114" s="2"/>
      <c r="F114" s="19">
        <f t="shared" si="7"/>
        <v>2.5331006246438904E-3</v>
      </c>
      <c r="G114" s="2"/>
      <c r="H114" s="2"/>
      <c r="I114" s="2"/>
      <c r="J114" s="19">
        <f t="shared" si="8"/>
        <v>0</v>
      </c>
      <c r="K114" s="2"/>
      <c r="L114" s="2">
        <f t="shared" si="9"/>
        <v>1283.68</v>
      </c>
      <c r="M114" s="2"/>
      <c r="N114" s="19">
        <f t="shared" si="10"/>
        <v>0</v>
      </c>
      <c r="O114" s="11"/>
      <c r="P114" s="2">
        <v>10499.7</v>
      </c>
      <c r="Q114" s="2"/>
      <c r="R114" s="19">
        <f t="shared" si="11"/>
        <v>2.0155289385858388E-3</v>
      </c>
      <c r="S114" s="2"/>
      <c r="T114" s="2"/>
      <c r="U114" s="2"/>
      <c r="V114" s="19">
        <f t="shared" si="12"/>
        <v>0</v>
      </c>
      <c r="W114" s="2"/>
      <c r="X114" s="2">
        <f t="shared" si="13"/>
        <v>10499.7</v>
      </c>
      <c r="Y114" s="2"/>
      <c r="Z114" s="19">
        <f t="shared" si="14"/>
        <v>0</v>
      </c>
    </row>
    <row r="115" spans="1:26" s="24" customFormat="1" hidden="1" outlineLevel="1" x14ac:dyDescent="0.25">
      <c r="A115" s="44"/>
      <c r="B115" s="11" t="str">
        <f>CONCATENATE("          ", "5541", " - ", "FREIGHT-IN-LOGO GIFTS")</f>
        <v xml:space="preserve">          5541 - FREIGHT-IN-LOGO GIFTS</v>
      </c>
      <c r="C115" s="11"/>
      <c r="D115" s="2">
        <v>961.21</v>
      </c>
      <c r="E115" s="2"/>
      <c r="F115" s="19">
        <f t="shared" si="7"/>
        <v>1.8967668355150456E-3</v>
      </c>
      <c r="G115" s="2"/>
      <c r="H115" s="2"/>
      <c r="I115" s="2"/>
      <c r="J115" s="19">
        <f t="shared" si="8"/>
        <v>0</v>
      </c>
      <c r="K115" s="2"/>
      <c r="L115" s="2">
        <f t="shared" si="9"/>
        <v>961.21</v>
      </c>
      <c r="M115" s="2"/>
      <c r="N115" s="19">
        <f t="shared" si="10"/>
        <v>0</v>
      </c>
      <c r="O115" s="11"/>
      <c r="P115" s="2">
        <v>5977.2</v>
      </c>
      <c r="Q115" s="2"/>
      <c r="R115" s="19">
        <f t="shared" si="11"/>
        <v>1.1473870274117616E-3</v>
      </c>
      <c r="S115" s="2"/>
      <c r="T115" s="2"/>
      <c r="U115" s="2"/>
      <c r="V115" s="19">
        <f t="shared" si="12"/>
        <v>0</v>
      </c>
      <c r="W115" s="2"/>
      <c r="X115" s="2">
        <f t="shared" si="13"/>
        <v>5977.2</v>
      </c>
      <c r="Y115" s="2"/>
      <c r="Z115" s="19">
        <f t="shared" si="14"/>
        <v>0</v>
      </c>
    </row>
    <row r="116" spans="1:26" s="24" customFormat="1" hidden="1" outlineLevel="1" x14ac:dyDescent="0.25">
      <c r="A116" s="44"/>
      <c r="B116" s="11" t="str">
        <f>CONCATENATE("          ", "5542", " - ", "FREIGHT-IN-EVERYDAY GIFTS")</f>
        <v xml:space="preserve">          5542 - FREIGHT-IN-EVERYDAY GIFTS</v>
      </c>
      <c r="C116" s="11"/>
      <c r="D116" s="2"/>
      <c r="E116" s="2"/>
      <c r="F116" s="19">
        <f t="shared" si="7"/>
        <v>0</v>
      </c>
      <c r="G116" s="2"/>
      <c r="H116" s="2"/>
      <c r="I116" s="2"/>
      <c r="J116" s="19">
        <f t="shared" si="8"/>
        <v>0</v>
      </c>
      <c r="K116" s="2"/>
      <c r="L116" s="2">
        <f t="shared" si="9"/>
        <v>0</v>
      </c>
      <c r="M116" s="2"/>
      <c r="N116" s="19">
        <f t="shared" si="10"/>
        <v>0</v>
      </c>
      <c r="O116" s="11"/>
      <c r="P116" s="2">
        <v>681.72</v>
      </c>
      <c r="Q116" s="2"/>
      <c r="R116" s="19">
        <f t="shared" si="11"/>
        <v>1.3086339495535471E-4</v>
      </c>
      <c r="S116" s="2"/>
      <c r="T116" s="2"/>
      <c r="U116" s="2"/>
      <c r="V116" s="19">
        <f t="shared" si="12"/>
        <v>0</v>
      </c>
      <c r="W116" s="2"/>
      <c r="X116" s="2">
        <f t="shared" si="13"/>
        <v>681.72</v>
      </c>
      <c r="Y116" s="2"/>
      <c r="Z116" s="19">
        <f t="shared" si="14"/>
        <v>0</v>
      </c>
    </row>
    <row r="117" spans="1:26" s="24" customFormat="1" hidden="1" outlineLevel="1" x14ac:dyDescent="0.25">
      <c r="A117" s="44"/>
      <c r="B117" s="11" t="str">
        <f>CONCATENATE("          ", "5543", " - ", "FREIGHT-IN-CARDS")</f>
        <v xml:space="preserve">          5543 - FREIGHT-IN-CARDS</v>
      </c>
      <c r="C117" s="11"/>
      <c r="D117" s="2"/>
      <c r="E117" s="2"/>
      <c r="F117" s="19">
        <f t="shared" si="7"/>
        <v>0</v>
      </c>
      <c r="G117" s="2"/>
      <c r="H117" s="2"/>
      <c r="I117" s="2"/>
      <c r="J117" s="19">
        <f t="shared" si="8"/>
        <v>0</v>
      </c>
      <c r="K117" s="2"/>
      <c r="L117" s="2">
        <f t="shared" si="9"/>
        <v>0</v>
      </c>
      <c r="M117" s="2"/>
      <c r="N117" s="19">
        <f t="shared" si="10"/>
        <v>0</v>
      </c>
      <c r="O117" s="11"/>
      <c r="P117" s="2">
        <v>9110.5300000000007</v>
      </c>
      <c r="Q117" s="2"/>
      <c r="R117" s="19">
        <f t="shared" si="11"/>
        <v>1.7488630018814291E-3</v>
      </c>
      <c r="S117" s="2"/>
      <c r="T117" s="2"/>
      <c r="U117" s="2"/>
      <c r="V117" s="19">
        <f t="shared" si="12"/>
        <v>0</v>
      </c>
      <c r="W117" s="2"/>
      <c r="X117" s="2">
        <f t="shared" si="13"/>
        <v>9110.5300000000007</v>
      </c>
      <c r="Y117" s="2"/>
      <c r="Z117" s="19">
        <f t="shared" si="14"/>
        <v>0</v>
      </c>
    </row>
    <row r="118" spans="1:26" s="24" customFormat="1" hidden="1" outlineLevel="1" x14ac:dyDescent="0.25">
      <c r="A118" s="44"/>
      <c r="B118" s="11" t="str">
        <f>CONCATENATE("          ", "5545", " - ", "FREIGHT-IN-SPECIAL ORDERS")</f>
        <v xml:space="preserve">          5545 - FREIGHT-IN-SPECIAL ORDERS</v>
      </c>
      <c r="C118" s="11"/>
      <c r="D118" s="2">
        <v>1033.9000000000001</v>
      </c>
      <c r="E118" s="2"/>
      <c r="F118" s="19">
        <f t="shared" si="7"/>
        <v>2.0402068551502854E-3</v>
      </c>
      <c r="G118" s="2"/>
      <c r="H118" s="2"/>
      <c r="I118" s="2"/>
      <c r="J118" s="19">
        <f t="shared" si="8"/>
        <v>0</v>
      </c>
      <c r="K118" s="2"/>
      <c r="L118" s="2">
        <f t="shared" si="9"/>
        <v>1033.9000000000001</v>
      </c>
      <c r="M118" s="2"/>
      <c r="N118" s="19">
        <f t="shared" si="10"/>
        <v>0</v>
      </c>
      <c r="O118" s="11"/>
      <c r="P118" s="2">
        <v>2468.66</v>
      </c>
      <c r="Q118" s="2"/>
      <c r="R118" s="19">
        <f t="shared" si="11"/>
        <v>4.7388550811254754E-4</v>
      </c>
      <c r="S118" s="2"/>
      <c r="T118" s="2"/>
      <c r="U118" s="2"/>
      <c r="V118" s="19">
        <f t="shared" si="12"/>
        <v>0</v>
      </c>
      <c r="W118" s="2"/>
      <c r="X118" s="2">
        <f t="shared" si="13"/>
        <v>2468.66</v>
      </c>
      <c r="Y118" s="2"/>
      <c r="Z118" s="19">
        <f t="shared" si="14"/>
        <v>0</v>
      </c>
    </row>
    <row r="119" spans="1:26" s="24" customFormat="1" hidden="1" outlineLevel="1" x14ac:dyDescent="0.25">
      <c r="A119" s="44"/>
      <c r="B119" s="11" t="str">
        <f>CONCATENATE("          ", "5592", " - ", "FREIGHT-IN-GRAD MERCH")</f>
        <v xml:space="preserve">          5592 - FREIGHT-IN-GRAD MERCH</v>
      </c>
      <c r="C119" s="11"/>
      <c r="D119" s="2"/>
      <c r="E119" s="2"/>
      <c r="F119" s="19">
        <f t="shared" si="7"/>
        <v>0</v>
      </c>
      <c r="G119" s="2"/>
      <c r="H119" s="2"/>
      <c r="I119" s="2"/>
      <c r="J119" s="19">
        <f t="shared" si="8"/>
        <v>0</v>
      </c>
      <c r="K119" s="2"/>
      <c r="L119" s="2">
        <f t="shared" si="9"/>
        <v>0</v>
      </c>
      <c r="M119" s="2"/>
      <c r="N119" s="19">
        <f t="shared" si="10"/>
        <v>0</v>
      </c>
      <c r="O119" s="11"/>
      <c r="P119" s="2">
        <v>0</v>
      </c>
      <c r="Q119" s="2"/>
      <c r="R119" s="19">
        <f t="shared" si="11"/>
        <v>0</v>
      </c>
      <c r="S119" s="2"/>
      <c r="T119" s="2"/>
      <c r="U119" s="2"/>
      <c r="V119" s="19">
        <f t="shared" si="12"/>
        <v>0</v>
      </c>
      <c r="W119" s="2"/>
      <c r="X119" s="2">
        <f t="shared" si="13"/>
        <v>0</v>
      </c>
      <c r="Y119" s="2"/>
      <c r="Z119" s="19">
        <f t="shared" si="14"/>
        <v>0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8" t="s">
        <v>108</v>
      </c>
      <c r="C121" s="28"/>
      <c r="D121" s="20">
        <f>D12-D80</f>
        <v>258139.27000000019</v>
      </c>
      <c r="E121" s="14"/>
      <c r="F121" s="21">
        <f>IF(D$12=0,0,D121/D$12)</f>
        <v>0.50938921388673064</v>
      </c>
      <c r="G121" s="14"/>
      <c r="H121" s="20">
        <f>H12-H80</f>
        <v>318506</v>
      </c>
      <c r="I121" s="14"/>
      <c r="J121" s="21">
        <f>IF(H$12=0,0,H121/H$12)</f>
        <v>0.5464227568353025</v>
      </c>
      <c r="K121" s="15"/>
      <c r="L121" s="20">
        <f>+D121-H121</f>
        <v>-60366.729999999807</v>
      </c>
      <c r="M121" s="15"/>
      <c r="N121" s="21">
        <f>IF(H121=0,0,L121/H121)</f>
        <v>-0.18953090365644543</v>
      </c>
      <c r="O121" s="29"/>
      <c r="P121" s="20">
        <f>P12-P80</f>
        <v>2016620.94</v>
      </c>
      <c r="Q121" s="14"/>
      <c r="R121" s="21">
        <f>IF(P$12=0,0,P121/P$12)</f>
        <v>0.38711180916865962</v>
      </c>
      <c r="S121" s="14"/>
      <c r="T121" s="20">
        <f>T12-T80</f>
        <v>3726499</v>
      </c>
      <c r="U121" s="14"/>
      <c r="V121" s="21">
        <f>IF(T$12=0,0,T121/T$12)</f>
        <v>0.42463842481379543</v>
      </c>
      <c r="W121" s="15"/>
      <c r="X121" s="20">
        <f>+P121-T121</f>
        <v>-1709878.06</v>
      </c>
      <c r="Y121" s="15"/>
      <c r="Z121" s="21">
        <f>IF(T121=0,0,X121/T121)</f>
        <v>-0.45884302129156618</v>
      </c>
    </row>
    <row r="122" spans="1:26" x14ac:dyDescent="0.25">
      <c r="A122" s="9"/>
      <c r="B122" s="10"/>
      <c r="C122" s="9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6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x14ac:dyDescent="0.25">
      <c r="A123" s="10"/>
      <c r="B123" s="29" t="s">
        <v>295</v>
      </c>
      <c r="C123" s="10"/>
      <c r="D123" s="22">
        <f>SUM(OSRRefD22x_0)</f>
        <v>230734.18999999994</v>
      </c>
      <c r="E123" s="22"/>
      <c r="F123" s="31">
        <f t="shared" ref="F123:F134" si="15">IF(D$12=0,0,D123/D$12)</f>
        <v>0.45531045183823221</v>
      </c>
      <c r="G123" s="22"/>
      <c r="H123" s="22">
        <f>SUM(OSRRefH22x_0)</f>
        <v>342903.58593172848</v>
      </c>
      <c r="I123" s="22"/>
      <c r="J123" s="31">
        <f t="shared" ref="J123:J134" si="16">IF(H$12=0,0,H123/H$12)</f>
        <v>0.58827878518309273</v>
      </c>
      <c r="K123" s="4"/>
      <c r="L123" s="22">
        <f t="shared" ref="L123:L134" si="17">+D123-H123</f>
        <v>-112169.39593172853</v>
      </c>
      <c r="M123" s="4"/>
      <c r="N123" s="31">
        <f t="shared" ref="N123:N134" si="18">IF(H123=0,0,L123/H123)</f>
        <v>-0.32711642728070295</v>
      </c>
      <c r="O123" s="10"/>
      <c r="P123" s="22">
        <f>SUM(OSRRefP22x_0)</f>
        <v>2869065.8400000012</v>
      </c>
      <c r="Q123" s="22"/>
      <c r="R123" s="31">
        <f t="shared" ref="R123:R134" si="19">IF(P$12=0,0,P123/P$12)</f>
        <v>0.55074766205016235</v>
      </c>
      <c r="S123" s="22"/>
      <c r="T123" s="22">
        <f>SUM(OSRRefT22x_0)</f>
        <v>4082763.8606458819</v>
      </c>
      <c r="U123" s="22"/>
      <c r="V123" s="31">
        <f t="shared" ref="V123:V134" si="20">IF(T$12=0,0,T123/T$12)</f>
        <v>0.46523517507219447</v>
      </c>
      <c r="W123" s="4"/>
      <c r="X123" s="22">
        <f t="shared" ref="X123:X134" si="21">+P123-T123</f>
        <v>-1213698.0206458806</v>
      </c>
      <c r="Y123" s="4"/>
      <c r="Z123" s="31">
        <f t="shared" ref="Z123:Z134" si="22">IF(T123=0,0,X123/T123)</f>
        <v>-0.29727362690378006</v>
      </c>
    </row>
    <row r="124" spans="1:26" s="27" customFormat="1" outlineLevel="1" collapsed="1" x14ac:dyDescent="0.25">
      <c r="A124" s="26"/>
      <c r="B124" s="13" t="str">
        <f>CONCATENATE("     ","*Benefits                                         ")</f>
        <v xml:space="preserve">     *Benefits                                         </v>
      </c>
      <c r="C124" s="13"/>
      <c r="D124" s="1">
        <f>SUM(OSRRefD22_0x_0)</f>
        <v>47641.08</v>
      </c>
      <c r="E124" s="1"/>
      <c r="F124" s="5">
        <f t="shared" si="15"/>
        <v>9.4010695427762025E-2</v>
      </c>
      <c r="G124" s="1"/>
      <c r="H124" s="1">
        <f>SUM(OSRRefH22_0x_0)</f>
        <v>41420.92048803615</v>
      </c>
      <c r="I124" s="1"/>
      <c r="J124" s="5">
        <f t="shared" si="16"/>
        <v>7.1060933118147152E-2</v>
      </c>
      <c r="K124" s="1"/>
      <c r="L124" s="1">
        <f t="shared" si="17"/>
        <v>6220.1595119638514</v>
      </c>
      <c r="M124" s="1"/>
      <c r="N124" s="5">
        <f t="shared" si="18"/>
        <v>0.15016951431005637</v>
      </c>
      <c r="O124" s="13"/>
      <c r="P124" s="1">
        <f>SUM(OSRRefP22_0x_0)</f>
        <v>511502.97000000003</v>
      </c>
      <c r="Q124" s="1"/>
      <c r="R124" s="5">
        <f t="shared" si="19"/>
        <v>9.8188428070097616E-2</v>
      </c>
      <c r="S124" s="1"/>
      <c r="T124" s="1">
        <f>SUM(OSRRefT22_0x_0)</f>
        <v>495827.85637157393</v>
      </c>
      <c r="U124" s="1"/>
      <c r="V124" s="5">
        <f t="shared" si="20"/>
        <v>5.6500098325110507E-2</v>
      </c>
      <c r="W124" s="1"/>
      <c r="X124" s="1">
        <f t="shared" si="21"/>
        <v>15675.113628426101</v>
      </c>
      <c r="Y124" s="1"/>
      <c r="Z124" s="5">
        <f t="shared" si="22"/>
        <v>3.1614023752387067E-2</v>
      </c>
    </row>
    <row r="125" spans="1:26" s="24" customFormat="1" hidden="1" outlineLevel="2" x14ac:dyDescent="0.25">
      <c r="A125" s="25"/>
      <c r="B125" s="11" t="str">
        <f>CONCATENATE("          ", "6111", " - ", "F.I.C.A.")</f>
        <v xml:space="preserve">          6111 - F.I.C.A.</v>
      </c>
      <c r="C125" s="11"/>
      <c r="D125" s="7">
        <v>8259.76</v>
      </c>
      <c r="E125" s="2"/>
      <c r="F125" s="6">
        <f t="shared" si="15"/>
        <v>1.6299080156587795E-2</v>
      </c>
      <c r="G125" s="2"/>
      <c r="H125" s="7">
        <v>6515.1667891592297</v>
      </c>
      <c r="I125" s="2"/>
      <c r="J125" s="6">
        <f t="shared" si="16"/>
        <v>1.1177294613521229E-2</v>
      </c>
      <c r="K125" s="2"/>
      <c r="L125" s="7">
        <f t="shared" si="17"/>
        <v>1744.5932108407706</v>
      </c>
      <c r="M125" s="2"/>
      <c r="N125" s="6">
        <f t="shared" si="18"/>
        <v>0.26777414413145162</v>
      </c>
      <c r="O125" s="11"/>
      <c r="P125" s="7">
        <v>97477.94</v>
      </c>
      <c r="Q125" s="2"/>
      <c r="R125" s="6">
        <f t="shared" si="19"/>
        <v>1.8711925954430511E-2</v>
      </c>
      <c r="S125" s="2"/>
      <c r="T125" s="7">
        <v>88545.345131375798</v>
      </c>
      <c r="U125" s="2"/>
      <c r="V125" s="6">
        <f t="shared" si="20"/>
        <v>1.0089833884614296E-2</v>
      </c>
      <c r="W125" s="2"/>
      <c r="X125" s="7">
        <f t="shared" si="21"/>
        <v>8932.5948686242045</v>
      </c>
      <c r="Y125" s="2"/>
      <c r="Z125" s="6">
        <f t="shared" si="22"/>
        <v>0.10088158621292634</v>
      </c>
    </row>
    <row r="126" spans="1:26" s="24" customFormat="1" hidden="1" outlineLevel="2" x14ac:dyDescent="0.25">
      <c r="A126" s="25"/>
      <c r="B126" s="11" t="str">
        <f>CONCATENATE("          ", "6112", " - ", "COMPENSATION INSURANCE")</f>
        <v xml:space="preserve">          6112 - COMPENSATION INSURANCE</v>
      </c>
      <c r="C126" s="11"/>
      <c r="D126" s="7">
        <v>2713.69</v>
      </c>
      <c r="E126" s="2"/>
      <c r="F126" s="6">
        <f t="shared" si="15"/>
        <v>5.3549559345708268E-3</v>
      </c>
      <c r="G126" s="2"/>
      <c r="H126" s="7">
        <v>2771.5092122307701</v>
      </c>
      <c r="I126" s="2"/>
      <c r="J126" s="6">
        <f t="shared" si="16"/>
        <v>4.754747804881462E-3</v>
      </c>
      <c r="K126" s="2"/>
      <c r="L126" s="7">
        <f t="shared" si="17"/>
        <v>-57.819212230770063</v>
      </c>
      <c r="M126" s="2"/>
      <c r="N126" s="6">
        <f t="shared" si="18"/>
        <v>-2.0861995325727873E-2</v>
      </c>
      <c r="O126" s="11"/>
      <c r="P126" s="7">
        <v>24292.02</v>
      </c>
      <c r="Q126" s="2"/>
      <c r="R126" s="6">
        <f t="shared" si="19"/>
        <v>4.6631112590555879E-3</v>
      </c>
      <c r="S126" s="2"/>
      <c r="T126" s="7">
        <v>35552.505322894198</v>
      </c>
      <c r="U126" s="2"/>
      <c r="V126" s="6">
        <f t="shared" si="20"/>
        <v>4.0512448436180633E-3</v>
      </c>
      <c r="W126" s="2"/>
      <c r="X126" s="7">
        <f t="shared" si="21"/>
        <v>-11260.485322894197</v>
      </c>
      <c r="Y126" s="2"/>
      <c r="Z126" s="6">
        <f t="shared" si="22"/>
        <v>-0.31672832113023991</v>
      </c>
    </row>
    <row r="127" spans="1:26" s="24" customFormat="1" hidden="1" outlineLevel="2" x14ac:dyDescent="0.25">
      <c r="A127" s="25"/>
      <c r="B127" s="11" t="str">
        <f>CONCATENATE("          ", "6113", " - ", "GROUP INSURANCE")</f>
        <v xml:space="preserve">          6113 - GROUP INSURANCE</v>
      </c>
      <c r="C127" s="11"/>
      <c r="D127" s="7">
        <v>18284.05</v>
      </c>
      <c r="E127" s="2"/>
      <c r="F127" s="6">
        <f t="shared" si="15"/>
        <v>3.6080127816917079E-2</v>
      </c>
      <c r="G127" s="2"/>
      <c r="H127" s="7">
        <v>17287.5</v>
      </c>
      <c r="I127" s="2"/>
      <c r="J127" s="6">
        <f t="shared" si="16"/>
        <v>2.9658101915789003E-2</v>
      </c>
      <c r="K127" s="2"/>
      <c r="L127" s="7">
        <f t="shared" si="17"/>
        <v>996.54999999999927</v>
      </c>
      <c r="M127" s="2"/>
      <c r="N127" s="6">
        <f t="shared" si="18"/>
        <v>5.7645697758495984E-2</v>
      </c>
      <c r="O127" s="11"/>
      <c r="P127" s="7">
        <v>183154.19</v>
      </c>
      <c r="Q127" s="2"/>
      <c r="R127" s="6">
        <f t="shared" si="19"/>
        <v>3.5158392160561637E-2</v>
      </c>
      <c r="S127" s="2"/>
      <c r="T127" s="7">
        <v>193282.5</v>
      </c>
      <c r="U127" s="2"/>
      <c r="V127" s="6">
        <f t="shared" si="20"/>
        <v>2.2024741277019644E-2</v>
      </c>
      <c r="W127" s="2"/>
      <c r="X127" s="7">
        <f t="shared" si="21"/>
        <v>-10128.309999999998</v>
      </c>
      <c r="Y127" s="2"/>
      <c r="Z127" s="6">
        <f t="shared" si="22"/>
        <v>-5.2401588348660627E-2</v>
      </c>
    </row>
    <row r="128" spans="1:26" s="24" customFormat="1" hidden="1" outlineLevel="2" x14ac:dyDescent="0.25">
      <c r="A128" s="25"/>
      <c r="B128" s="11" t="str">
        <f>CONCATENATE("          ", "6114", " - ", "STATE UNEMPLOYMENT INSURANCE")</f>
        <v xml:space="preserve">          6114 - STATE UNEMPLOYMENT INSURANCE</v>
      </c>
      <c r="C128" s="11"/>
      <c r="D128" s="7">
        <v>481.57</v>
      </c>
      <c r="E128" s="2"/>
      <c r="F128" s="6">
        <f t="shared" si="15"/>
        <v>9.5028766344397214E-4</v>
      </c>
      <c r="G128" s="2"/>
      <c r="H128" s="7">
        <v>394.18191480000002</v>
      </c>
      <c r="I128" s="2"/>
      <c r="J128" s="6">
        <f t="shared" si="16"/>
        <v>6.7625089819229266E-4</v>
      </c>
      <c r="K128" s="2"/>
      <c r="L128" s="7">
        <f t="shared" si="17"/>
        <v>87.388085199999978</v>
      </c>
      <c r="M128" s="2"/>
      <c r="N128" s="6">
        <f t="shared" si="18"/>
        <v>0.22169481125063523</v>
      </c>
      <c r="O128" s="11"/>
      <c r="P128" s="7">
        <v>4015</v>
      </c>
      <c r="Q128" s="2"/>
      <c r="R128" s="6">
        <f t="shared" si="19"/>
        <v>7.7072189571341483E-4</v>
      </c>
      <c r="S128" s="2"/>
      <c r="T128" s="7">
        <v>5041.8224596500004</v>
      </c>
      <c r="U128" s="2"/>
      <c r="V128" s="6">
        <f t="shared" si="20"/>
        <v>5.7452089681403159E-4</v>
      </c>
      <c r="W128" s="2"/>
      <c r="X128" s="7">
        <f t="shared" si="21"/>
        <v>-1026.8224596500004</v>
      </c>
      <c r="Y128" s="2"/>
      <c r="Z128" s="6">
        <f t="shared" si="22"/>
        <v>-0.20366097137844907</v>
      </c>
    </row>
    <row r="129" spans="1:26" s="24" customFormat="1" hidden="1" outlineLevel="2" x14ac:dyDescent="0.25">
      <c r="A129" s="25"/>
      <c r="B129" s="11" t="str">
        <f>CONCATENATE("          ", "6115", " - ", "P.E.R.S.")</f>
        <v xml:space="preserve">          6115 - P.E.R.S.</v>
      </c>
      <c r="C129" s="11"/>
      <c r="D129" s="7">
        <v>6355.39</v>
      </c>
      <c r="E129" s="2"/>
      <c r="F129" s="6">
        <f t="shared" si="15"/>
        <v>1.2541164759796471E-2</v>
      </c>
      <c r="G129" s="2"/>
      <c r="H129" s="7">
        <v>4739.7712141538505</v>
      </c>
      <c r="I129" s="2"/>
      <c r="J129" s="6">
        <f t="shared" si="16"/>
        <v>8.131460172199444E-3</v>
      </c>
      <c r="K129" s="2"/>
      <c r="L129" s="7">
        <f t="shared" si="17"/>
        <v>1615.6187858461499</v>
      </c>
      <c r="M129" s="2"/>
      <c r="N129" s="6">
        <f t="shared" si="18"/>
        <v>0.34086429763141468</v>
      </c>
      <c r="O129" s="11"/>
      <c r="P129" s="7">
        <v>74700.44</v>
      </c>
      <c r="Q129" s="2"/>
      <c r="R129" s="6">
        <f t="shared" si="19"/>
        <v>1.4339542895996564E-2</v>
      </c>
      <c r="S129" s="2"/>
      <c r="T129" s="7">
        <v>56571.653827846203</v>
      </c>
      <c r="U129" s="2"/>
      <c r="V129" s="6">
        <f t="shared" si="20"/>
        <v>6.4463986091416996E-3</v>
      </c>
      <c r="W129" s="2"/>
      <c r="X129" s="7">
        <f t="shared" si="21"/>
        <v>18128.786172153799</v>
      </c>
      <c r="Y129" s="2"/>
      <c r="Z129" s="6">
        <f t="shared" si="22"/>
        <v>0.32045706542929964</v>
      </c>
    </row>
    <row r="130" spans="1:26" s="24" customFormat="1" hidden="1" outlineLevel="2" x14ac:dyDescent="0.25">
      <c r="A130" s="25"/>
      <c r="B130" s="11" t="str">
        <f>CONCATENATE("          ", "6116", " - ", "EDUCATIONAL BENEFITS")</f>
        <v xml:space="preserve">          6116 - EDUCATIONAL BENEFITS</v>
      </c>
      <c r="C130" s="11"/>
      <c r="D130" s="7"/>
      <c r="E130" s="2"/>
      <c r="F130" s="6">
        <f t="shared" si="15"/>
        <v>0</v>
      </c>
      <c r="G130" s="2"/>
      <c r="H130" s="7">
        <v>0</v>
      </c>
      <c r="I130" s="2"/>
      <c r="J130" s="6">
        <f t="shared" si="16"/>
        <v>0</v>
      </c>
      <c r="K130" s="2"/>
      <c r="L130" s="7">
        <f t="shared" si="17"/>
        <v>0</v>
      </c>
      <c r="M130" s="2"/>
      <c r="N130" s="6">
        <f t="shared" si="18"/>
        <v>0</v>
      </c>
      <c r="O130" s="11"/>
      <c r="P130" s="7">
        <v>0</v>
      </c>
      <c r="Q130" s="2"/>
      <c r="R130" s="6">
        <f t="shared" si="19"/>
        <v>0</v>
      </c>
      <c r="S130" s="2"/>
      <c r="T130" s="7">
        <v>0</v>
      </c>
      <c r="U130" s="2"/>
      <c r="V130" s="6">
        <f t="shared" si="20"/>
        <v>0</v>
      </c>
      <c r="W130" s="2"/>
      <c r="X130" s="7">
        <f t="shared" si="21"/>
        <v>0</v>
      </c>
      <c r="Y130" s="2"/>
      <c r="Z130" s="6">
        <f t="shared" si="22"/>
        <v>0</v>
      </c>
    </row>
    <row r="131" spans="1:26" s="24" customFormat="1" hidden="1" outlineLevel="2" x14ac:dyDescent="0.25">
      <c r="A131" s="25"/>
      <c r="B131" s="11" t="str">
        <f>CONCATENATE("          ", "6117", " - ", "RETIREMENT STAFF HOURLY")</f>
        <v xml:space="preserve">          6117 - RETIREMENT STAFF HOURLY</v>
      </c>
      <c r="C131" s="11"/>
      <c r="D131" s="7">
        <v>477.35</v>
      </c>
      <c r="E131" s="2"/>
      <c r="F131" s="6">
        <f t="shared" si="15"/>
        <v>9.4196028852499148E-4</v>
      </c>
      <c r="G131" s="2"/>
      <c r="H131" s="7"/>
      <c r="I131" s="2"/>
      <c r="J131" s="6">
        <f t="shared" si="16"/>
        <v>0</v>
      </c>
      <c r="K131" s="2"/>
      <c r="L131" s="7">
        <f t="shared" si="17"/>
        <v>477.35</v>
      </c>
      <c r="M131" s="2"/>
      <c r="N131" s="6">
        <f t="shared" si="18"/>
        <v>0</v>
      </c>
      <c r="O131" s="11"/>
      <c r="P131" s="7">
        <v>4238.32</v>
      </c>
      <c r="Q131" s="2"/>
      <c r="R131" s="6">
        <f t="shared" si="19"/>
        <v>8.13590541728538E-4</v>
      </c>
      <c r="S131" s="2"/>
      <c r="T131" s="7"/>
      <c r="U131" s="2"/>
      <c r="V131" s="6">
        <f t="shared" si="20"/>
        <v>0</v>
      </c>
      <c r="W131" s="2"/>
      <c r="X131" s="7">
        <f t="shared" si="21"/>
        <v>4238.32</v>
      </c>
      <c r="Y131" s="2"/>
      <c r="Z131" s="6">
        <f t="shared" si="22"/>
        <v>0</v>
      </c>
    </row>
    <row r="132" spans="1:26" s="24" customFormat="1" hidden="1" outlineLevel="2" x14ac:dyDescent="0.25">
      <c r="A132" s="25"/>
      <c r="B132" s="11" t="str">
        <f>CONCATENATE("          ", "6118", " - ", "VACATION")</f>
        <v xml:space="preserve">          6118 - VACATION</v>
      </c>
      <c r="C132" s="11"/>
      <c r="D132" s="7">
        <v>5570.12</v>
      </c>
      <c r="E132" s="2"/>
      <c r="F132" s="6">
        <f t="shared" si="15"/>
        <v>1.0991582365808789E-2</v>
      </c>
      <c r="G132" s="2"/>
      <c r="H132" s="7">
        <v>3978.83801230769</v>
      </c>
      <c r="I132" s="2"/>
      <c r="J132" s="6">
        <f t="shared" si="16"/>
        <v>6.8260178322740025E-3</v>
      </c>
      <c r="K132" s="2"/>
      <c r="L132" s="7">
        <f t="shared" si="17"/>
        <v>1591.2819876923099</v>
      </c>
      <c r="M132" s="2"/>
      <c r="N132" s="6">
        <f t="shared" si="18"/>
        <v>0.39993635899979268</v>
      </c>
      <c r="O132" s="11"/>
      <c r="P132" s="7">
        <v>63124.73</v>
      </c>
      <c r="Q132" s="2"/>
      <c r="R132" s="6">
        <f t="shared" si="19"/>
        <v>1.2117462408965746E-2</v>
      </c>
      <c r="S132" s="2"/>
      <c r="T132" s="7">
        <v>47530.941297692298</v>
      </c>
      <c r="U132" s="2"/>
      <c r="V132" s="6">
        <f t="shared" si="20"/>
        <v>5.4162000426054152E-3</v>
      </c>
      <c r="W132" s="2"/>
      <c r="X132" s="7">
        <f t="shared" si="21"/>
        <v>15593.788702307706</v>
      </c>
      <c r="Y132" s="2"/>
      <c r="Z132" s="6">
        <f t="shared" si="22"/>
        <v>0.32807658078222846</v>
      </c>
    </row>
    <row r="133" spans="1:26" s="24" customFormat="1" hidden="1" outlineLevel="2" x14ac:dyDescent="0.25">
      <c r="A133" s="25"/>
      <c r="B133" s="11" t="str">
        <f>CONCATENATE("          ", "6119", " - ", "SICK LEAVE")</f>
        <v xml:space="preserve">          6119 - SICK LEAVE</v>
      </c>
      <c r="C133" s="11"/>
      <c r="D133" s="7">
        <v>3824.03</v>
      </c>
      <c r="E133" s="2"/>
      <c r="F133" s="6">
        <f t="shared" si="15"/>
        <v>7.54600272782701E-3</v>
      </c>
      <c r="G133" s="2"/>
      <c r="H133" s="7">
        <v>4108.9533453846097</v>
      </c>
      <c r="I133" s="2"/>
      <c r="J133" s="6">
        <f t="shared" si="16"/>
        <v>7.049241190723872E-3</v>
      </c>
      <c r="K133" s="2"/>
      <c r="L133" s="7">
        <f t="shared" si="17"/>
        <v>-284.92334538460955</v>
      </c>
      <c r="M133" s="2"/>
      <c r="N133" s="6">
        <f t="shared" si="18"/>
        <v>-6.9342073621899425E-2</v>
      </c>
      <c r="O133" s="11"/>
      <c r="P133" s="7">
        <v>44528.58</v>
      </c>
      <c r="Q133" s="2"/>
      <c r="R133" s="6">
        <f t="shared" si="19"/>
        <v>8.5477338956479326E-3</v>
      </c>
      <c r="S133" s="2"/>
      <c r="T133" s="7">
        <v>51428.088332115403</v>
      </c>
      <c r="U133" s="2"/>
      <c r="V133" s="6">
        <f t="shared" si="20"/>
        <v>5.8602839878755418E-3</v>
      </c>
      <c r="W133" s="2"/>
      <c r="X133" s="7">
        <f t="shared" si="21"/>
        <v>-6899.5083321154016</v>
      </c>
      <c r="Y133" s="2"/>
      <c r="Z133" s="6">
        <f t="shared" si="22"/>
        <v>-0.13415836668007844</v>
      </c>
    </row>
    <row r="134" spans="1:26" s="24" customFormat="1" hidden="1" outlineLevel="2" x14ac:dyDescent="0.25">
      <c r="A134" s="25"/>
      <c r="B134" s="11" t="str">
        <f>CONCATENATE("          ", "6156", " - ", "EMPLOYEE MEALS")</f>
        <v xml:space="preserve">          6156 - EMPLOYEE MEALS</v>
      </c>
      <c r="C134" s="11"/>
      <c r="D134" s="7">
        <v>1675.12</v>
      </c>
      <c r="E134" s="2"/>
      <c r="F134" s="6">
        <f t="shared" si="15"/>
        <v>3.3055337142850814E-3</v>
      </c>
      <c r="G134" s="2"/>
      <c r="H134" s="7">
        <v>1625</v>
      </c>
      <c r="I134" s="2"/>
      <c r="J134" s="6">
        <f t="shared" si="16"/>
        <v>2.7878186905658498E-3</v>
      </c>
      <c r="K134" s="2"/>
      <c r="L134" s="7">
        <f t="shared" si="17"/>
        <v>50.119999999999891</v>
      </c>
      <c r="M134" s="2"/>
      <c r="N134" s="6">
        <f t="shared" si="18"/>
        <v>3.0843076923076855E-2</v>
      </c>
      <c r="O134" s="11"/>
      <c r="P134" s="7">
        <v>15971.75</v>
      </c>
      <c r="Q134" s="2"/>
      <c r="R134" s="6">
        <f t="shared" si="19"/>
        <v>3.065947057997692E-3</v>
      </c>
      <c r="S134" s="2"/>
      <c r="T134" s="7">
        <v>17875</v>
      </c>
      <c r="U134" s="2"/>
      <c r="V134" s="6">
        <f t="shared" si="20"/>
        <v>2.0368747834218106E-3</v>
      </c>
      <c r="W134" s="2"/>
      <c r="X134" s="7">
        <f t="shared" si="21"/>
        <v>-1903.25</v>
      </c>
      <c r="Y134" s="2"/>
      <c r="Z134" s="6">
        <f t="shared" si="22"/>
        <v>-0.10647552447552447</v>
      </c>
    </row>
    <row r="135" spans="1:26" s="27" customFormat="1" outlineLevel="1" collapsed="1" x14ac:dyDescent="0.25">
      <c r="A135" s="26"/>
      <c r="B135" s="13" t="str">
        <f>CONCATENATE("     ","*Payroll                                          ")</f>
        <v xml:space="preserve">     *Payroll                                          </v>
      </c>
      <c r="C135" s="13"/>
      <c r="D135" s="1">
        <f>SUM(OSRRefD22_1x_0)</f>
        <v>122510.93000000001</v>
      </c>
      <c r="E135" s="1"/>
      <c r="F135" s="5">
        <f t="shared" ref="F135:F145" si="23">IF(D$12=0,0,D135/D$12)</f>
        <v>0.24175223833720549</v>
      </c>
      <c r="G135" s="1"/>
      <c r="H135" s="1">
        <f>SUM(OSRRefH22_1x_0)</f>
        <v>139423.6654436923</v>
      </c>
      <c r="I135" s="1"/>
      <c r="J135" s="5">
        <f t="shared" ref="J135:J145" si="24">IF(H$12=0,0,H135/H$12)</f>
        <v>0.23919255411146179</v>
      </c>
      <c r="K135" s="1"/>
      <c r="L135" s="1">
        <f t="shared" ref="L135:L145" si="25">+D135-H135</f>
        <v>-16912.735443692291</v>
      </c>
      <c r="M135" s="1"/>
      <c r="N135" s="5">
        <f t="shared" ref="N135:N145" si="26">IF(H135=0,0,L135/H135)</f>
        <v>-0.12130462493487287</v>
      </c>
      <c r="O135" s="13"/>
      <c r="P135" s="1">
        <f>SUM(OSRRefP22_1x_0)</f>
        <v>1371370.71</v>
      </c>
      <c r="Q135" s="1"/>
      <c r="R135" s="5">
        <f t="shared" ref="R135:R145" si="27">IF(P$12=0,0,P135/P$12)</f>
        <v>0.2632491739320178</v>
      </c>
      <c r="S135" s="1"/>
      <c r="T135" s="1">
        <f>SUM(OSRRefT22_1x_0)</f>
        <v>1800835.0042743075</v>
      </c>
      <c r="U135" s="1"/>
      <c r="V135" s="5">
        <f t="shared" ref="V135:V145" si="28">IF(T$12=0,0,T135/T$12)</f>
        <v>0.20520701590543472</v>
      </c>
      <c r="W135" s="1"/>
      <c r="X135" s="1">
        <f t="shared" ref="X135:X145" si="29">+P135-T135</f>
        <v>-429464.29427430755</v>
      </c>
      <c r="Y135" s="1"/>
      <c r="Z135" s="5">
        <f t="shared" ref="Z135:Z145" si="30">IF(T135=0,0,X135/T135)</f>
        <v>-0.23848064550887113</v>
      </c>
    </row>
    <row r="136" spans="1:26" s="24" customFormat="1" hidden="1" outlineLevel="2" x14ac:dyDescent="0.25">
      <c r="A136" s="25"/>
      <c r="B136" s="11" t="str">
        <f>CONCATENATE("          ", "6001", " - ", "ADMINISTRATIVE SALARIES")</f>
        <v xml:space="preserve">          6001 - ADMINISTRATIVE SALARIES</v>
      </c>
      <c r="C136" s="11"/>
      <c r="D136" s="7">
        <v>4205.74</v>
      </c>
      <c r="E136" s="2"/>
      <c r="F136" s="6">
        <f t="shared" si="23"/>
        <v>8.2992354956763319E-3</v>
      </c>
      <c r="G136" s="2"/>
      <c r="H136" s="7">
        <v>7759.6923076923104</v>
      </c>
      <c r="I136" s="2"/>
      <c r="J136" s="6">
        <f t="shared" si="24"/>
        <v>1.3312378614415185E-2</v>
      </c>
      <c r="K136" s="2"/>
      <c r="L136" s="7">
        <f t="shared" si="25"/>
        <v>-3553.9523076923106</v>
      </c>
      <c r="M136" s="2"/>
      <c r="N136" s="6">
        <f t="shared" si="26"/>
        <v>-0.45800170506364268</v>
      </c>
      <c r="O136" s="11"/>
      <c r="P136" s="7">
        <v>47398.53</v>
      </c>
      <c r="Q136" s="2"/>
      <c r="R136" s="6">
        <f t="shared" si="27"/>
        <v>9.098651281601285E-3</v>
      </c>
      <c r="S136" s="2"/>
      <c r="T136" s="7">
        <v>93116.307692307702</v>
      </c>
      <c r="U136" s="2"/>
      <c r="V136" s="6">
        <f t="shared" si="28"/>
        <v>1.0610699807765479E-2</v>
      </c>
      <c r="W136" s="2"/>
      <c r="X136" s="7">
        <f t="shared" si="29"/>
        <v>-45717.777692307704</v>
      </c>
      <c r="Y136" s="2"/>
      <c r="Z136" s="6">
        <f t="shared" si="30"/>
        <v>-0.49097498413894292</v>
      </c>
    </row>
    <row r="137" spans="1:26" s="24" customFormat="1" hidden="1" outlineLevel="2" x14ac:dyDescent="0.25">
      <c r="A137" s="25"/>
      <c r="B137" s="11" t="str">
        <f>CONCATENATE("          ", "6002", " - ", "STAFF SALARIES")</f>
        <v xml:space="preserve">          6002 - STAFF SALARIES</v>
      </c>
      <c r="C137" s="11"/>
      <c r="D137" s="7">
        <v>63555.839999999997</v>
      </c>
      <c r="E137" s="2"/>
      <c r="F137" s="6">
        <f t="shared" si="23"/>
        <v>0.12541547582245352</v>
      </c>
      <c r="G137" s="2"/>
      <c r="H137" s="7">
        <v>41699.298056</v>
      </c>
      <c r="I137" s="2"/>
      <c r="J137" s="6">
        <f t="shared" si="24"/>
        <v>7.1538512310149543E-2</v>
      </c>
      <c r="K137" s="2"/>
      <c r="L137" s="7">
        <f t="shared" si="25"/>
        <v>21856.541943999997</v>
      </c>
      <c r="M137" s="2"/>
      <c r="N137" s="6">
        <f t="shared" si="26"/>
        <v>0.5241465195564633</v>
      </c>
      <c r="O137" s="11"/>
      <c r="P137" s="7">
        <v>666730.72</v>
      </c>
      <c r="Q137" s="2"/>
      <c r="R137" s="6">
        <f t="shared" si="27"/>
        <v>0.12798604344925776</v>
      </c>
      <c r="S137" s="2"/>
      <c r="T137" s="7">
        <v>497193.42937199998</v>
      </c>
      <c r="U137" s="2"/>
      <c r="V137" s="6">
        <f t="shared" si="28"/>
        <v>5.6655706784382642E-2</v>
      </c>
      <c r="W137" s="2"/>
      <c r="X137" s="7">
        <f t="shared" si="29"/>
        <v>169537.29062799999</v>
      </c>
      <c r="Y137" s="2"/>
      <c r="Z137" s="6">
        <f t="shared" si="30"/>
        <v>0.3409885984256486</v>
      </c>
    </row>
    <row r="138" spans="1:26" s="24" customFormat="1" hidden="1" outlineLevel="2" x14ac:dyDescent="0.25">
      <c r="A138" s="25"/>
      <c r="B138" s="11" t="str">
        <f>CONCATENATE("          ", "6003", " - ", "STAFF HOURLY-9 MONTH")</f>
        <v xml:space="preserve">          6003 - STAFF HOURLY-9 MONTH</v>
      </c>
      <c r="C138" s="11"/>
      <c r="D138" s="7"/>
      <c r="E138" s="2"/>
      <c r="F138" s="6">
        <f t="shared" si="23"/>
        <v>0</v>
      </c>
      <c r="G138" s="2"/>
      <c r="H138" s="7">
        <v>0</v>
      </c>
      <c r="I138" s="2"/>
      <c r="J138" s="6">
        <f t="shared" si="24"/>
        <v>0</v>
      </c>
      <c r="K138" s="2"/>
      <c r="L138" s="7">
        <f t="shared" si="25"/>
        <v>0</v>
      </c>
      <c r="M138" s="2"/>
      <c r="N138" s="6">
        <f t="shared" si="26"/>
        <v>0</v>
      </c>
      <c r="O138" s="11"/>
      <c r="P138" s="7"/>
      <c r="Q138" s="2"/>
      <c r="R138" s="6">
        <f t="shared" si="27"/>
        <v>0</v>
      </c>
      <c r="S138" s="2"/>
      <c r="T138" s="7">
        <v>0</v>
      </c>
      <c r="U138" s="2"/>
      <c r="V138" s="6">
        <f t="shared" si="28"/>
        <v>0</v>
      </c>
      <c r="W138" s="2"/>
      <c r="X138" s="7">
        <f t="shared" si="29"/>
        <v>0</v>
      </c>
      <c r="Y138" s="2"/>
      <c r="Z138" s="6">
        <f t="shared" si="30"/>
        <v>0</v>
      </c>
    </row>
    <row r="139" spans="1:26" s="24" customFormat="1" hidden="1" outlineLevel="2" x14ac:dyDescent="0.25">
      <c r="A139" s="25"/>
      <c r="B139" s="11" t="str">
        <f>CONCATENATE("          ", "6004", " - ", "STAFF HOURLY")</f>
        <v xml:space="preserve">          6004 - STAFF HOURLY</v>
      </c>
      <c r="C139" s="11"/>
      <c r="D139" s="7">
        <v>13052.53</v>
      </c>
      <c r="E139" s="2"/>
      <c r="F139" s="6">
        <f t="shared" si="23"/>
        <v>2.5756708756218931E-2</v>
      </c>
      <c r="G139" s="2"/>
      <c r="H139" s="7">
        <v>25580.560079999999</v>
      </c>
      <c r="I139" s="2"/>
      <c r="J139" s="6">
        <f t="shared" si="24"/>
        <v>4.3885516003794867E-2</v>
      </c>
      <c r="K139" s="2"/>
      <c r="L139" s="7">
        <f t="shared" si="25"/>
        <v>-12528.030079999999</v>
      </c>
      <c r="M139" s="2"/>
      <c r="N139" s="6">
        <f t="shared" si="26"/>
        <v>-0.48974807591468494</v>
      </c>
      <c r="O139" s="11"/>
      <c r="P139" s="7">
        <v>168344.5</v>
      </c>
      <c r="Q139" s="2"/>
      <c r="R139" s="6">
        <f t="shared" si="27"/>
        <v>3.2315514862497376E-2</v>
      </c>
      <c r="S139" s="2"/>
      <c r="T139" s="7">
        <v>307023.10596000002</v>
      </c>
      <c r="U139" s="2"/>
      <c r="V139" s="6">
        <f t="shared" si="28"/>
        <v>3.4985601256378555E-2</v>
      </c>
      <c r="W139" s="2"/>
      <c r="X139" s="7">
        <f t="shared" si="29"/>
        <v>-138678.60596000002</v>
      </c>
      <c r="Y139" s="2"/>
      <c r="Z139" s="6">
        <f t="shared" si="30"/>
        <v>-0.45168784781321158</v>
      </c>
    </row>
    <row r="140" spans="1:26" s="24" customFormat="1" hidden="1" outlineLevel="2" x14ac:dyDescent="0.25">
      <c r="A140" s="25"/>
      <c r="B140" s="11" t="str">
        <f>CONCATENATE("          ", "6005", " - ", "TEMPORARY WAGES-HOURLY")</f>
        <v xml:space="preserve">          6005 - TEMPORARY WAGES-HOURLY</v>
      </c>
      <c r="C140" s="11"/>
      <c r="D140" s="7">
        <v>7607.71</v>
      </c>
      <c r="E140" s="2"/>
      <c r="F140" s="6">
        <f t="shared" si="23"/>
        <v>1.5012382332909736E-2</v>
      </c>
      <c r="G140" s="2"/>
      <c r="H140" s="7">
        <v>4931.2</v>
      </c>
      <c r="I140" s="2"/>
      <c r="J140" s="6">
        <f t="shared" si="24"/>
        <v>8.4598717088728119E-3</v>
      </c>
      <c r="K140" s="2"/>
      <c r="L140" s="7">
        <f t="shared" si="25"/>
        <v>2676.51</v>
      </c>
      <c r="M140" s="2"/>
      <c r="N140" s="6">
        <f t="shared" si="26"/>
        <v>0.54277052238805978</v>
      </c>
      <c r="O140" s="11"/>
      <c r="P140" s="7">
        <v>159839.76</v>
      </c>
      <c r="Q140" s="2"/>
      <c r="R140" s="6">
        <f t="shared" si="27"/>
        <v>3.0682939685573413E-2</v>
      </c>
      <c r="S140" s="2"/>
      <c r="T140" s="7">
        <v>51177.64</v>
      </c>
      <c r="U140" s="2"/>
      <c r="V140" s="6">
        <f t="shared" si="28"/>
        <v>5.8317451407574484E-3</v>
      </c>
      <c r="W140" s="2"/>
      <c r="X140" s="7">
        <f t="shared" si="29"/>
        <v>108662.12000000001</v>
      </c>
      <c r="Y140" s="2"/>
      <c r="Z140" s="6">
        <f t="shared" si="30"/>
        <v>2.1232342874739829</v>
      </c>
    </row>
    <row r="141" spans="1:26" s="24" customFormat="1" hidden="1" outlineLevel="2" x14ac:dyDescent="0.25">
      <c r="A141" s="25"/>
      <c r="B141" s="11" t="str">
        <f>CONCATENATE("          ", "6006", " - ", "TEMPORARY PART TIME")</f>
        <v xml:space="preserve">          6006 - TEMPORARY PART TIME</v>
      </c>
      <c r="C141" s="11"/>
      <c r="D141" s="7">
        <v>2769.97</v>
      </c>
      <c r="E141" s="2"/>
      <c r="F141" s="6">
        <f t="shared" si="23"/>
        <v>5.466013910978465E-3</v>
      </c>
      <c r="G141" s="2"/>
      <c r="H141" s="7">
        <v>0</v>
      </c>
      <c r="I141" s="2"/>
      <c r="J141" s="6">
        <f t="shared" si="24"/>
        <v>0</v>
      </c>
      <c r="K141" s="2"/>
      <c r="L141" s="7">
        <f t="shared" si="25"/>
        <v>2769.97</v>
      </c>
      <c r="M141" s="2"/>
      <c r="N141" s="6">
        <f t="shared" si="26"/>
        <v>0</v>
      </c>
      <c r="O141" s="11"/>
      <c r="P141" s="7">
        <v>19716.73</v>
      </c>
      <c r="Q141" s="2"/>
      <c r="R141" s="6">
        <f t="shared" si="27"/>
        <v>3.7848357466673866E-3</v>
      </c>
      <c r="S141" s="2"/>
      <c r="T141" s="7">
        <v>0</v>
      </c>
      <c r="U141" s="2"/>
      <c r="V141" s="6">
        <f t="shared" si="28"/>
        <v>0</v>
      </c>
      <c r="W141" s="2"/>
      <c r="X141" s="7">
        <f t="shared" si="29"/>
        <v>19716.73</v>
      </c>
      <c r="Y141" s="2"/>
      <c r="Z141" s="6">
        <f t="shared" si="30"/>
        <v>0</v>
      </c>
    </row>
    <row r="142" spans="1:26" s="24" customFormat="1" hidden="1" outlineLevel="2" x14ac:dyDescent="0.25">
      <c r="A142" s="25"/>
      <c r="B142" s="11" t="str">
        <f>CONCATENATE("          ", "6007", " - ", "STUDENT HOURLY")</f>
        <v xml:space="preserve">          6007 - STUDENT HOURLY</v>
      </c>
      <c r="C142" s="11"/>
      <c r="D142" s="7">
        <v>28779.68</v>
      </c>
      <c r="E142" s="2"/>
      <c r="F142" s="6">
        <f t="shared" si="23"/>
        <v>5.6791276163102387E-2</v>
      </c>
      <c r="G142" s="2"/>
      <c r="H142" s="7">
        <v>853.875</v>
      </c>
      <c r="I142" s="2"/>
      <c r="J142" s="6">
        <f t="shared" si="24"/>
        <v>1.4648914980965632E-3</v>
      </c>
      <c r="K142" s="2"/>
      <c r="L142" s="7">
        <f t="shared" si="25"/>
        <v>27925.805</v>
      </c>
      <c r="M142" s="2"/>
      <c r="N142" s="6">
        <f t="shared" si="26"/>
        <v>32.704792856097207</v>
      </c>
      <c r="O142" s="11"/>
      <c r="P142" s="7">
        <v>296799.06</v>
      </c>
      <c r="Q142" s="2"/>
      <c r="R142" s="6">
        <f t="shared" si="27"/>
        <v>5.6973732047113208E-2</v>
      </c>
      <c r="S142" s="2"/>
      <c r="T142" s="7">
        <v>152752.23749999999</v>
      </c>
      <c r="U142" s="2"/>
      <c r="V142" s="6">
        <f t="shared" si="28"/>
        <v>1.7406275841958571E-2</v>
      </c>
      <c r="W142" s="2"/>
      <c r="X142" s="7">
        <f t="shared" si="29"/>
        <v>144046.82250000001</v>
      </c>
      <c r="Y142" s="2"/>
      <c r="Z142" s="6">
        <f t="shared" si="30"/>
        <v>0.9430095745733349</v>
      </c>
    </row>
    <row r="143" spans="1:26" s="24" customFormat="1" hidden="1" outlineLevel="2" x14ac:dyDescent="0.25">
      <c r="A143" s="25"/>
      <c r="B143" s="11" t="str">
        <f>CONCATENATE("          ", "6008", " - ", "STUDENT HOURLY-FICA EXEMPT")</f>
        <v xml:space="preserve">          6008 - STUDENT HOURLY-FICA EXEMPT</v>
      </c>
      <c r="C143" s="11"/>
      <c r="D143" s="7">
        <v>2539.46</v>
      </c>
      <c r="E143" s="2"/>
      <c r="F143" s="6">
        <f t="shared" si="23"/>
        <v>5.0111458558660836E-3</v>
      </c>
      <c r="G143" s="2"/>
      <c r="H143" s="7">
        <v>58599.040000000001</v>
      </c>
      <c r="I143" s="2"/>
      <c r="J143" s="6">
        <f t="shared" si="24"/>
        <v>0.10053138397613284</v>
      </c>
      <c r="K143" s="2"/>
      <c r="L143" s="7">
        <f t="shared" si="25"/>
        <v>-56059.58</v>
      </c>
      <c r="M143" s="2"/>
      <c r="N143" s="6">
        <f t="shared" si="26"/>
        <v>-0.95666379517480149</v>
      </c>
      <c r="O143" s="11"/>
      <c r="P143" s="7">
        <v>12541.41</v>
      </c>
      <c r="Q143" s="2"/>
      <c r="R143" s="6">
        <f t="shared" si="27"/>
        <v>2.4074568593073914E-3</v>
      </c>
      <c r="S143" s="2"/>
      <c r="T143" s="7">
        <v>699572.28374999994</v>
      </c>
      <c r="U143" s="2"/>
      <c r="V143" s="6">
        <f t="shared" si="28"/>
        <v>7.9716987074192031E-2</v>
      </c>
      <c r="W143" s="2"/>
      <c r="X143" s="7">
        <f t="shared" si="29"/>
        <v>-687030.87374999991</v>
      </c>
      <c r="Y143" s="2"/>
      <c r="Z143" s="6">
        <f t="shared" si="30"/>
        <v>-0.98207274603165695</v>
      </c>
    </row>
    <row r="144" spans="1:26" s="24" customFormat="1" hidden="1" outlineLevel="2" x14ac:dyDescent="0.25">
      <c r="A144" s="25"/>
      <c r="B144" s="11" t="str">
        <f>CONCATENATE("          ", "6009", " - ", "TEMPORARY-SEASONAL")</f>
        <v xml:space="preserve">          6009 - TEMPORARY-SEASONAL</v>
      </c>
      <c r="C144" s="11"/>
      <c r="D144" s="7"/>
      <c r="E144" s="2"/>
      <c r="F144" s="6">
        <f t="shared" si="23"/>
        <v>0</v>
      </c>
      <c r="G144" s="2"/>
      <c r="H144" s="7">
        <v>0</v>
      </c>
      <c r="I144" s="2"/>
      <c r="J144" s="6">
        <f t="shared" si="24"/>
        <v>0</v>
      </c>
      <c r="K144" s="2"/>
      <c r="L144" s="7">
        <f t="shared" si="25"/>
        <v>0</v>
      </c>
      <c r="M144" s="2"/>
      <c r="N144" s="6">
        <f t="shared" si="26"/>
        <v>0</v>
      </c>
      <c r="O144" s="11"/>
      <c r="P144" s="7"/>
      <c r="Q144" s="2"/>
      <c r="R144" s="6">
        <f t="shared" si="27"/>
        <v>0</v>
      </c>
      <c r="S144" s="2"/>
      <c r="T144" s="7">
        <v>0</v>
      </c>
      <c r="U144" s="2"/>
      <c r="V144" s="6">
        <f t="shared" si="28"/>
        <v>0</v>
      </c>
      <c r="W144" s="2"/>
      <c r="X144" s="7">
        <f t="shared" si="29"/>
        <v>0</v>
      </c>
      <c r="Y144" s="2"/>
      <c r="Z144" s="6">
        <f t="shared" si="30"/>
        <v>0</v>
      </c>
    </row>
    <row r="145" spans="1:26" s="24" customFormat="1" hidden="1" outlineLevel="2" x14ac:dyDescent="0.25">
      <c r="A145" s="25"/>
      <c r="B145" s="11" t="str">
        <f>CONCATENATE("          ", "6010", " - ", "GRATUITY")</f>
        <v xml:space="preserve">          6010 - GRATUITY</v>
      </c>
      <c r="C145" s="11"/>
      <c r="D145" s="7"/>
      <c r="E145" s="2"/>
      <c r="F145" s="6">
        <f t="shared" si="23"/>
        <v>0</v>
      </c>
      <c r="G145" s="2"/>
      <c r="H145" s="7">
        <v>0</v>
      </c>
      <c r="I145" s="2"/>
      <c r="J145" s="6">
        <f t="shared" si="24"/>
        <v>0</v>
      </c>
      <c r="K145" s="2"/>
      <c r="L145" s="7">
        <f t="shared" si="25"/>
        <v>0</v>
      </c>
      <c r="M145" s="2"/>
      <c r="N145" s="6">
        <f t="shared" si="26"/>
        <v>0</v>
      </c>
      <c r="O145" s="11"/>
      <c r="P145" s="7"/>
      <c r="Q145" s="2"/>
      <c r="R145" s="6">
        <f t="shared" si="27"/>
        <v>0</v>
      </c>
      <c r="S145" s="2"/>
      <c r="T145" s="7">
        <v>0</v>
      </c>
      <c r="U145" s="2"/>
      <c r="V145" s="6">
        <f t="shared" si="28"/>
        <v>0</v>
      </c>
      <c r="W145" s="2"/>
      <c r="X145" s="7">
        <f t="shared" si="29"/>
        <v>0</v>
      </c>
      <c r="Y145" s="2"/>
      <c r="Z145" s="6">
        <f t="shared" si="30"/>
        <v>0</v>
      </c>
    </row>
    <row r="146" spans="1:26" s="27" customFormat="1" outlineLevel="1" collapsed="1" x14ac:dyDescent="0.25">
      <c r="A146" s="26"/>
      <c r="B146" s="13" t="str">
        <f>CONCATENATE("     ","Advertising/Promo                                 ")</f>
        <v xml:space="preserve">     Advertising/Promo                                 </v>
      </c>
      <c r="C146" s="13"/>
      <c r="D146" s="1">
        <f>SUM(OSRRefD22_2x_0)</f>
        <v>7.47</v>
      </c>
      <c r="E146" s="1"/>
      <c r="F146" s="5">
        <f t="shared" ref="F146:F150" si="31">IF(D$12=0,0,D146/D$12)</f>
        <v>1.4740637593551243E-5</v>
      </c>
      <c r="G146" s="1"/>
      <c r="H146" s="1">
        <f>SUM(OSRRefH22_2x_0)</f>
        <v>1780</v>
      </c>
      <c r="I146" s="1"/>
      <c r="J146" s="5">
        <f t="shared" ref="J146:J150" si="32">IF(H$12=0,0,H146/H$12)</f>
        <v>3.0537337041275157E-3</v>
      </c>
      <c r="K146" s="1"/>
      <c r="L146" s="1">
        <f t="shared" ref="L146:L150" si="33">+D146-H146</f>
        <v>-1772.53</v>
      </c>
      <c r="M146" s="1"/>
      <c r="N146" s="5">
        <f t="shared" ref="N146:N150" si="34">IF(H146=0,0,L146/H146)</f>
        <v>-0.99580337078651682</v>
      </c>
      <c r="O146" s="13"/>
      <c r="P146" s="1">
        <f>SUM(OSRRefP22_2x_0)</f>
        <v>17543.52</v>
      </c>
      <c r="Q146" s="1"/>
      <c r="R146" s="5">
        <f t="shared" ref="R146:R150" si="35">IF(P$12=0,0,P146/P$12)</f>
        <v>3.36766500420578E-3</v>
      </c>
      <c r="S146" s="1"/>
      <c r="T146" s="1">
        <f>SUM(OSRRefT22_2x_0)</f>
        <v>14380</v>
      </c>
      <c r="U146" s="1"/>
      <c r="V146" s="5">
        <f t="shared" ref="V146:V150" si="36">IF(T$12=0,0,T146/T$12)</f>
        <v>1.6386159096842313E-3</v>
      </c>
      <c r="W146" s="1"/>
      <c r="X146" s="1">
        <f t="shared" ref="X146:X150" si="37">+P146-T146</f>
        <v>3163.5200000000004</v>
      </c>
      <c r="Y146" s="1"/>
      <c r="Z146" s="5">
        <f t="shared" ref="Z146:Z150" si="38">IF(T146=0,0,X146/T146)</f>
        <v>0.21999443671766344</v>
      </c>
    </row>
    <row r="147" spans="1:26" s="24" customFormat="1" hidden="1" outlineLevel="2" x14ac:dyDescent="0.25">
      <c r="A147" s="25"/>
      <c r="B147" s="11" t="str">
        <f>CONCATENATE("          ", "6362", " - ", "ADVERTISING EXPENSE")</f>
        <v xml:space="preserve">          6362 - ADVERTISING EXPENSE</v>
      </c>
      <c r="C147" s="11"/>
      <c r="D147" s="7">
        <v>7.47</v>
      </c>
      <c r="E147" s="2"/>
      <c r="F147" s="6">
        <f t="shared" si="31"/>
        <v>1.4740637593551243E-5</v>
      </c>
      <c r="G147" s="2"/>
      <c r="H147" s="7">
        <v>1780</v>
      </c>
      <c r="I147" s="2"/>
      <c r="J147" s="6">
        <f t="shared" si="32"/>
        <v>3.0537337041275157E-3</v>
      </c>
      <c r="K147" s="2"/>
      <c r="L147" s="7">
        <f t="shared" si="33"/>
        <v>-1772.53</v>
      </c>
      <c r="M147" s="2"/>
      <c r="N147" s="6">
        <f t="shared" si="34"/>
        <v>-0.99580337078651682</v>
      </c>
      <c r="O147" s="11"/>
      <c r="P147" s="7">
        <v>17543.52</v>
      </c>
      <c r="Q147" s="2"/>
      <c r="R147" s="6">
        <f t="shared" si="35"/>
        <v>3.36766500420578E-3</v>
      </c>
      <c r="S147" s="2"/>
      <c r="T147" s="7">
        <v>14380</v>
      </c>
      <c r="U147" s="2"/>
      <c r="V147" s="6">
        <f t="shared" si="36"/>
        <v>1.6386159096842313E-3</v>
      </c>
      <c r="W147" s="2"/>
      <c r="X147" s="7">
        <f t="shared" si="37"/>
        <v>3163.5200000000004</v>
      </c>
      <c r="Y147" s="2"/>
      <c r="Z147" s="6">
        <f t="shared" si="38"/>
        <v>0.21999443671766344</v>
      </c>
    </row>
    <row r="148" spans="1:26" s="27" customFormat="1" outlineLevel="1" collapsed="1" x14ac:dyDescent="0.25">
      <c r="A148" s="26"/>
      <c r="B148" s="13" t="str">
        <f>CONCATENATE("     ","Bad Debts/Over/Short                              ")</f>
        <v xml:space="preserve">     Bad Debts/Over/Short                              </v>
      </c>
      <c r="C148" s="13"/>
      <c r="D148" s="1">
        <f>SUM(OSRRefD22_3x_0)</f>
        <v>21.56</v>
      </c>
      <c r="E148" s="1"/>
      <c r="F148" s="5">
        <f t="shared" si="31"/>
        <v>4.2544597927304523E-5</v>
      </c>
      <c r="G148" s="1"/>
      <c r="H148" s="1">
        <f>SUM(OSRRefH22_3x_0)</f>
        <v>110</v>
      </c>
      <c r="I148" s="1"/>
      <c r="J148" s="5">
        <f t="shared" si="32"/>
        <v>1.8871388059214984E-4</v>
      </c>
      <c r="K148" s="1"/>
      <c r="L148" s="1">
        <f t="shared" si="33"/>
        <v>-88.44</v>
      </c>
      <c r="M148" s="1"/>
      <c r="N148" s="5">
        <f t="shared" si="34"/>
        <v>-0.80399999999999994</v>
      </c>
      <c r="O148" s="13"/>
      <c r="P148" s="1">
        <f>SUM(OSRRefP22_3x_0)</f>
        <v>5204.26</v>
      </c>
      <c r="Q148" s="1"/>
      <c r="R148" s="5">
        <f t="shared" si="35"/>
        <v>9.9901298455429537E-4</v>
      </c>
      <c r="S148" s="1"/>
      <c r="T148" s="1">
        <f>SUM(OSRRefT22_3x_0)</f>
        <v>1210</v>
      </c>
      <c r="U148" s="1"/>
      <c r="V148" s="5">
        <f t="shared" si="36"/>
        <v>1.378807545700918E-4</v>
      </c>
      <c r="W148" s="1"/>
      <c r="X148" s="1">
        <f t="shared" si="37"/>
        <v>3994.26</v>
      </c>
      <c r="Y148" s="1"/>
      <c r="Z148" s="5">
        <f t="shared" si="38"/>
        <v>3.3010413223140498</v>
      </c>
    </row>
    <row r="149" spans="1:26" s="24" customFormat="1" hidden="1" outlineLevel="2" x14ac:dyDescent="0.25">
      <c r="A149" s="25"/>
      <c r="B149" s="11" t="str">
        <f>CONCATENATE("          ", "6272", " - ", "CASH (OVER/SHORT)")</f>
        <v xml:space="preserve">          6272 - CASH (OVER/SHORT)</v>
      </c>
      <c r="C149" s="11"/>
      <c r="D149" s="7">
        <v>21.56</v>
      </c>
      <c r="E149" s="2"/>
      <c r="F149" s="6">
        <f t="shared" si="31"/>
        <v>4.2544597927304523E-5</v>
      </c>
      <c r="G149" s="2"/>
      <c r="H149" s="7">
        <v>60</v>
      </c>
      <c r="I149" s="2"/>
      <c r="J149" s="6">
        <f t="shared" si="32"/>
        <v>1.0293484395935446E-4</v>
      </c>
      <c r="K149" s="2"/>
      <c r="L149" s="7">
        <f t="shared" si="33"/>
        <v>-38.44</v>
      </c>
      <c r="M149" s="2"/>
      <c r="N149" s="6">
        <f t="shared" si="34"/>
        <v>-0.64066666666666661</v>
      </c>
      <c r="O149" s="11"/>
      <c r="P149" s="7">
        <v>-145.16</v>
      </c>
      <c r="Q149" s="2"/>
      <c r="R149" s="6">
        <f t="shared" si="35"/>
        <v>-2.7865003831073298E-5</v>
      </c>
      <c r="S149" s="2"/>
      <c r="T149" s="7">
        <v>660</v>
      </c>
      <c r="U149" s="2"/>
      <c r="V149" s="6">
        <f t="shared" si="36"/>
        <v>7.5207684310959162E-5</v>
      </c>
      <c r="W149" s="2"/>
      <c r="X149" s="7">
        <f t="shared" si="37"/>
        <v>-805.16</v>
      </c>
      <c r="Y149" s="2"/>
      <c r="Z149" s="6">
        <f t="shared" si="38"/>
        <v>-1.2199393939393939</v>
      </c>
    </row>
    <row r="150" spans="1:26" s="24" customFormat="1" hidden="1" outlineLevel="2" x14ac:dyDescent="0.25">
      <c r="A150" s="25"/>
      <c r="B150" s="11" t="str">
        <f>CONCATENATE("          ", "6342", " - ", "BAD DEBT")</f>
        <v xml:space="preserve">          6342 - BAD DEBT</v>
      </c>
      <c r="C150" s="11"/>
      <c r="D150" s="7"/>
      <c r="E150" s="2"/>
      <c r="F150" s="6">
        <f t="shared" si="31"/>
        <v>0</v>
      </c>
      <c r="G150" s="2"/>
      <c r="H150" s="7">
        <v>50</v>
      </c>
      <c r="I150" s="2"/>
      <c r="J150" s="6">
        <f t="shared" si="32"/>
        <v>8.5779036632795382E-5</v>
      </c>
      <c r="K150" s="2"/>
      <c r="L150" s="7">
        <f t="shared" si="33"/>
        <v>-50</v>
      </c>
      <c r="M150" s="2"/>
      <c r="N150" s="6">
        <f t="shared" si="34"/>
        <v>-1</v>
      </c>
      <c r="O150" s="11"/>
      <c r="P150" s="7">
        <v>5349.42</v>
      </c>
      <c r="Q150" s="2"/>
      <c r="R150" s="6">
        <f t="shared" si="35"/>
        <v>1.0268779883853688E-3</v>
      </c>
      <c r="S150" s="2"/>
      <c r="T150" s="7">
        <v>550</v>
      </c>
      <c r="U150" s="2"/>
      <c r="V150" s="6">
        <f t="shared" si="36"/>
        <v>6.2673070259132633E-5</v>
      </c>
      <c r="W150" s="2"/>
      <c r="X150" s="7">
        <f t="shared" si="37"/>
        <v>4799.42</v>
      </c>
      <c r="Y150" s="2"/>
      <c r="Z150" s="6">
        <f t="shared" si="38"/>
        <v>8.7262181818181812</v>
      </c>
    </row>
    <row r="151" spans="1:26" s="27" customFormat="1" outlineLevel="1" collapsed="1" x14ac:dyDescent="0.25">
      <c r="A151" s="26"/>
      <c r="B151" s="13" t="str">
        <f>CONCATENATE("     ","Bank/card Fees                                    ")</f>
        <v xml:space="preserve">     Bank/card Fees                                    </v>
      </c>
      <c r="C151" s="13"/>
      <c r="D151" s="1">
        <f>SUM(OSRRefD22_4x_0)</f>
        <v>3967.68</v>
      </c>
      <c r="E151" s="1"/>
      <c r="F151" s="5">
        <f t="shared" ref="F151:F155" si="39">IF(D$12=0,0,D151/D$12)</f>
        <v>7.8294689380430244E-3</v>
      </c>
      <c r="G151" s="1"/>
      <c r="H151" s="1">
        <f>SUM(OSRRefH22_4x_0)</f>
        <v>9564</v>
      </c>
      <c r="I151" s="1"/>
      <c r="J151" s="5">
        <f t="shared" ref="J151:J155" si="40">IF(H$12=0,0,H151/H$12)</f>
        <v>1.6407814127121102E-2</v>
      </c>
      <c r="K151" s="1"/>
      <c r="L151" s="1">
        <f t="shared" ref="L151:L155" si="41">+D151-H151</f>
        <v>-5596.32</v>
      </c>
      <c r="M151" s="1"/>
      <c r="N151" s="5">
        <f t="shared" ref="N151:N155" si="42">IF(H151=0,0,L151/H151)</f>
        <v>-0.58514429109159349</v>
      </c>
      <c r="O151" s="13"/>
      <c r="P151" s="1">
        <f>SUM(OSRRefP22_4x_0)</f>
        <v>78603.539999999994</v>
      </c>
      <c r="Q151" s="1"/>
      <c r="R151" s="5">
        <f t="shared" ref="R151:R155" si="43">IF(P$12=0,0,P151/P$12)</f>
        <v>1.5088784398153232E-2</v>
      </c>
      <c r="S151" s="1"/>
      <c r="T151" s="1">
        <f>SUM(OSRRefT22_4x_0)</f>
        <v>197547</v>
      </c>
      <c r="U151" s="1"/>
      <c r="V151" s="5">
        <f t="shared" ref="V151:V155" si="44">IF(T$12=0,0,T151/T$12)</f>
        <v>2.2510685473601591E-2</v>
      </c>
      <c r="W151" s="1"/>
      <c r="X151" s="1">
        <f t="shared" ref="X151:X155" si="45">+P151-T151</f>
        <v>-118943.46</v>
      </c>
      <c r="Y151" s="1"/>
      <c r="Z151" s="5">
        <f t="shared" ref="Z151:Z155" si="46">IF(T151=0,0,X151/T151)</f>
        <v>-0.60210208203617366</v>
      </c>
    </row>
    <row r="152" spans="1:26" s="24" customFormat="1" hidden="1" outlineLevel="2" x14ac:dyDescent="0.25">
      <c r="A152" s="25"/>
      <c r="B152" s="11" t="str">
        <f>CONCATENATE("          ", "6381", " - ", "BANK/CREDIT CARD FEES")</f>
        <v xml:space="preserve">          6381 - BANK/CREDIT CARD FEES</v>
      </c>
      <c r="C152" s="11"/>
      <c r="D152" s="7">
        <v>3967.68</v>
      </c>
      <c r="E152" s="2"/>
      <c r="F152" s="6">
        <f t="shared" si="39"/>
        <v>7.8294689380430244E-3</v>
      </c>
      <c r="G152" s="2"/>
      <c r="H152" s="7">
        <v>9564</v>
      </c>
      <c r="I152" s="2"/>
      <c r="J152" s="6">
        <f t="shared" si="40"/>
        <v>1.6407814127121102E-2</v>
      </c>
      <c r="K152" s="2"/>
      <c r="L152" s="7">
        <f t="shared" si="41"/>
        <v>-5596.32</v>
      </c>
      <c r="M152" s="2"/>
      <c r="N152" s="6">
        <f t="shared" si="42"/>
        <v>-0.58514429109159349</v>
      </c>
      <c r="O152" s="11"/>
      <c r="P152" s="7">
        <v>78603.539999999994</v>
      </c>
      <c r="Q152" s="2"/>
      <c r="R152" s="6">
        <f t="shared" si="43"/>
        <v>1.5088784398153232E-2</v>
      </c>
      <c r="S152" s="2"/>
      <c r="T152" s="7">
        <v>197547</v>
      </c>
      <c r="U152" s="2"/>
      <c r="V152" s="6">
        <f t="shared" si="44"/>
        <v>2.2510685473601591E-2</v>
      </c>
      <c r="W152" s="2"/>
      <c r="X152" s="7">
        <f t="shared" si="45"/>
        <v>-118943.46</v>
      </c>
      <c r="Y152" s="2"/>
      <c r="Z152" s="6">
        <f t="shared" si="46"/>
        <v>-0.60210208203617366</v>
      </c>
    </row>
    <row r="153" spans="1:26" s="27" customFormat="1" outlineLevel="1" collapsed="1" x14ac:dyDescent="0.25">
      <c r="A153" s="26"/>
      <c r="B153" s="13" t="str">
        <f>CONCATENATE("     ","Depreciation                                      ")</f>
        <v xml:space="preserve">     Depreciation                                      </v>
      </c>
      <c r="C153" s="13"/>
      <c r="D153" s="1">
        <f>SUM(OSRRefD22_5x_0)</f>
        <v>30735.85</v>
      </c>
      <c r="E153" s="1"/>
      <c r="F153" s="5">
        <f t="shared" si="39"/>
        <v>6.0651409100368404E-2</v>
      </c>
      <c r="G153" s="1"/>
      <c r="H153" s="1">
        <f>SUM(OSRRefH22_5x_0)</f>
        <v>30294</v>
      </c>
      <c r="I153" s="1"/>
      <c r="J153" s="5">
        <f t="shared" si="40"/>
        <v>5.1971802715078071E-2</v>
      </c>
      <c r="K153" s="1"/>
      <c r="L153" s="1">
        <f t="shared" si="41"/>
        <v>441.84999999999854</v>
      </c>
      <c r="M153" s="1"/>
      <c r="N153" s="5">
        <f t="shared" si="42"/>
        <v>1.4585396448141498E-2</v>
      </c>
      <c r="O153" s="13"/>
      <c r="P153" s="1">
        <f>SUM(OSRRefP22_5x_0)</f>
        <v>338389.83999999997</v>
      </c>
      <c r="Q153" s="1"/>
      <c r="R153" s="5">
        <f t="shared" si="43"/>
        <v>6.4957524028632405E-2</v>
      </c>
      <c r="S153" s="1"/>
      <c r="T153" s="1">
        <f>SUM(OSRRefT22_5x_0)</f>
        <v>334242</v>
      </c>
      <c r="U153" s="1"/>
      <c r="V153" s="5">
        <f t="shared" si="44"/>
        <v>3.8087222453732743E-2</v>
      </c>
      <c r="W153" s="1"/>
      <c r="X153" s="1">
        <f t="shared" si="45"/>
        <v>4147.8399999999674</v>
      </c>
      <c r="Y153" s="1"/>
      <c r="Z153" s="5">
        <f t="shared" si="46"/>
        <v>1.2409691181838212E-2</v>
      </c>
    </row>
    <row r="154" spans="1:26" s="24" customFormat="1" hidden="1" outlineLevel="2" x14ac:dyDescent="0.25">
      <c r="A154" s="25"/>
      <c r="B154" s="11" t="str">
        <f>CONCATENATE("          ", "6321", " - ", "BUILDING DEPRECIATION")</f>
        <v xml:space="preserve">          6321 - BUILDING DEPRECIATION</v>
      </c>
      <c r="C154" s="11"/>
      <c r="D154" s="7">
        <v>16396.52</v>
      </c>
      <c r="E154" s="2"/>
      <c r="F154" s="6">
        <f t="shared" si="39"/>
        <v>3.2355442987337994E-2</v>
      </c>
      <c r="G154" s="2"/>
      <c r="H154" s="7"/>
      <c r="I154" s="2"/>
      <c r="J154" s="6">
        <f t="shared" si="40"/>
        <v>0</v>
      </c>
      <c r="K154" s="2"/>
      <c r="L154" s="7">
        <f t="shared" si="41"/>
        <v>16396.52</v>
      </c>
      <c r="M154" s="2"/>
      <c r="N154" s="6">
        <f t="shared" si="42"/>
        <v>0</v>
      </c>
      <c r="O154" s="11"/>
      <c r="P154" s="7">
        <v>180361.72</v>
      </c>
      <c r="Q154" s="2"/>
      <c r="R154" s="6">
        <f t="shared" si="43"/>
        <v>3.4622347883569646E-2</v>
      </c>
      <c r="S154" s="2"/>
      <c r="T154" s="7"/>
      <c r="U154" s="2"/>
      <c r="V154" s="6">
        <f t="shared" si="44"/>
        <v>0</v>
      </c>
      <c r="W154" s="2"/>
      <c r="X154" s="7">
        <f t="shared" si="45"/>
        <v>180361.72</v>
      </c>
      <c r="Y154" s="2"/>
      <c r="Z154" s="6">
        <f t="shared" si="46"/>
        <v>0</v>
      </c>
    </row>
    <row r="155" spans="1:26" s="24" customFormat="1" hidden="1" outlineLevel="2" x14ac:dyDescent="0.25">
      <c r="A155" s="25"/>
      <c r="B155" s="11" t="str">
        <f>CONCATENATE("          ", "6322", " - ", "EQUIPMENT DEPRECIATION EXPENSE")</f>
        <v xml:space="preserve">          6322 - EQUIPMENT DEPRECIATION EXPENSE</v>
      </c>
      <c r="C155" s="11"/>
      <c r="D155" s="7">
        <v>14339.33</v>
      </c>
      <c r="E155" s="2"/>
      <c r="F155" s="6">
        <f t="shared" si="39"/>
        <v>2.8295966113030407E-2</v>
      </c>
      <c r="G155" s="2"/>
      <c r="H155" s="7">
        <v>30294</v>
      </c>
      <c r="I155" s="2"/>
      <c r="J155" s="6">
        <f t="shared" si="40"/>
        <v>5.1971802715078071E-2</v>
      </c>
      <c r="K155" s="2"/>
      <c r="L155" s="7">
        <f t="shared" si="41"/>
        <v>-15954.67</v>
      </c>
      <c r="M155" s="2"/>
      <c r="N155" s="6">
        <f t="shared" si="42"/>
        <v>-0.52666105499438831</v>
      </c>
      <c r="O155" s="11"/>
      <c r="P155" s="7">
        <v>158028.12</v>
      </c>
      <c r="Q155" s="2"/>
      <c r="R155" s="6">
        <f t="shared" si="43"/>
        <v>3.0335176145062762E-2</v>
      </c>
      <c r="S155" s="2"/>
      <c r="T155" s="7">
        <v>334242</v>
      </c>
      <c r="U155" s="2"/>
      <c r="V155" s="6">
        <f t="shared" si="44"/>
        <v>3.8087222453732743E-2</v>
      </c>
      <c r="W155" s="2"/>
      <c r="X155" s="7">
        <f t="shared" si="45"/>
        <v>-176213.88</v>
      </c>
      <c r="Y155" s="2"/>
      <c r="Z155" s="6">
        <f t="shared" si="46"/>
        <v>-0.52720448058592284</v>
      </c>
    </row>
    <row r="156" spans="1:26" s="27" customFormat="1" outlineLevel="1" collapsed="1" x14ac:dyDescent="0.25">
      <c r="A156" s="26"/>
      <c r="B156" s="13" t="str">
        <f>CONCATENATE("     ","Discounts and Markdowns                           ")</f>
        <v xml:space="preserve">     Discounts and Markdowns                           </v>
      </c>
      <c r="C156" s="13"/>
      <c r="D156" s="1">
        <f>SUM(OSRRefD22_6x_0)</f>
        <v>0</v>
      </c>
      <c r="E156" s="1"/>
      <c r="F156" s="5">
        <f t="shared" ref="F156:F158" si="47">IF(D$12=0,0,D156/D$12)</f>
        <v>0</v>
      </c>
      <c r="G156" s="1"/>
      <c r="H156" s="1">
        <f>SUM(OSRRefH22_6x_0)</f>
        <v>38231</v>
      </c>
      <c r="I156" s="1"/>
      <c r="J156" s="5">
        <f t="shared" ref="J156:J158" si="48">IF(H$12=0,0,H156/H$12)</f>
        <v>6.5588366990168012E-2</v>
      </c>
      <c r="K156" s="1"/>
      <c r="L156" s="1">
        <f t="shared" ref="L156:L158" si="49">+D156-H156</f>
        <v>-38231</v>
      </c>
      <c r="M156" s="1"/>
      <c r="N156" s="5">
        <f t="shared" ref="N156:N158" si="50">IF(H156=0,0,L156/H156)</f>
        <v>-1</v>
      </c>
      <c r="O156" s="13"/>
      <c r="P156" s="1">
        <f>SUM(OSRRefP22_6x_0)</f>
        <v>-15.43</v>
      </c>
      <c r="Q156" s="1"/>
      <c r="R156" s="5">
        <f t="shared" ref="R156:R158" si="51">IF(P$12=0,0,P156/P$12)</f>
        <v>-2.96195239124732E-6</v>
      </c>
      <c r="S156" s="1"/>
      <c r="T156" s="1">
        <f>SUM(OSRRefT22_6x_0)</f>
        <v>319033</v>
      </c>
      <c r="U156" s="1"/>
      <c r="V156" s="5">
        <f t="shared" ref="V156:V158" si="52">IF(T$12=0,0,T156/T$12)</f>
        <v>3.6354141134512477E-2</v>
      </c>
      <c r="W156" s="1"/>
      <c r="X156" s="1">
        <f t="shared" ref="X156:X158" si="53">+P156-T156</f>
        <v>-319048.43</v>
      </c>
      <c r="Y156" s="1"/>
      <c r="Z156" s="5">
        <f t="shared" ref="Z156:Z158" si="54">IF(T156=0,0,X156/T156)</f>
        <v>-1.0000483649026903</v>
      </c>
    </row>
    <row r="157" spans="1:26" s="24" customFormat="1" hidden="1" outlineLevel="2" x14ac:dyDescent="0.25">
      <c r="A157" s="25"/>
      <c r="B157" s="11" t="str">
        <f>CONCATENATE("          ", "6382", " - ", "DISCOUNTS/MARK DOWNS")</f>
        <v xml:space="preserve">          6382 - DISCOUNTS/MARK DOWNS</v>
      </c>
      <c r="C157" s="11"/>
      <c r="D157" s="7">
        <v>0</v>
      </c>
      <c r="E157" s="2"/>
      <c r="F157" s="6">
        <f t="shared" si="47"/>
        <v>0</v>
      </c>
      <c r="G157" s="2"/>
      <c r="H157" s="7">
        <v>38231</v>
      </c>
      <c r="I157" s="2"/>
      <c r="J157" s="6">
        <f t="shared" si="48"/>
        <v>6.5588366990168012E-2</v>
      </c>
      <c r="K157" s="2"/>
      <c r="L157" s="7">
        <f t="shared" si="49"/>
        <v>-38231</v>
      </c>
      <c r="M157" s="2"/>
      <c r="N157" s="6">
        <f t="shared" si="50"/>
        <v>-1</v>
      </c>
      <c r="O157" s="11"/>
      <c r="P157" s="7">
        <v>0</v>
      </c>
      <c r="Q157" s="2"/>
      <c r="R157" s="6">
        <f t="shared" si="51"/>
        <v>0</v>
      </c>
      <c r="S157" s="2"/>
      <c r="T157" s="7">
        <v>319033</v>
      </c>
      <c r="U157" s="2"/>
      <c r="V157" s="6">
        <f t="shared" si="52"/>
        <v>3.6354141134512477E-2</v>
      </c>
      <c r="W157" s="2"/>
      <c r="X157" s="7">
        <f t="shared" si="53"/>
        <v>-319033</v>
      </c>
      <c r="Y157" s="2"/>
      <c r="Z157" s="6">
        <f t="shared" si="54"/>
        <v>-1</v>
      </c>
    </row>
    <row r="158" spans="1:26" s="24" customFormat="1" hidden="1" outlineLevel="2" x14ac:dyDescent="0.25">
      <c r="A158" s="25"/>
      <c r="B158" s="11" t="str">
        <f>CONCATENATE("          ", "9175", " - ", "EARNED DISCOUNTS")</f>
        <v xml:space="preserve">          9175 - EARNED DISCOUNTS</v>
      </c>
      <c r="C158" s="11"/>
      <c r="D158" s="7">
        <v>0</v>
      </c>
      <c r="E158" s="2"/>
      <c r="F158" s="6">
        <f t="shared" si="47"/>
        <v>0</v>
      </c>
      <c r="G158" s="2"/>
      <c r="H158" s="7"/>
      <c r="I158" s="2"/>
      <c r="J158" s="6">
        <f t="shared" si="48"/>
        <v>0</v>
      </c>
      <c r="K158" s="2"/>
      <c r="L158" s="7">
        <f t="shared" si="49"/>
        <v>0</v>
      </c>
      <c r="M158" s="2"/>
      <c r="N158" s="6">
        <f t="shared" si="50"/>
        <v>0</v>
      </c>
      <c r="O158" s="11"/>
      <c r="P158" s="7">
        <v>-15.43</v>
      </c>
      <c r="Q158" s="2"/>
      <c r="R158" s="6">
        <f t="shared" si="51"/>
        <v>-2.96195239124732E-6</v>
      </c>
      <c r="S158" s="2"/>
      <c r="T158" s="7"/>
      <c r="U158" s="2"/>
      <c r="V158" s="6">
        <f t="shared" si="52"/>
        <v>0</v>
      </c>
      <c r="W158" s="2"/>
      <c r="X158" s="7">
        <f t="shared" si="53"/>
        <v>-15.43</v>
      </c>
      <c r="Y158" s="2"/>
      <c r="Z158" s="6">
        <f t="shared" si="54"/>
        <v>0</v>
      </c>
    </row>
    <row r="159" spans="1:26" s="27" customFormat="1" outlineLevel="1" collapsed="1" x14ac:dyDescent="0.25">
      <c r="A159" s="26"/>
      <c r="B159" s="13" t="str">
        <f>CONCATENATE("     ","Donations                                         ")</f>
        <v xml:space="preserve">     Donations                                         </v>
      </c>
      <c r="C159" s="13"/>
      <c r="D159" s="1">
        <f>SUM(OSRRefD22_7x_0)</f>
        <v>0</v>
      </c>
      <c r="E159" s="1"/>
      <c r="F159" s="5">
        <f t="shared" ref="F159:F161" si="55">IF(D$12=0,0,D159/D$12)</f>
        <v>0</v>
      </c>
      <c r="G159" s="1"/>
      <c r="H159" s="1">
        <f>SUM(OSRRefH22_7x_0)</f>
        <v>1000</v>
      </c>
      <c r="I159" s="1"/>
      <c r="J159" s="5">
        <f t="shared" ref="J159:J161" si="56">IF(H$12=0,0,H159/H$12)</f>
        <v>1.7155807326559077E-3</v>
      </c>
      <c r="K159" s="1"/>
      <c r="L159" s="1">
        <f t="shared" ref="L159:L161" si="57">+D159-H159</f>
        <v>-1000</v>
      </c>
      <c r="M159" s="1"/>
      <c r="N159" s="5">
        <f t="shared" ref="N159:N161" si="58">IF(H159=0,0,L159/H159)</f>
        <v>-1</v>
      </c>
      <c r="O159" s="13"/>
      <c r="P159" s="1">
        <f>SUM(OSRRefP22_7x_0)</f>
        <v>360.9</v>
      </c>
      <c r="Q159" s="1"/>
      <c r="R159" s="5">
        <f t="shared" ref="R159:R161" si="59">IF(P$12=0,0,P159/P$12)</f>
        <v>6.9278588334488518E-5</v>
      </c>
      <c r="S159" s="1"/>
      <c r="T159" s="1">
        <f>SUM(OSRRefT22_7x_0)</f>
        <v>11000</v>
      </c>
      <c r="U159" s="1"/>
      <c r="V159" s="5">
        <f t="shared" ref="V159:V161" si="60">IF(T$12=0,0,T159/T$12)</f>
        <v>1.2534614051826526E-3</v>
      </c>
      <c r="W159" s="1"/>
      <c r="X159" s="1">
        <f t="shared" ref="X159:X161" si="61">+P159-T159</f>
        <v>-10639.1</v>
      </c>
      <c r="Y159" s="1"/>
      <c r="Z159" s="5">
        <f t="shared" ref="Z159:Z161" si="62">IF(T159=0,0,X159/T159)</f>
        <v>-0.9671909090909091</v>
      </c>
    </row>
    <row r="160" spans="1:26" s="24" customFormat="1" hidden="1" outlineLevel="2" x14ac:dyDescent="0.25">
      <c r="A160" s="25"/>
      <c r="B160" s="11" t="str">
        <f>CONCATENATE("          ", "6395", " - ", "DONATION-OFF CAMPUS")</f>
        <v xml:space="preserve">          6395 - DONATION-OFF CAMPUS</v>
      </c>
      <c r="C160" s="11"/>
      <c r="D160" s="7"/>
      <c r="E160" s="2"/>
      <c r="F160" s="6">
        <f t="shared" si="55"/>
        <v>0</v>
      </c>
      <c r="G160" s="2"/>
      <c r="H160" s="7"/>
      <c r="I160" s="2"/>
      <c r="J160" s="6">
        <f t="shared" si="56"/>
        <v>0</v>
      </c>
      <c r="K160" s="2"/>
      <c r="L160" s="7">
        <f t="shared" si="57"/>
        <v>0</v>
      </c>
      <c r="M160" s="2"/>
      <c r="N160" s="6">
        <f t="shared" si="58"/>
        <v>0</v>
      </c>
      <c r="O160" s="11"/>
      <c r="P160" s="7"/>
      <c r="Q160" s="2"/>
      <c r="R160" s="6">
        <f t="shared" si="59"/>
        <v>0</v>
      </c>
      <c r="S160" s="2"/>
      <c r="T160" s="7">
        <v>0</v>
      </c>
      <c r="U160" s="2"/>
      <c r="V160" s="6">
        <f t="shared" si="60"/>
        <v>0</v>
      </c>
      <c r="W160" s="2"/>
      <c r="X160" s="7">
        <f t="shared" si="61"/>
        <v>0</v>
      </c>
      <c r="Y160" s="2"/>
      <c r="Z160" s="6">
        <f t="shared" si="62"/>
        <v>0</v>
      </c>
    </row>
    <row r="161" spans="1:26" s="24" customFormat="1" hidden="1" outlineLevel="2" x14ac:dyDescent="0.25">
      <c r="A161" s="25"/>
      <c r="B161" s="11" t="str">
        <f>CONCATENATE("          ", "6399", " - ", "DONATION-ON CAMPUS")</f>
        <v xml:space="preserve">          6399 - DONATION-ON CAMPUS</v>
      </c>
      <c r="C161" s="11"/>
      <c r="D161" s="7"/>
      <c r="E161" s="2"/>
      <c r="F161" s="6">
        <f t="shared" si="55"/>
        <v>0</v>
      </c>
      <c r="G161" s="2"/>
      <c r="H161" s="7">
        <v>1000</v>
      </c>
      <c r="I161" s="2"/>
      <c r="J161" s="6">
        <f t="shared" si="56"/>
        <v>1.7155807326559077E-3</v>
      </c>
      <c r="K161" s="2"/>
      <c r="L161" s="7">
        <f t="shared" si="57"/>
        <v>-1000</v>
      </c>
      <c r="M161" s="2"/>
      <c r="N161" s="6">
        <f t="shared" si="58"/>
        <v>-1</v>
      </c>
      <c r="O161" s="11"/>
      <c r="P161" s="7">
        <v>360.9</v>
      </c>
      <c r="Q161" s="2"/>
      <c r="R161" s="6">
        <f t="shared" si="59"/>
        <v>6.9278588334488518E-5</v>
      </c>
      <c r="S161" s="2"/>
      <c r="T161" s="7">
        <v>11000</v>
      </c>
      <c r="U161" s="2"/>
      <c r="V161" s="6">
        <f t="shared" si="60"/>
        <v>1.2534614051826526E-3</v>
      </c>
      <c r="W161" s="2"/>
      <c r="X161" s="7">
        <f t="shared" si="61"/>
        <v>-10639.1</v>
      </c>
      <c r="Y161" s="2"/>
      <c r="Z161" s="6">
        <f t="shared" si="62"/>
        <v>-0.9671909090909091</v>
      </c>
    </row>
    <row r="162" spans="1:26" s="27" customFormat="1" outlineLevel="1" collapsed="1" x14ac:dyDescent="0.25">
      <c r="A162" s="26"/>
      <c r="B162" s="13" t="str">
        <f>CONCATENATE("     ","Employees' Appreciation                           ")</f>
        <v xml:space="preserve">     Employees' Appreciation                           </v>
      </c>
      <c r="C162" s="13"/>
      <c r="D162" s="1">
        <f>SUM(OSRRefD22_8x_0)</f>
        <v>0</v>
      </c>
      <c r="E162" s="1"/>
      <c r="F162" s="5">
        <f t="shared" ref="F162:F168" si="63">IF(D$12=0,0,D162/D$12)</f>
        <v>0</v>
      </c>
      <c r="G162" s="1"/>
      <c r="H162" s="1">
        <f>SUM(OSRRefH22_8x_0)</f>
        <v>400</v>
      </c>
      <c r="I162" s="1"/>
      <c r="J162" s="5">
        <f t="shared" ref="J162:J168" si="64">IF(H$12=0,0,H162/H$12)</f>
        <v>6.8623229306236306E-4</v>
      </c>
      <c r="K162" s="1"/>
      <c r="L162" s="1">
        <f t="shared" ref="L162:L168" si="65">+D162-H162</f>
        <v>-400</v>
      </c>
      <c r="M162" s="1"/>
      <c r="N162" s="5">
        <f t="shared" ref="N162:N168" si="66">IF(H162=0,0,L162/H162)</f>
        <v>-1</v>
      </c>
      <c r="O162" s="13"/>
      <c r="P162" s="1">
        <f>SUM(OSRRefP22_8x_0)</f>
        <v>186.03</v>
      </c>
      <c r="Q162" s="1"/>
      <c r="R162" s="5">
        <f t="shared" ref="R162:R168" si="67">IF(P$12=0,0,P162/P$12)</f>
        <v>3.5710434435757546E-5</v>
      </c>
      <c r="S162" s="1"/>
      <c r="T162" s="1">
        <f>SUM(OSRRefT22_8x_0)</f>
        <v>4500</v>
      </c>
      <c r="U162" s="1"/>
      <c r="V162" s="5">
        <f t="shared" ref="V162:V168" si="68">IF(T$12=0,0,T162/T$12)</f>
        <v>5.1277966575653973E-4</v>
      </c>
      <c r="W162" s="1"/>
      <c r="X162" s="1">
        <f t="shared" ref="X162:X168" si="69">+P162-T162</f>
        <v>-4313.97</v>
      </c>
      <c r="Y162" s="1"/>
      <c r="Z162" s="5">
        <f t="shared" ref="Z162:Z168" si="70">IF(T162=0,0,X162/T162)</f>
        <v>-0.95866000000000007</v>
      </c>
    </row>
    <row r="163" spans="1:26" s="24" customFormat="1" hidden="1" outlineLevel="2" x14ac:dyDescent="0.25">
      <c r="A163" s="25"/>
      <c r="B163" s="11" t="str">
        <f>CONCATENATE("          ", "6277", " - ", "EMPLOYEE APPRECIATION")</f>
        <v xml:space="preserve">          6277 - EMPLOYEE APPRECIATION</v>
      </c>
      <c r="C163" s="11"/>
      <c r="D163" s="7"/>
      <c r="E163" s="2"/>
      <c r="F163" s="6">
        <f t="shared" si="63"/>
        <v>0</v>
      </c>
      <c r="G163" s="2"/>
      <c r="H163" s="7">
        <v>400</v>
      </c>
      <c r="I163" s="2"/>
      <c r="J163" s="6">
        <f t="shared" si="64"/>
        <v>6.8623229306236306E-4</v>
      </c>
      <c r="K163" s="2"/>
      <c r="L163" s="7">
        <f t="shared" si="65"/>
        <v>-400</v>
      </c>
      <c r="M163" s="2"/>
      <c r="N163" s="6">
        <f t="shared" si="66"/>
        <v>-1</v>
      </c>
      <c r="O163" s="11"/>
      <c r="P163" s="7">
        <v>186.03</v>
      </c>
      <c r="Q163" s="2"/>
      <c r="R163" s="6">
        <f t="shared" si="67"/>
        <v>3.5710434435757546E-5</v>
      </c>
      <c r="S163" s="2"/>
      <c r="T163" s="7">
        <v>4500</v>
      </c>
      <c r="U163" s="2"/>
      <c r="V163" s="6">
        <f t="shared" si="68"/>
        <v>5.1277966575653973E-4</v>
      </c>
      <c r="W163" s="2"/>
      <c r="X163" s="7">
        <f t="shared" si="69"/>
        <v>-4313.97</v>
      </c>
      <c r="Y163" s="2"/>
      <c r="Z163" s="6">
        <f t="shared" si="70"/>
        <v>-0.95866000000000007</v>
      </c>
    </row>
    <row r="164" spans="1:26" s="27" customFormat="1" outlineLevel="1" collapsed="1" x14ac:dyDescent="0.25">
      <c r="A164" s="26"/>
      <c r="B164" s="13" t="str">
        <f>CONCATENATE("     ","Equipment Rental                                  ")</f>
        <v xml:space="preserve">     Equipment Rental                                  </v>
      </c>
      <c r="C164" s="13"/>
      <c r="D164" s="1">
        <f>SUM(OSRRefD22_9x_0)</f>
        <v>1712.05</v>
      </c>
      <c r="E164" s="1"/>
      <c r="F164" s="5">
        <f t="shared" si="63"/>
        <v>3.378408111384124E-3</v>
      </c>
      <c r="G164" s="1"/>
      <c r="H164" s="1">
        <f>SUM(OSRRefH22_9x_0)</f>
        <v>3006</v>
      </c>
      <c r="I164" s="1"/>
      <c r="J164" s="5">
        <f t="shared" si="64"/>
        <v>5.1570356823636586E-3</v>
      </c>
      <c r="K164" s="1"/>
      <c r="L164" s="1">
        <f t="shared" si="65"/>
        <v>-1293.95</v>
      </c>
      <c r="M164" s="1"/>
      <c r="N164" s="5">
        <f t="shared" si="66"/>
        <v>-0.43045575515635398</v>
      </c>
      <c r="O164" s="13"/>
      <c r="P164" s="1">
        <f>SUM(OSRRefP22_9x_0)</f>
        <v>16546.22</v>
      </c>
      <c r="Q164" s="1"/>
      <c r="R164" s="5">
        <f t="shared" si="67"/>
        <v>3.1762226762867296E-3</v>
      </c>
      <c r="S164" s="1"/>
      <c r="T164" s="1">
        <f>SUM(OSRRefT22_9x_0)</f>
        <v>33066</v>
      </c>
      <c r="U164" s="1"/>
      <c r="V164" s="5">
        <f t="shared" si="68"/>
        <v>3.7679049839790539E-3</v>
      </c>
      <c r="W164" s="1"/>
      <c r="X164" s="1">
        <f t="shared" si="69"/>
        <v>-16519.78</v>
      </c>
      <c r="Y164" s="1"/>
      <c r="Z164" s="5">
        <f t="shared" si="70"/>
        <v>-0.49960019355228935</v>
      </c>
    </row>
    <row r="165" spans="1:26" s="24" customFormat="1" hidden="1" outlineLevel="2" x14ac:dyDescent="0.25">
      <c r="A165" s="25"/>
      <c r="B165" s="11" t="str">
        <f>CONCATENATE("          ", "6351", " - ", "EQUIPMENT RENTAL")</f>
        <v xml:space="preserve">          6351 - EQUIPMENT RENTAL</v>
      </c>
      <c r="C165" s="11"/>
      <c r="D165" s="7">
        <v>1712.05</v>
      </c>
      <c r="E165" s="2"/>
      <c r="F165" s="6">
        <f t="shared" si="63"/>
        <v>3.378408111384124E-3</v>
      </c>
      <c r="G165" s="2"/>
      <c r="H165" s="7">
        <v>3006</v>
      </c>
      <c r="I165" s="2"/>
      <c r="J165" s="6">
        <f t="shared" si="64"/>
        <v>5.1570356823636586E-3</v>
      </c>
      <c r="K165" s="2"/>
      <c r="L165" s="7">
        <f t="shared" si="65"/>
        <v>-1293.95</v>
      </c>
      <c r="M165" s="2"/>
      <c r="N165" s="6">
        <f t="shared" si="66"/>
        <v>-0.43045575515635398</v>
      </c>
      <c r="O165" s="11"/>
      <c r="P165" s="7">
        <v>16546.22</v>
      </c>
      <c r="Q165" s="2"/>
      <c r="R165" s="6">
        <f t="shared" si="67"/>
        <v>3.1762226762867296E-3</v>
      </c>
      <c r="S165" s="2"/>
      <c r="T165" s="7">
        <v>33066</v>
      </c>
      <c r="U165" s="2"/>
      <c r="V165" s="6">
        <f t="shared" si="68"/>
        <v>3.7679049839790539E-3</v>
      </c>
      <c r="W165" s="2"/>
      <c r="X165" s="7">
        <f t="shared" si="69"/>
        <v>-16519.78</v>
      </c>
      <c r="Y165" s="2"/>
      <c r="Z165" s="6">
        <f t="shared" si="70"/>
        <v>-0.49960019355228935</v>
      </c>
    </row>
    <row r="166" spans="1:26" s="27" customFormat="1" outlineLevel="1" collapsed="1" x14ac:dyDescent="0.25">
      <c r="A166" s="26"/>
      <c r="B166" s="13" t="str">
        <f>CONCATENATE("     ","Freight out/Postage                               ")</f>
        <v xml:space="preserve">     Freight out/Postage                               </v>
      </c>
      <c r="C166" s="13"/>
      <c r="D166" s="1">
        <f>SUM(OSRRefD22_10x_0)</f>
        <v>-20865.219999999998</v>
      </c>
      <c r="E166" s="1"/>
      <c r="F166" s="5">
        <f t="shared" si="63"/>
        <v>-4.1173580499292803E-2</v>
      </c>
      <c r="G166" s="1"/>
      <c r="H166" s="1">
        <f>SUM(OSRRefH22_10x_0)</f>
        <v>-1482</v>
      </c>
      <c r="I166" s="1"/>
      <c r="J166" s="5">
        <f t="shared" si="64"/>
        <v>-2.5424906457960552E-3</v>
      </c>
      <c r="K166" s="1"/>
      <c r="L166" s="1">
        <f t="shared" si="65"/>
        <v>-19383.219999999998</v>
      </c>
      <c r="M166" s="1"/>
      <c r="N166" s="5">
        <f t="shared" si="66"/>
        <v>13.079095816464235</v>
      </c>
      <c r="O166" s="13"/>
      <c r="P166" s="1">
        <f>SUM(OSRRefP22_10x_0)</f>
        <v>-67886.76999999996</v>
      </c>
      <c r="Q166" s="1"/>
      <c r="R166" s="5">
        <f t="shared" si="67"/>
        <v>-1.3031586567437246E-2</v>
      </c>
      <c r="S166" s="1"/>
      <c r="T166" s="1">
        <f>SUM(OSRRefT22_10x_0)</f>
        <v>35115</v>
      </c>
      <c r="U166" s="1"/>
      <c r="V166" s="5">
        <f t="shared" si="68"/>
        <v>4.0013906584535318E-3</v>
      </c>
      <c r="W166" s="1"/>
      <c r="X166" s="1">
        <f t="shared" si="69"/>
        <v>-103001.76999999996</v>
      </c>
      <c r="Y166" s="1"/>
      <c r="Z166" s="5">
        <f t="shared" si="70"/>
        <v>-2.9332698277089553</v>
      </c>
    </row>
    <row r="167" spans="1:26" s="24" customFormat="1" hidden="1" outlineLevel="2" x14ac:dyDescent="0.25">
      <c r="A167" s="25"/>
      <c r="B167" s="11" t="str">
        <f>CONCATENATE("          ", "6305", " - ", "FREIGHT OUT")</f>
        <v xml:space="preserve">          6305 - FREIGHT OUT</v>
      </c>
      <c r="C167" s="11"/>
      <c r="D167" s="7">
        <v>22482.81</v>
      </c>
      <c r="E167" s="2"/>
      <c r="F167" s="6">
        <f t="shared" si="63"/>
        <v>4.4365589597680034E-2</v>
      </c>
      <c r="G167" s="2"/>
      <c r="H167" s="7">
        <v>3498</v>
      </c>
      <c r="I167" s="2"/>
      <c r="J167" s="6">
        <f t="shared" si="64"/>
        <v>6.0011014028303654E-3</v>
      </c>
      <c r="K167" s="2"/>
      <c r="L167" s="7">
        <f t="shared" si="65"/>
        <v>18984.810000000001</v>
      </c>
      <c r="M167" s="2"/>
      <c r="N167" s="6">
        <f t="shared" si="66"/>
        <v>5.4273327615780449</v>
      </c>
      <c r="O167" s="11"/>
      <c r="P167" s="7">
        <v>224383.64</v>
      </c>
      <c r="Q167" s="2"/>
      <c r="R167" s="6">
        <f t="shared" si="67"/>
        <v>4.3072823010679058E-2</v>
      </c>
      <c r="S167" s="2"/>
      <c r="T167" s="7">
        <v>64437</v>
      </c>
      <c r="U167" s="2"/>
      <c r="V167" s="6">
        <f t="shared" si="68"/>
        <v>7.3426629605231443E-3</v>
      </c>
      <c r="W167" s="2"/>
      <c r="X167" s="7">
        <f t="shared" si="69"/>
        <v>159946.64000000001</v>
      </c>
      <c r="Y167" s="2"/>
      <c r="Z167" s="6">
        <f t="shared" si="70"/>
        <v>2.4822173595915391</v>
      </c>
    </row>
    <row r="168" spans="1:26" s="24" customFormat="1" hidden="1" outlineLevel="2" x14ac:dyDescent="0.25">
      <c r="A168" s="25"/>
      <c r="B168" s="11" t="str">
        <f>CONCATENATE("          ", "6307", " - ", "POSTAGE")</f>
        <v xml:space="preserve">          6307 - POSTAGE</v>
      </c>
      <c r="C168" s="11"/>
      <c r="D168" s="7">
        <v>-43348.03</v>
      </c>
      <c r="E168" s="2"/>
      <c r="F168" s="6">
        <f t="shared" si="63"/>
        <v>-8.553917009697283E-2</v>
      </c>
      <c r="G168" s="2"/>
      <c r="H168" s="7">
        <v>-4980</v>
      </c>
      <c r="I168" s="2"/>
      <c r="J168" s="6">
        <f t="shared" si="64"/>
        <v>-8.5435920486264198E-3</v>
      </c>
      <c r="K168" s="2"/>
      <c r="L168" s="7">
        <f t="shared" si="65"/>
        <v>-38368.03</v>
      </c>
      <c r="M168" s="2"/>
      <c r="N168" s="6">
        <f t="shared" si="66"/>
        <v>7.7044236947791163</v>
      </c>
      <c r="O168" s="11"/>
      <c r="P168" s="7">
        <v>-292270.40999999997</v>
      </c>
      <c r="Q168" s="2"/>
      <c r="R168" s="6">
        <f t="shared" si="67"/>
        <v>-5.6104409578116306E-2</v>
      </c>
      <c r="S168" s="2"/>
      <c r="T168" s="7">
        <v>-29322</v>
      </c>
      <c r="U168" s="2"/>
      <c r="V168" s="6">
        <f t="shared" si="68"/>
        <v>-3.341272302069613E-3</v>
      </c>
      <c r="W168" s="2"/>
      <c r="X168" s="7">
        <f t="shared" si="69"/>
        <v>-262948.40999999997</v>
      </c>
      <c r="Y168" s="2"/>
      <c r="Z168" s="6">
        <f t="shared" si="70"/>
        <v>8.9676151012891339</v>
      </c>
    </row>
    <row r="169" spans="1:26" s="27" customFormat="1" outlineLevel="1" collapsed="1" x14ac:dyDescent="0.25">
      <c r="A169" s="26"/>
      <c r="B169" s="13" t="str">
        <f>CONCATENATE("     ","General                                           ")</f>
        <v xml:space="preserve">     General                                           </v>
      </c>
      <c r="C169" s="13"/>
      <c r="D169" s="1">
        <f>SUM(OSRRefD22_11x_0)</f>
        <v>0</v>
      </c>
      <c r="E169" s="1"/>
      <c r="F169" s="5">
        <f t="shared" ref="F169:F172" si="71">IF(D$12=0,0,D169/D$12)</f>
        <v>0</v>
      </c>
      <c r="G169" s="1"/>
      <c r="H169" s="1">
        <f>SUM(OSRRefH22_11x_0)</f>
        <v>1750</v>
      </c>
      <c r="I169" s="1"/>
      <c r="J169" s="5">
        <f t="shared" ref="J169:J172" si="72">IF(H$12=0,0,H169/H$12)</f>
        <v>3.0022662821478385E-3</v>
      </c>
      <c r="K169" s="1"/>
      <c r="L169" s="1">
        <f t="shared" ref="L169:L172" si="73">+D169-H169</f>
        <v>-1750</v>
      </c>
      <c r="M169" s="1"/>
      <c r="N169" s="5">
        <f t="shared" ref="N169:N172" si="74">IF(H169=0,0,L169/H169)</f>
        <v>-1</v>
      </c>
      <c r="O169" s="13"/>
      <c r="P169" s="1">
        <f>SUM(OSRRefP22_11x_0)</f>
        <v>2603.63</v>
      </c>
      <c r="Q169" s="1"/>
      <c r="R169" s="5">
        <f t="shared" ref="R169:R172" si="75">IF(P$12=0,0,P169/P$12)</f>
        <v>4.9979443320954378E-4</v>
      </c>
      <c r="S169" s="1"/>
      <c r="T169" s="1">
        <f>SUM(OSRRefT22_11x_0)</f>
        <v>11750</v>
      </c>
      <c r="U169" s="1"/>
      <c r="V169" s="5">
        <f t="shared" ref="V169:V172" si="76">IF(T$12=0,0,T169/T$12)</f>
        <v>1.3389246828087427E-3</v>
      </c>
      <c r="W169" s="1"/>
      <c r="X169" s="1">
        <f t="shared" ref="X169:X172" si="77">+P169-T169</f>
        <v>-9146.369999999999</v>
      </c>
      <c r="Y169" s="1"/>
      <c r="Z169" s="5">
        <f t="shared" ref="Z169:Z172" si="78">IF(T169=0,0,X169/T169)</f>
        <v>-0.77841446808510628</v>
      </c>
    </row>
    <row r="170" spans="1:26" s="24" customFormat="1" hidden="1" outlineLevel="2" x14ac:dyDescent="0.25">
      <c r="A170" s="25"/>
      <c r="B170" s="11" t="str">
        <f>CONCATENATE("          ", "6269", " - ", "ENTERTAINMENT")</f>
        <v xml:space="preserve">          6269 - ENTERTAINMENT</v>
      </c>
      <c r="C170" s="11"/>
      <c r="D170" s="7"/>
      <c r="E170" s="2"/>
      <c r="F170" s="6">
        <f t="shared" si="71"/>
        <v>0</v>
      </c>
      <c r="G170" s="2"/>
      <c r="H170" s="7">
        <v>1250</v>
      </c>
      <c r="I170" s="2"/>
      <c r="J170" s="6">
        <f t="shared" si="72"/>
        <v>2.1444759158198846E-3</v>
      </c>
      <c r="K170" s="2"/>
      <c r="L170" s="7">
        <f t="shared" si="73"/>
        <v>-1250</v>
      </c>
      <c r="M170" s="2"/>
      <c r="N170" s="6">
        <f t="shared" si="74"/>
        <v>-1</v>
      </c>
      <c r="O170" s="11"/>
      <c r="P170" s="7"/>
      <c r="Q170" s="2"/>
      <c r="R170" s="6">
        <f t="shared" si="75"/>
        <v>0</v>
      </c>
      <c r="S170" s="2"/>
      <c r="T170" s="7">
        <v>2750</v>
      </c>
      <c r="U170" s="2"/>
      <c r="V170" s="6">
        <f t="shared" si="76"/>
        <v>3.1336535129566315E-4</v>
      </c>
      <c r="W170" s="2"/>
      <c r="X170" s="7">
        <f t="shared" si="77"/>
        <v>-2750</v>
      </c>
      <c r="Y170" s="2"/>
      <c r="Z170" s="6">
        <f t="shared" si="78"/>
        <v>-1</v>
      </c>
    </row>
    <row r="171" spans="1:26" s="24" customFormat="1" hidden="1" outlineLevel="2" x14ac:dyDescent="0.25">
      <c r="A171" s="25"/>
      <c r="B171" s="11" t="str">
        <f>CONCATENATE("          ", "6276", " - ", "PROPERTY TAX")</f>
        <v xml:space="preserve">          6276 - PROPERTY TAX</v>
      </c>
      <c r="C171" s="11"/>
      <c r="D171" s="7"/>
      <c r="E171" s="2"/>
      <c r="F171" s="6">
        <f t="shared" si="71"/>
        <v>0</v>
      </c>
      <c r="G171" s="2"/>
      <c r="H171" s="7"/>
      <c r="I171" s="2"/>
      <c r="J171" s="6">
        <f t="shared" si="72"/>
        <v>0</v>
      </c>
      <c r="K171" s="2"/>
      <c r="L171" s="7">
        <f t="shared" si="73"/>
        <v>0</v>
      </c>
      <c r="M171" s="2"/>
      <c r="N171" s="6">
        <f t="shared" si="74"/>
        <v>0</v>
      </c>
      <c r="O171" s="11"/>
      <c r="P171" s="7"/>
      <c r="Q171" s="2"/>
      <c r="R171" s="6">
        <f t="shared" si="75"/>
        <v>0</v>
      </c>
      <c r="S171" s="2"/>
      <c r="T171" s="7">
        <v>150</v>
      </c>
      <c r="U171" s="2"/>
      <c r="V171" s="6">
        <f t="shared" si="76"/>
        <v>1.7092655525217992E-5</v>
      </c>
      <c r="W171" s="2"/>
      <c r="X171" s="7">
        <f t="shared" si="77"/>
        <v>-150</v>
      </c>
      <c r="Y171" s="2"/>
      <c r="Z171" s="6">
        <f t="shared" si="78"/>
        <v>-1</v>
      </c>
    </row>
    <row r="172" spans="1:26" s="24" customFormat="1" hidden="1" outlineLevel="2" x14ac:dyDescent="0.25">
      <c r="A172" s="25"/>
      <c r="B172" s="11" t="str">
        <f>CONCATENATE("          ", "6279", " - ", "GENERAL EXPENSE")</f>
        <v xml:space="preserve">          6279 - GENERAL EXPENSE</v>
      </c>
      <c r="C172" s="11"/>
      <c r="D172" s="7"/>
      <c r="E172" s="2"/>
      <c r="F172" s="6">
        <f t="shared" si="71"/>
        <v>0</v>
      </c>
      <c r="G172" s="2"/>
      <c r="H172" s="7">
        <v>500</v>
      </c>
      <c r="I172" s="2"/>
      <c r="J172" s="6">
        <f t="shared" si="72"/>
        <v>8.5779036632795385E-4</v>
      </c>
      <c r="K172" s="2"/>
      <c r="L172" s="7">
        <f t="shared" si="73"/>
        <v>-500</v>
      </c>
      <c r="M172" s="2"/>
      <c r="N172" s="6">
        <f t="shared" si="74"/>
        <v>-1</v>
      </c>
      <c r="O172" s="11"/>
      <c r="P172" s="7">
        <v>2603.63</v>
      </c>
      <c r="Q172" s="2"/>
      <c r="R172" s="6">
        <f t="shared" si="75"/>
        <v>4.9979443320954378E-4</v>
      </c>
      <c r="S172" s="2"/>
      <c r="T172" s="7">
        <v>8850</v>
      </c>
      <c r="U172" s="2"/>
      <c r="V172" s="6">
        <f t="shared" si="76"/>
        <v>1.0084666759878616E-3</v>
      </c>
      <c r="W172" s="2"/>
      <c r="X172" s="7">
        <f t="shared" si="77"/>
        <v>-6246.37</v>
      </c>
      <c r="Y172" s="2"/>
      <c r="Z172" s="6">
        <f t="shared" si="78"/>
        <v>-0.70580451977401126</v>
      </c>
    </row>
    <row r="173" spans="1:26" s="27" customFormat="1" outlineLevel="1" collapsed="1" x14ac:dyDescent="0.25">
      <c r="A173" s="26"/>
      <c r="B173" s="13" t="str">
        <f>CONCATENATE("     ","Insurance                                         ")</f>
        <v xml:space="preserve">     Insurance                                         </v>
      </c>
      <c r="C173" s="13"/>
      <c r="D173" s="1">
        <f>SUM(OSRRefD22_12x_0)</f>
        <v>4044.74</v>
      </c>
      <c r="E173" s="1"/>
      <c r="F173" s="5">
        <f t="shared" ref="F173:F177" si="79">IF(D$12=0,0,D173/D$12)</f>
        <v>7.9815323293360718E-3</v>
      </c>
      <c r="G173" s="1"/>
      <c r="H173" s="1">
        <f>SUM(OSRRefH22_12x_0)</f>
        <v>4446</v>
      </c>
      <c r="I173" s="1"/>
      <c r="J173" s="5">
        <f t="shared" ref="J173:J177" si="80">IF(H$12=0,0,H173/H$12)</f>
        <v>7.6274719373881656E-3</v>
      </c>
      <c r="K173" s="1"/>
      <c r="L173" s="1">
        <f t="shared" ref="L173:L177" si="81">+D173-H173</f>
        <v>-401.26000000000022</v>
      </c>
      <c r="M173" s="1"/>
      <c r="N173" s="5">
        <f t="shared" ref="N173:N177" si="82">IF(H173=0,0,L173/H173)</f>
        <v>-9.0251911830859247E-2</v>
      </c>
      <c r="O173" s="13"/>
      <c r="P173" s="1">
        <f>SUM(OSRRefP22_12x_0)</f>
        <v>44492.14</v>
      </c>
      <c r="Q173" s="1"/>
      <c r="R173" s="5">
        <f t="shared" ref="R173:R177" si="83">IF(P$12=0,0,P173/P$12)</f>
        <v>8.5407388505969236E-3</v>
      </c>
      <c r="S173" s="1"/>
      <c r="T173" s="1">
        <f>SUM(OSRRefT22_12x_0)</f>
        <v>48906</v>
      </c>
      <c r="U173" s="1"/>
      <c r="V173" s="5">
        <f t="shared" ref="V173:V177" si="84">IF(T$12=0,0,T173/T$12)</f>
        <v>5.5728894074420741E-3</v>
      </c>
      <c r="W173" s="1"/>
      <c r="X173" s="1">
        <f t="shared" ref="X173:X177" si="85">+P173-T173</f>
        <v>-4413.8600000000006</v>
      </c>
      <c r="Y173" s="1"/>
      <c r="Z173" s="5">
        <f t="shared" ref="Z173:Z177" si="86">IF(T173=0,0,X173/T173)</f>
        <v>-9.0251911830859205E-2</v>
      </c>
    </row>
    <row r="174" spans="1:26" s="24" customFormat="1" hidden="1" outlineLevel="2" x14ac:dyDescent="0.25">
      <c r="A174" s="25"/>
      <c r="B174" s="11" t="str">
        <f>CONCATENATE("          ", "6314", " - ", "LIABILITY INSURANCE")</f>
        <v xml:space="preserve">          6314 - LIABILITY INSURANCE</v>
      </c>
      <c r="C174" s="11"/>
      <c r="D174" s="7">
        <v>4044.74</v>
      </c>
      <c r="E174" s="2"/>
      <c r="F174" s="6">
        <f t="shared" si="79"/>
        <v>7.9815323293360718E-3</v>
      </c>
      <c r="G174" s="2"/>
      <c r="H174" s="7">
        <v>4446</v>
      </c>
      <c r="I174" s="2"/>
      <c r="J174" s="6">
        <f t="shared" si="80"/>
        <v>7.6274719373881656E-3</v>
      </c>
      <c r="K174" s="2"/>
      <c r="L174" s="7">
        <f t="shared" si="81"/>
        <v>-401.26000000000022</v>
      </c>
      <c r="M174" s="2"/>
      <c r="N174" s="6">
        <f t="shared" si="82"/>
        <v>-9.0251911830859247E-2</v>
      </c>
      <c r="O174" s="11"/>
      <c r="P174" s="7">
        <v>44492.14</v>
      </c>
      <c r="Q174" s="2"/>
      <c r="R174" s="6">
        <f t="shared" si="83"/>
        <v>8.5407388505969236E-3</v>
      </c>
      <c r="S174" s="2"/>
      <c r="T174" s="7">
        <v>48906</v>
      </c>
      <c r="U174" s="2"/>
      <c r="V174" s="6">
        <f t="shared" si="84"/>
        <v>5.5728894074420741E-3</v>
      </c>
      <c r="W174" s="2"/>
      <c r="X174" s="7">
        <f t="shared" si="85"/>
        <v>-4413.8600000000006</v>
      </c>
      <c r="Y174" s="2"/>
      <c r="Z174" s="6">
        <f t="shared" si="86"/>
        <v>-9.0251911830859205E-2</v>
      </c>
    </row>
    <row r="175" spans="1:26" s="27" customFormat="1" outlineLevel="1" collapsed="1" x14ac:dyDescent="0.25">
      <c r="A175" s="26"/>
      <c r="B175" s="13" t="str">
        <f>CONCATENATE("     ","Inventory Adjustment                              ")</f>
        <v xml:space="preserve">     Inventory Adjustment                              </v>
      </c>
      <c r="C175" s="13"/>
      <c r="D175" s="1">
        <f>SUM(OSRRefD22_13x_0)</f>
        <v>2100</v>
      </c>
      <c r="E175" s="1"/>
      <c r="F175" s="5">
        <f t="shared" si="79"/>
        <v>4.1439543435686224E-3</v>
      </c>
      <c r="G175" s="1"/>
      <c r="H175" s="1">
        <f>SUM(OSRRefH22_13x_0)</f>
        <v>3100</v>
      </c>
      <c r="I175" s="1"/>
      <c r="J175" s="5">
        <f t="shared" si="80"/>
        <v>5.3183002712333142E-3</v>
      </c>
      <c r="K175" s="1"/>
      <c r="L175" s="1">
        <f t="shared" si="81"/>
        <v>-1000</v>
      </c>
      <c r="M175" s="1"/>
      <c r="N175" s="5">
        <f t="shared" si="82"/>
        <v>-0.32258064516129031</v>
      </c>
      <c r="O175" s="13"/>
      <c r="P175" s="1">
        <f>SUM(OSRRefP22_13x_0)</f>
        <v>28100</v>
      </c>
      <c r="Q175" s="1"/>
      <c r="R175" s="5">
        <f t="shared" si="83"/>
        <v>5.3940934668859171E-3</v>
      </c>
      <c r="S175" s="1"/>
      <c r="T175" s="1">
        <f>SUM(OSRRefT22_13x_0)</f>
        <v>39100</v>
      </c>
      <c r="U175" s="1"/>
      <c r="V175" s="5">
        <f t="shared" si="84"/>
        <v>4.4554855402401568E-3</v>
      </c>
      <c r="W175" s="1"/>
      <c r="X175" s="1">
        <f t="shared" si="85"/>
        <v>-11000</v>
      </c>
      <c r="Y175" s="1"/>
      <c r="Z175" s="5">
        <f t="shared" si="86"/>
        <v>-0.2813299232736573</v>
      </c>
    </row>
    <row r="176" spans="1:26" s="24" customFormat="1" hidden="1" outlineLevel="2" x14ac:dyDescent="0.25">
      <c r="A176" s="25"/>
      <c r="B176" s="11" t="str">
        <f>CONCATENATE("          ", "6408", " - ", "INVENTORY ADJUSTMENT")</f>
        <v xml:space="preserve">          6408 - INVENTORY ADJUSTMENT</v>
      </c>
      <c r="C176" s="11"/>
      <c r="D176" s="7">
        <v>2100</v>
      </c>
      <c r="E176" s="2"/>
      <c r="F176" s="6">
        <f t="shared" si="79"/>
        <v>4.1439543435686224E-3</v>
      </c>
      <c r="G176" s="2"/>
      <c r="H176" s="7">
        <v>3100</v>
      </c>
      <c r="I176" s="2"/>
      <c r="J176" s="6">
        <f t="shared" si="80"/>
        <v>5.3183002712333142E-3</v>
      </c>
      <c r="K176" s="2"/>
      <c r="L176" s="7">
        <f t="shared" si="81"/>
        <v>-1000</v>
      </c>
      <c r="M176" s="2"/>
      <c r="N176" s="6">
        <f t="shared" si="82"/>
        <v>-0.32258064516129031</v>
      </c>
      <c r="O176" s="11"/>
      <c r="P176" s="7">
        <v>28100</v>
      </c>
      <c r="Q176" s="2"/>
      <c r="R176" s="6">
        <f t="shared" si="83"/>
        <v>5.3940934668859171E-3</v>
      </c>
      <c r="S176" s="2"/>
      <c r="T176" s="7">
        <v>39100</v>
      </c>
      <c r="U176" s="2"/>
      <c r="V176" s="6">
        <f t="shared" si="84"/>
        <v>4.4554855402401568E-3</v>
      </c>
      <c r="W176" s="2"/>
      <c r="X176" s="7">
        <f t="shared" si="85"/>
        <v>-11000</v>
      </c>
      <c r="Y176" s="2"/>
      <c r="Z176" s="6">
        <f t="shared" si="86"/>
        <v>-0.2813299232736573</v>
      </c>
    </row>
    <row r="177" spans="1:26" s="24" customFormat="1" hidden="1" outlineLevel="2" x14ac:dyDescent="0.25">
      <c r="A177" s="25"/>
      <c r="B177" s="11" t="str">
        <f>CONCATENATE("          ", "7741", " - ", "INV. SHRINKAGE-LOGO GIFTS")</f>
        <v xml:space="preserve">          7741 - INV. SHRINKAGE-LOGO GIFTS</v>
      </c>
      <c r="C177" s="11"/>
      <c r="D177" s="7"/>
      <c r="E177" s="2"/>
      <c r="F177" s="6">
        <f t="shared" si="79"/>
        <v>0</v>
      </c>
      <c r="G177" s="2"/>
      <c r="H177" s="7"/>
      <c r="I177" s="2"/>
      <c r="J177" s="6">
        <f t="shared" si="80"/>
        <v>0</v>
      </c>
      <c r="K177" s="2"/>
      <c r="L177" s="7">
        <f t="shared" si="81"/>
        <v>0</v>
      </c>
      <c r="M177" s="2"/>
      <c r="N177" s="6">
        <f t="shared" si="82"/>
        <v>0</v>
      </c>
      <c r="O177" s="11"/>
      <c r="P177" s="7">
        <v>0</v>
      </c>
      <c r="Q177" s="2"/>
      <c r="R177" s="6">
        <f t="shared" si="83"/>
        <v>0</v>
      </c>
      <c r="S177" s="2"/>
      <c r="T177" s="7"/>
      <c r="U177" s="2"/>
      <c r="V177" s="6">
        <f t="shared" si="84"/>
        <v>0</v>
      </c>
      <c r="W177" s="2"/>
      <c r="X177" s="7">
        <f t="shared" si="85"/>
        <v>0</v>
      </c>
      <c r="Y177" s="2"/>
      <c r="Z177" s="6">
        <f t="shared" si="86"/>
        <v>0</v>
      </c>
    </row>
    <row r="178" spans="1:26" s="27" customFormat="1" outlineLevel="1" collapsed="1" x14ac:dyDescent="0.25">
      <c r="A178" s="26"/>
      <c r="B178" s="13" t="str">
        <f>CONCATENATE("     ","Professional Services                             ")</f>
        <v xml:space="preserve">     Professional Services                             </v>
      </c>
      <c r="C178" s="13"/>
      <c r="D178" s="1">
        <f>SUM(OSRRefD22_14x_0)</f>
        <v>0</v>
      </c>
      <c r="E178" s="1"/>
      <c r="F178" s="5">
        <f t="shared" ref="F178:F186" si="87">IF(D$12=0,0,D178/D$12)</f>
        <v>0</v>
      </c>
      <c r="G178" s="1"/>
      <c r="H178" s="1">
        <f>SUM(OSRRefH22_14x_0)</f>
        <v>0</v>
      </c>
      <c r="I178" s="1"/>
      <c r="J178" s="5">
        <f t="shared" ref="J178:J186" si="88">IF(H$12=0,0,H178/H$12)</f>
        <v>0</v>
      </c>
      <c r="K178" s="1"/>
      <c r="L178" s="1">
        <f t="shared" ref="L178:L186" si="89">+D178-H178</f>
        <v>0</v>
      </c>
      <c r="M178" s="1"/>
      <c r="N178" s="5">
        <f t="shared" ref="N178:N186" si="90">IF(H178=0,0,L178/H178)</f>
        <v>0</v>
      </c>
      <c r="O178" s="13"/>
      <c r="P178" s="1">
        <f>SUM(OSRRefP22_14x_0)</f>
        <v>0</v>
      </c>
      <c r="Q178" s="1"/>
      <c r="R178" s="5">
        <f t="shared" ref="R178:R186" si="91">IF(P$12=0,0,P178/P$12)</f>
        <v>0</v>
      </c>
      <c r="S178" s="1"/>
      <c r="T178" s="1">
        <f>SUM(OSRRefT22_14x_0)</f>
        <v>7300</v>
      </c>
      <c r="U178" s="1"/>
      <c r="V178" s="5">
        <f t="shared" ref="V178:V186" si="92">IF(T$12=0,0,T178/T$12)</f>
        <v>8.3184256889394222E-4</v>
      </c>
      <c r="W178" s="1"/>
      <c r="X178" s="1">
        <f t="shared" ref="X178:X186" si="93">+P178-T178</f>
        <v>-7300</v>
      </c>
      <c r="Y178" s="1"/>
      <c r="Z178" s="5">
        <f t="shared" ref="Z178:Z186" si="94">IF(T178=0,0,X178/T178)</f>
        <v>-1</v>
      </c>
    </row>
    <row r="179" spans="1:26" s="24" customFormat="1" hidden="1" outlineLevel="2" x14ac:dyDescent="0.25">
      <c r="A179" s="25"/>
      <c r="B179" s="11" t="str">
        <f>CONCATENATE("          ", "6336", " - ", "PROFESSIONAL SERVICES")</f>
        <v xml:space="preserve">          6336 - PROFESSIONAL SERVICES</v>
      </c>
      <c r="C179" s="11"/>
      <c r="D179" s="7"/>
      <c r="E179" s="2"/>
      <c r="F179" s="6">
        <f t="shared" si="87"/>
        <v>0</v>
      </c>
      <c r="G179" s="2"/>
      <c r="H179" s="7">
        <v>0</v>
      </c>
      <c r="I179" s="2"/>
      <c r="J179" s="6">
        <f t="shared" si="88"/>
        <v>0</v>
      </c>
      <c r="K179" s="2"/>
      <c r="L179" s="7">
        <f t="shared" si="89"/>
        <v>0</v>
      </c>
      <c r="M179" s="2"/>
      <c r="N179" s="6">
        <f t="shared" si="90"/>
        <v>0</v>
      </c>
      <c r="O179" s="11"/>
      <c r="P179" s="7"/>
      <c r="Q179" s="2"/>
      <c r="R179" s="6">
        <f t="shared" si="91"/>
        <v>0</v>
      </c>
      <c r="S179" s="2"/>
      <c r="T179" s="7">
        <v>7300</v>
      </c>
      <c r="U179" s="2"/>
      <c r="V179" s="6">
        <f t="shared" si="92"/>
        <v>8.3184256889394222E-4</v>
      </c>
      <c r="W179" s="2"/>
      <c r="X179" s="7">
        <f t="shared" si="93"/>
        <v>-7300</v>
      </c>
      <c r="Y179" s="2"/>
      <c r="Z179" s="6">
        <f t="shared" si="94"/>
        <v>-1</v>
      </c>
    </row>
    <row r="180" spans="1:26" s="27" customFormat="1" outlineLevel="1" collapsed="1" x14ac:dyDescent="0.25">
      <c r="A180" s="26"/>
      <c r="B180" s="13" t="str">
        <f>CONCATENATE("     ","Rent                                              ")</f>
        <v xml:space="preserve">     Rent                                              </v>
      </c>
      <c r="C180" s="13"/>
      <c r="D180" s="1">
        <f>SUM(OSRRefD22_15x_0)</f>
        <v>6100</v>
      </c>
      <c r="E180" s="1"/>
      <c r="F180" s="5">
        <f t="shared" si="87"/>
        <v>1.2037200712270761E-2</v>
      </c>
      <c r="G180" s="1"/>
      <c r="H180" s="1">
        <f>SUM(OSRRefH22_15x_0)</f>
        <v>6100</v>
      </c>
      <c r="I180" s="1"/>
      <c r="J180" s="5">
        <f t="shared" si="88"/>
        <v>1.0465042469201036E-2</v>
      </c>
      <c r="K180" s="1"/>
      <c r="L180" s="1">
        <f t="shared" si="89"/>
        <v>0</v>
      </c>
      <c r="M180" s="1"/>
      <c r="N180" s="5">
        <f t="shared" si="90"/>
        <v>0</v>
      </c>
      <c r="O180" s="13"/>
      <c r="P180" s="1">
        <f>SUM(OSRRefP22_15x_0)</f>
        <v>67100</v>
      </c>
      <c r="Q180" s="1"/>
      <c r="R180" s="5">
        <f t="shared" si="91"/>
        <v>1.2880557709183097E-2</v>
      </c>
      <c r="S180" s="1"/>
      <c r="T180" s="1">
        <f>SUM(OSRRefT22_15x_0)</f>
        <v>67101</v>
      </c>
      <c r="U180" s="1"/>
      <c r="V180" s="5">
        <f t="shared" si="92"/>
        <v>7.6462285226510159E-3</v>
      </c>
      <c r="W180" s="1"/>
      <c r="X180" s="1">
        <f t="shared" si="93"/>
        <v>-1</v>
      </c>
      <c r="Y180" s="1"/>
      <c r="Z180" s="5">
        <f t="shared" si="94"/>
        <v>-1.4902907557264423E-5</v>
      </c>
    </row>
    <row r="181" spans="1:26" s="24" customFormat="1" hidden="1" outlineLevel="2" x14ac:dyDescent="0.25">
      <c r="A181" s="25"/>
      <c r="B181" s="11" t="str">
        <f>CONCATENATE("          ", "6273", " - ", "RENT")</f>
        <v xml:space="preserve">          6273 - RENT</v>
      </c>
      <c r="C181" s="11"/>
      <c r="D181" s="7">
        <v>6100</v>
      </c>
      <c r="E181" s="2"/>
      <c r="F181" s="6">
        <f t="shared" si="87"/>
        <v>1.2037200712270761E-2</v>
      </c>
      <c r="G181" s="2"/>
      <c r="H181" s="7">
        <v>6100</v>
      </c>
      <c r="I181" s="2"/>
      <c r="J181" s="6">
        <f t="shared" si="88"/>
        <v>1.0465042469201036E-2</v>
      </c>
      <c r="K181" s="2"/>
      <c r="L181" s="7">
        <f t="shared" si="89"/>
        <v>0</v>
      </c>
      <c r="M181" s="2"/>
      <c r="N181" s="6">
        <f t="shared" si="90"/>
        <v>0</v>
      </c>
      <c r="O181" s="11"/>
      <c r="P181" s="7">
        <v>67100</v>
      </c>
      <c r="Q181" s="2"/>
      <c r="R181" s="6">
        <f t="shared" si="91"/>
        <v>1.2880557709183097E-2</v>
      </c>
      <c r="S181" s="2"/>
      <c r="T181" s="7">
        <v>67101</v>
      </c>
      <c r="U181" s="2"/>
      <c r="V181" s="6">
        <f t="shared" si="92"/>
        <v>7.6462285226510159E-3</v>
      </c>
      <c r="W181" s="2"/>
      <c r="X181" s="7">
        <f t="shared" si="93"/>
        <v>-1</v>
      </c>
      <c r="Y181" s="2"/>
      <c r="Z181" s="6">
        <f t="shared" si="94"/>
        <v>-1.4902907557264423E-5</v>
      </c>
    </row>
    <row r="182" spans="1:26" s="27" customFormat="1" outlineLevel="1" collapsed="1" x14ac:dyDescent="0.25">
      <c r="A182" s="26"/>
      <c r="B182" s="13" t="str">
        <f>CONCATENATE("     ","Repair and Maintenance                            ")</f>
        <v xml:space="preserve">     Repair and Maintenance                            </v>
      </c>
      <c r="C182" s="13"/>
      <c r="D182" s="1">
        <f>SUM(OSRRefD22_16x_0)</f>
        <v>9239.2199999999993</v>
      </c>
      <c r="E182" s="1"/>
      <c r="F182" s="5">
        <f t="shared" si="87"/>
        <v>1.8231859928660041E-2</v>
      </c>
      <c r="G182" s="1"/>
      <c r="H182" s="1">
        <f>SUM(OSRRefH22_16x_0)</f>
        <v>28790</v>
      </c>
      <c r="I182" s="1"/>
      <c r="J182" s="5">
        <f t="shared" si="88"/>
        <v>4.939156929316358E-2</v>
      </c>
      <c r="K182" s="1"/>
      <c r="L182" s="1">
        <f t="shared" si="89"/>
        <v>-19550.78</v>
      </c>
      <c r="M182" s="1"/>
      <c r="N182" s="5">
        <f t="shared" si="90"/>
        <v>-0.67908232025008675</v>
      </c>
      <c r="O182" s="13"/>
      <c r="P182" s="1">
        <f>SUM(OSRRefP22_16x_0)</f>
        <v>142154.91</v>
      </c>
      <c r="Q182" s="1"/>
      <c r="R182" s="5">
        <f t="shared" si="91"/>
        <v>2.7288144886717276E-2</v>
      </c>
      <c r="S182" s="1"/>
      <c r="T182" s="1">
        <f>SUM(OSRRefT22_16x_0)</f>
        <v>223640</v>
      </c>
      <c r="U182" s="1"/>
      <c r="V182" s="5">
        <f t="shared" si="92"/>
        <v>2.5484009877731677E-2</v>
      </c>
      <c r="W182" s="1"/>
      <c r="X182" s="1">
        <f t="shared" si="93"/>
        <v>-81485.09</v>
      </c>
      <c r="Y182" s="1"/>
      <c r="Z182" s="5">
        <f t="shared" si="94"/>
        <v>-0.36435829905204792</v>
      </c>
    </row>
    <row r="183" spans="1:26" s="24" customFormat="1" hidden="1" outlineLevel="2" x14ac:dyDescent="0.25">
      <c r="A183" s="25"/>
      <c r="B183" s="11" t="str">
        <f>CONCATENATE("          ", "6371", " - ", "COMPUTER SOFTWARE MAINTENANCE")</f>
        <v xml:space="preserve">          6371 - COMPUTER SOFTWARE MAINTENANCE</v>
      </c>
      <c r="C183" s="11"/>
      <c r="D183" s="7"/>
      <c r="E183" s="2"/>
      <c r="F183" s="6">
        <f t="shared" si="87"/>
        <v>0</v>
      </c>
      <c r="G183" s="2"/>
      <c r="H183" s="7">
        <v>12000</v>
      </c>
      <c r="I183" s="2"/>
      <c r="J183" s="6">
        <f t="shared" si="88"/>
        <v>2.0586968791870892E-2</v>
      </c>
      <c r="K183" s="2"/>
      <c r="L183" s="7">
        <f t="shared" si="89"/>
        <v>-12000</v>
      </c>
      <c r="M183" s="2"/>
      <c r="N183" s="6">
        <f t="shared" si="90"/>
        <v>-1</v>
      </c>
      <c r="O183" s="11"/>
      <c r="P183" s="7">
        <v>59767.72</v>
      </c>
      <c r="Q183" s="2"/>
      <c r="R183" s="6">
        <f t="shared" si="91"/>
        <v>1.147304868265718E-2</v>
      </c>
      <c r="S183" s="2"/>
      <c r="T183" s="7">
        <v>57000</v>
      </c>
      <c r="U183" s="2"/>
      <c r="V183" s="6">
        <f t="shared" si="92"/>
        <v>6.4952090995828368E-3</v>
      </c>
      <c r="W183" s="2"/>
      <c r="X183" s="7">
        <f t="shared" si="93"/>
        <v>2767.7200000000012</v>
      </c>
      <c r="Y183" s="2"/>
      <c r="Z183" s="6">
        <f t="shared" si="94"/>
        <v>4.8556491228070195E-2</v>
      </c>
    </row>
    <row r="184" spans="1:26" s="24" customFormat="1" hidden="1" outlineLevel="2" x14ac:dyDescent="0.25">
      <c r="A184" s="25"/>
      <c r="B184" s="11" t="str">
        <f>CONCATENATE("          ", "6372", " - ", "COMPUTER HARDWARE MAINTENANCE")</f>
        <v xml:space="preserve">          6372 - COMPUTER HARDWARE MAINTENANCE</v>
      </c>
      <c r="C184" s="11"/>
      <c r="D184" s="7"/>
      <c r="E184" s="2"/>
      <c r="F184" s="6">
        <f t="shared" si="87"/>
        <v>0</v>
      </c>
      <c r="G184" s="2"/>
      <c r="H184" s="7"/>
      <c r="I184" s="2"/>
      <c r="J184" s="6">
        <f t="shared" si="88"/>
        <v>0</v>
      </c>
      <c r="K184" s="2"/>
      <c r="L184" s="7">
        <f t="shared" si="89"/>
        <v>0</v>
      </c>
      <c r="M184" s="2"/>
      <c r="N184" s="6">
        <f t="shared" si="90"/>
        <v>0</v>
      </c>
      <c r="O184" s="11"/>
      <c r="P184" s="7">
        <v>-1.1499999999999999</v>
      </c>
      <c r="Q184" s="2"/>
      <c r="R184" s="6">
        <f t="shared" si="91"/>
        <v>-2.2075471483696809E-7</v>
      </c>
      <c r="S184" s="2"/>
      <c r="T184" s="7"/>
      <c r="U184" s="2"/>
      <c r="V184" s="6">
        <f t="shared" si="92"/>
        <v>0</v>
      </c>
      <c r="W184" s="2"/>
      <c r="X184" s="7">
        <f t="shared" si="93"/>
        <v>-1.1499999999999999</v>
      </c>
      <c r="Y184" s="2"/>
      <c r="Z184" s="6">
        <f t="shared" si="94"/>
        <v>0</v>
      </c>
    </row>
    <row r="185" spans="1:26" s="24" customFormat="1" hidden="1" outlineLevel="2" x14ac:dyDescent="0.25">
      <c r="A185" s="25"/>
      <c r="B185" s="11" t="str">
        <f>CONCATENATE("          ", "6373", " - ", "MAINTENANCE CONTRACTS")</f>
        <v xml:space="preserve">          6373 - MAINTENANCE CONTRACTS</v>
      </c>
      <c r="C185" s="11"/>
      <c r="D185" s="7">
        <v>3187.44</v>
      </c>
      <c r="E185" s="2"/>
      <c r="F185" s="6">
        <f t="shared" si="87"/>
        <v>6.2898123013639864E-3</v>
      </c>
      <c r="G185" s="2"/>
      <c r="H185" s="7">
        <v>8440</v>
      </c>
      <c r="I185" s="2"/>
      <c r="J185" s="6">
        <f t="shared" si="88"/>
        <v>1.447950138361586E-2</v>
      </c>
      <c r="K185" s="2"/>
      <c r="L185" s="7">
        <f t="shared" si="89"/>
        <v>-5252.5599999999995</v>
      </c>
      <c r="M185" s="2"/>
      <c r="N185" s="6">
        <f t="shared" si="90"/>
        <v>-0.62234123222748805</v>
      </c>
      <c r="O185" s="11"/>
      <c r="P185" s="7">
        <v>49306.02</v>
      </c>
      <c r="Q185" s="2"/>
      <c r="R185" s="6">
        <f t="shared" si="91"/>
        <v>9.4648142476920407E-3</v>
      </c>
      <c r="S185" s="2"/>
      <c r="T185" s="7">
        <v>73940</v>
      </c>
      <c r="U185" s="2"/>
      <c r="V185" s="6">
        <f t="shared" si="92"/>
        <v>8.4255396635641213E-3</v>
      </c>
      <c r="W185" s="2"/>
      <c r="X185" s="7">
        <f t="shared" si="93"/>
        <v>-24633.980000000003</v>
      </c>
      <c r="Y185" s="2"/>
      <c r="Z185" s="6">
        <f t="shared" si="94"/>
        <v>-0.3331617527725183</v>
      </c>
    </row>
    <row r="186" spans="1:26" s="24" customFormat="1" hidden="1" outlineLevel="2" x14ac:dyDescent="0.25">
      <c r="A186" s="25"/>
      <c r="B186" s="11" t="str">
        <f>CONCATENATE("          ", "6375", " - ", "OUTSIDE REPAIRS &amp; MAINTENANCE")</f>
        <v xml:space="preserve">          6375 - OUTSIDE REPAIRS &amp; MAINTENANCE</v>
      </c>
      <c r="C186" s="11"/>
      <c r="D186" s="7">
        <v>6051.78</v>
      </c>
      <c r="E186" s="2"/>
      <c r="F186" s="6">
        <f t="shared" si="87"/>
        <v>1.1942047627296056E-2</v>
      </c>
      <c r="G186" s="2"/>
      <c r="H186" s="7">
        <v>8350</v>
      </c>
      <c r="I186" s="2"/>
      <c r="J186" s="6">
        <f t="shared" si="88"/>
        <v>1.4325099117676829E-2</v>
      </c>
      <c r="K186" s="2"/>
      <c r="L186" s="7">
        <f t="shared" si="89"/>
        <v>-2298.2200000000003</v>
      </c>
      <c r="M186" s="2"/>
      <c r="N186" s="6">
        <f t="shared" si="90"/>
        <v>-0.27523592814371262</v>
      </c>
      <c r="O186" s="11"/>
      <c r="P186" s="7">
        <v>33082.32</v>
      </c>
      <c r="Q186" s="2"/>
      <c r="R186" s="6">
        <f t="shared" si="91"/>
        <v>6.3505027110828931E-3</v>
      </c>
      <c r="S186" s="2"/>
      <c r="T186" s="7">
        <v>92700</v>
      </c>
      <c r="U186" s="2"/>
      <c r="V186" s="6">
        <f t="shared" si="92"/>
        <v>1.0563261114584719E-2</v>
      </c>
      <c r="W186" s="2"/>
      <c r="X186" s="7">
        <f t="shared" si="93"/>
        <v>-59617.68</v>
      </c>
      <c r="Y186" s="2"/>
      <c r="Z186" s="6">
        <f t="shared" si="94"/>
        <v>-0.64312491909385117</v>
      </c>
    </row>
    <row r="187" spans="1:26" s="27" customFormat="1" outlineLevel="1" collapsed="1" x14ac:dyDescent="0.25">
      <c r="A187" s="26"/>
      <c r="B187" s="13" t="str">
        <f>CONCATENATE("     ","Royalty &amp; Commissions                             ")</f>
        <v xml:space="preserve">     Royalty &amp; Commissions                             </v>
      </c>
      <c r="C187" s="13"/>
      <c r="D187" s="1">
        <f>SUM(OSRRefD22_17x_0)</f>
        <v>393.98</v>
      </c>
      <c r="E187" s="1"/>
      <c r="F187" s="5">
        <f t="shared" ref="F187:F191" si="95">IF(D$12=0,0,D187/D$12)</f>
        <v>7.7744530108531714E-4</v>
      </c>
      <c r="G187" s="1"/>
      <c r="H187" s="1">
        <f>SUM(OSRRefH22_17x_0)</f>
        <v>9271</v>
      </c>
      <c r="I187" s="1"/>
      <c r="J187" s="5">
        <f t="shared" ref="J187:J191" si="96">IF(H$12=0,0,H187/H$12)</f>
        <v>1.5905148972452921E-2</v>
      </c>
      <c r="K187" s="1"/>
      <c r="L187" s="1">
        <f t="shared" ref="L187:L191" si="97">+D187-H187</f>
        <v>-8877.02</v>
      </c>
      <c r="M187" s="1"/>
      <c r="N187" s="5">
        <f t="shared" ref="N187:N191" si="98">IF(H187=0,0,L187/H187)</f>
        <v>-0.95750404487110352</v>
      </c>
      <c r="O187" s="13"/>
      <c r="P187" s="1">
        <f>SUM(OSRRefP22_17x_0)</f>
        <v>48786.93</v>
      </c>
      <c r="Q187" s="1"/>
      <c r="R187" s="5">
        <f t="shared" ref="R187:R191" si="99">IF(P$12=0,0,P187/P$12)</f>
        <v>9.3651694086270658E-3</v>
      </c>
      <c r="S187" s="1"/>
      <c r="T187" s="1">
        <f>SUM(OSRRefT22_17x_0)</f>
        <v>104231</v>
      </c>
      <c r="U187" s="1"/>
      <c r="V187" s="5">
        <f t="shared" ref="V187:V191" si="100">IF(T$12=0,0,T187/T$12)</f>
        <v>1.1877230520326644E-2</v>
      </c>
      <c r="W187" s="1"/>
      <c r="X187" s="1">
        <f t="shared" ref="X187:X191" si="101">+P187-T187</f>
        <v>-55444.07</v>
      </c>
      <c r="Y187" s="1"/>
      <c r="Z187" s="5">
        <f t="shared" ref="Z187:Z191" si="102">IF(T187=0,0,X187/T187)</f>
        <v>-0.53193454922240024</v>
      </c>
    </row>
    <row r="188" spans="1:26" s="24" customFormat="1" hidden="1" outlineLevel="2" x14ac:dyDescent="0.25">
      <c r="A188" s="25"/>
      <c r="B188" s="11" t="str">
        <f>CONCATENATE("          ", "6252", " - ", "ROYALTY DUE CSTV")</f>
        <v xml:space="preserve">          6252 - ROYALTY DUE CSTV</v>
      </c>
      <c r="C188" s="11"/>
      <c r="D188" s="7"/>
      <c r="E188" s="2"/>
      <c r="F188" s="6">
        <f t="shared" si="95"/>
        <v>0</v>
      </c>
      <c r="G188" s="2"/>
      <c r="H188" s="7">
        <v>1085</v>
      </c>
      <c r="I188" s="2"/>
      <c r="J188" s="6">
        <f t="shared" si="96"/>
        <v>1.8614050949316598E-3</v>
      </c>
      <c r="K188" s="2"/>
      <c r="L188" s="7">
        <f t="shared" si="97"/>
        <v>-1085</v>
      </c>
      <c r="M188" s="2"/>
      <c r="N188" s="6">
        <f t="shared" si="98"/>
        <v>-1</v>
      </c>
      <c r="O188" s="11"/>
      <c r="P188" s="7"/>
      <c r="Q188" s="2"/>
      <c r="R188" s="6">
        <f t="shared" si="99"/>
        <v>0</v>
      </c>
      <c r="S188" s="2"/>
      <c r="T188" s="7">
        <v>11935</v>
      </c>
      <c r="U188" s="2"/>
      <c r="V188" s="6">
        <f t="shared" si="100"/>
        <v>1.3600056246231781E-3</v>
      </c>
      <c r="W188" s="2"/>
      <c r="X188" s="7">
        <f t="shared" si="101"/>
        <v>-11935</v>
      </c>
      <c r="Y188" s="2"/>
      <c r="Z188" s="6">
        <f t="shared" si="102"/>
        <v>-1</v>
      </c>
    </row>
    <row r="189" spans="1:26" s="24" customFormat="1" hidden="1" outlineLevel="2" x14ac:dyDescent="0.25">
      <c r="A189" s="25"/>
      <c r="B189" s="11" t="str">
        <f>CONCATENATE("          ", "6253", " - ", "ROYALTY DUE ATHLETICS-LRG")</f>
        <v xml:space="preserve">          6253 - ROYALTY DUE ATHLETICS-LRG</v>
      </c>
      <c r="C189" s="11"/>
      <c r="D189" s="7"/>
      <c r="E189" s="2"/>
      <c r="F189" s="6">
        <f t="shared" si="95"/>
        <v>0</v>
      </c>
      <c r="G189" s="2"/>
      <c r="H189" s="7">
        <v>4037</v>
      </c>
      <c r="I189" s="2"/>
      <c r="J189" s="6">
        <f t="shared" si="96"/>
        <v>6.9257994177318993E-3</v>
      </c>
      <c r="K189" s="2"/>
      <c r="L189" s="7">
        <f t="shared" si="97"/>
        <v>-4037</v>
      </c>
      <c r="M189" s="2"/>
      <c r="N189" s="6">
        <f t="shared" si="98"/>
        <v>-1</v>
      </c>
      <c r="O189" s="11"/>
      <c r="P189" s="7">
        <v>35159.06</v>
      </c>
      <c r="Q189" s="2"/>
      <c r="R189" s="6">
        <f t="shared" si="99"/>
        <v>6.7491550123790012E-3</v>
      </c>
      <c r="S189" s="2"/>
      <c r="T189" s="7">
        <v>44407</v>
      </c>
      <c r="U189" s="2"/>
      <c r="V189" s="6">
        <f t="shared" si="100"/>
        <v>5.060223692722369E-3</v>
      </c>
      <c r="W189" s="2"/>
      <c r="X189" s="7">
        <f t="shared" si="101"/>
        <v>-9247.9400000000023</v>
      </c>
      <c r="Y189" s="2"/>
      <c r="Z189" s="6">
        <f t="shared" si="102"/>
        <v>-0.20825410408268971</v>
      </c>
    </row>
    <row r="190" spans="1:26" s="24" customFormat="1" hidden="1" outlineLevel="2" x14ac:dyDescent="0.25">
      <c r="A190" s="25"/>
      <c r="B190" s="11" t="str">
        <f>CONCATENATE("          ", "6254", " - ", "ROYALTY &amp; COMMISSIONS")</f>
        <v xml:space="preserve">          6254 - ROYALTY &amp; COMMISSIONS</v>
      </c>
      <c r="C190" s="11"/>
      <c r="D190" s="7"/>
      <c r="E190" s="2"/>
      <c r="F190" s="6">
        <f t="shared" si="95"/>
        <v>0</v>
      </c>
      <c r="G190" s="2"/>
      <c r="H190" s="7">
        <v>1149</v>
      </c>
      <c r="I190" s="2"/>
      <c r="J190" s="6">
        <f t="shared" si="96"/>
        <v>1.9712022618216377E-3</v>
      </c>
      <c r="K190" s="2"/>
      <c r="L190" s="7">
        <f t="shared" si="97"/>
        <v>-1149</v>
      </c>
      <c r="M190" s="2"/>
      <c r="N190" s="6">
        <f t="shared" si="98"/>
        <v>-1</v>
      </c>
      <c r="O190" s="11"/>
      <c r="P190" s="7"/>
      <c r="Q190" s="2"/>
      <c r="R190" s="6">
        <f t="shared" si="99"/>
        <v>0</v>
      </c>
      <c r="S190" s="2"/>
      <c r="T190" s="7">
        <v>12639</v>
      </c>
      <c r="U190" s="2"/>
      <c r="V190" s="6">
        <f t="shared" si="100"/>
        <v>1.4402271545548679E-3</v>
      </c>
      <c r="W190" s="2"/>
      <c r="X190" s="7">
        <f t="shared" si="101"/>
        <v>-12639</v>
      </c>
      <c r="Y190" s="2"/>
      <c r="Z190" s="6">
        <f t="shared" si="102"/>
        <v>-1</v>
      </c>
    </row>
    <row r="191" spans="1:26" s="24" customFormat="1" hidden="1" outlineLevel="2" x14ac:dyDescent="0.25">
      <c r="A191" s="25"/>
      <c r="B191" s="11" t="str">
        <f>CONCATENATE("          ", "6259", " - ", "ROYALTY &amp; COMMISSIONS")</f>
        <v xml:space="preserve">          6259 - ROYALTY &amp; COMMISSIONS</v>
      </c>
      <c r="C191" s="11"/>
      <c r="D191" s="7">
        <v>393.98</v>
      </c>
      <c r="E191" s="2"/>
      <c r="F191" s="6">
        <f t="shared" si="95"/>
        <v>7.7744530108531714E-4</v>
      </c>
      <c r="G191" s="2"/>
      <c r="H191" s="7">
        <v>3000</v>
      </c>
      <c r="I191" s="2"/>
      <c r="J191" s="6">
        <f t="shared" si="96"/>
        <v>5.1467421979677231E-3</v>
      </c>
      <c r="K191" s="2"/>
      <c r="L191" s="7">
        <f t="shared" si="97"/>
        <v>-2606.02</v>
      </c>
      <c r="M191" s="2"/>
      <c r="N191" s="6">
        <f t="shared" si="98"/>
        <v>-0.8686733333333333</v>
      </c>
      <c r="O191" s="11"/>
      <c r="P191" s="7">
        <v>13627.87</v>
      </c>
      <c r="Q191" s="2"/>
      <c r="R191" s="6">
        <f t="shared" si="99"/>
        <v>2.6160143962480633E-3</v>
      </c>
      <c r="S191" s="2"/>
      <c r="T191" s="7">
        <v>35250</v>
      </c>
      <c r="U191" s="2"/>
      <c r="V191" s="6">
        <f t="shared" si="100"/>
        <v>4.0167740484262282E-3</v>
      </c>
      <c r="W191" s="2"/>
      <c r="X191" s="7">
        <f t="shared" si="101"/>
        <v>-21622.129999999997</v>
      </c>
      <c r="Y191" s="2"/>
      <c r="Z191" s="6">
        <f t="shared" si="102"/>
        <v>-0.61339375886524816</v>
      </c>
    </row>
    <row r="192" spans="1:26" s="27" customFormat="1" outlineLevel="1" collapsed="1" x14ac:dyDescent="0.25">
      <c r="A192" s="26"/>
      <c r="B192" s="13" t="str">
        <f>CONCATENATE("     ","Services                                          ")</f>
        <v xml:space="preserve">     Services                                          </v>
      </c>
      <c r="C192" s="13"/>
      <c r="D192" s="1">
        <f>SUM(OSRRefD22_18x_0)</f>
        <v>4297.32</v>
      </c>
      <c r="E192" s="1"/>
      <c r="F192" s="5">
        <f t="shared" ref="F192:F196" si="103">IF(D$12=0,0,D192/D$12)</f>
        <v>8.4799513712877674E-3</v>
      </c>
      <c r="G192" s="1"/>
      <c r="H192" s="1">
        <f>SUM(OSRRefH22_18x_0)</f>
        <v>4729</v>
      </c>
      <c r="I192" s="1"/>
      <c r="J192" s="5">
        <f t="shared" ref="J192:J196" si="104">IF(H$12=0,0,H192/H$12)</f>
        <v>8.1129812847297866E-3</v>
      </c>
      <c r="K192" s="1"/>
      <c r="L192" s="1">
        <f t="shared" ref="L192:L196" si="105">+D192-H192</f>
        <v>-431.68000000000029</v>
      </c>
      <c r="M192" s="1"/>
      <c r="N192" s="5">
        <f t="shared" ref="N192:N196" si="106">IF(H192=0,0,L192/H192)</f>
        <v>-9.1283569465003239E-2</v>
      </c>
      <c r="O192" s="13"/>
      <c r="P192" s="1">
        <f>SUM(OSRRefP22_18x_0)</f>
        <v>44441.3</v>
      </c>
      <c r="Q192" s="1"/>
      <c r="R192" s="5">
        <f t="shared" ref="R192:R196" si="107">IF(P$12=0,0,P192/P$12)</f>
        <v>8.5309795725949152E-3</v>
      </c>
      <c r="S192" s="1"/>
      <c r="T192" s="1">
        <f>SUM(OSRRefT22_18x_0)</f>
        <v>52335</v>
      </c>
      <c r="U192" s="1"/>
      <c r="V192" s="5">
        <f t="shared" ref="V192:V196" si="108">IF(T$12=0,0,T192/T$12)</f>
        <v>5.9636275127485571E-3</v>
      </c>
      <c r="W192" s="1"/>
      <c r="X192" s="1">
        <f t="shared" ref="X192:X196" si="109">+P192-T192</f>
        <v>-7893.6999999999971</v>
      </c>
      <c r="Y192" s="1"/>
      <c r="Z192" s="5">
        <f t="shared" ref="Z192:Z196" si="110">IF(T192=0,0,X192/T192)</f>
        <v>-0.15083022833667711</v>
      </c>
    </row>
    <row r="193" spans="1:26" s="24" customFormat="1" hidden="1" outlineLevel="2" x14ac:dyDescent="0.25">
      <c r="A193" s="25"/>
      <c r="B193" s="11" t="str">
        <f>CONCATENATE("          ", "6282", " - ", "JANITORIAL/EXTERMINATOR EXPENS")</f>
        <v xml:space="preserve">          6282 - JANITORIAL/EXTERMINATOR EXPENS</v>
      </c>
      <c r="C193" s="11"/>
      <c r="D193" s="7">
        <v>291</v>
      </c>
      <c r="E193" s="2"/>
      <c r="F193" s="6">
        <f t="shared" si="103"/>
        <v>5.7423367332308062E-4</v>
      </c>
      <c r="G193" s="2"/>
      <c r="H193" s="7">
        <v>4000</v>
      </c>
      <c r="I193" s="2"/>
      <c r="J193" s="6">
        <f t="shared" si="104"/>
        <v>6.8623229306236308E-3</v>
      </c>
      <c r="K193" s="2"/>
      <c r="L193" s="7">
        <f t="shared" si="105"/>
        <v>-3709</v>
      </c>
      <c r="M193" s="2"/>
      <c r="N193" s="6">
        <f t="shared" si="106"/>
        <v>-0.92725000000000002</v>
      </c>
      <c r="O193" s="11"/>
      <c r="P193" s="7">
        <v>7697.12</v>
      </c>
      <c r="Q193" s="2"/>
      <c r="R193" s="6">
        <f t="shared" si="107"/>
        <v>1.4775439397094992E-3</v>
      </c>
      <c r="S193" s="2"/>
      <c r="T193" s="7">
        <v>44000</v>
      </c>
      <c r="U193" s="2"/>
      <c r="V193" s="6">
        <f t="shared" si="108"/>
        <v>5.0138456207306104E-3</v>
      </c>
      <c r="W193" s="2"/>
      <c r="X193" s="7">
        <f t="shared" si="109"/>
        <v>-36302.879999999997</v>
      </c>
      <c r="Y193" s="2"/>
      <c r="Z193" s="6">
        <f t="shared" si="110"/>
        <v>-0.82506545454545444</v>
      </c>
    </row>
    <row r="194" spans="1:26" s="24" customFormat="1" hidden="1" outlineLevel="2" x14ac:dyDescent="0.25">
      <c r="A194" s="25"/>
      <c r="B194" s="11" t="str">
        <f>CONCATENATE("          ", "6283", " - ", "PLANT SERVICE")</f>
        <v xml:space="preserve">          6283 - PLANT SERVICE</v>
      </c>
      <c r="C194" s="11"/>
      <c r="D194" s="7"/>
      <c r="E194" s="2"/>
      <c r="F194" s="6">
        <f t="shared" si="103"/>
        <v>0</v>
      </c>
      <c r="G194" s="2"/>
      <c r="H194" s="7">
        <v>0</v>
      </c>
      <c r="I194" s="2"/>
      <c r="J194" s="6">
        <f t="shared" si="104"/>
        <v>0</v>
      </c>
      <c r="K194" s="2"/>
      <c r="L194" s="7">
        <f t="shared" si="105"/>
        <v>0</v>
      </c>
      <c r="M194" s="2"/>
      <c r="N194" s="6">
        <f t="shared" si="106"/>
        <v>0</v>
      </c>
      <c r="O194" s="11"/>
      <c r="P194" s="7">
        <v>171.31</v>
      </c>
      <c r="Q194" s="2"/>
      <c r="R194" s="6">
        <f t="shared" si="107"/>
        <v>3.2884774085844353E-5</v>
      </c>
      <c r="S194" s="2"/>
      <c r="T194" s="7">
        <v>0</v>
      </c>
      <c r="U194" s="2"/>
      <c r="V194" s="6">
        <f t="shared" si="108"/>
        <v>0</v>
      </c>
      <c r="W194" s="2"/>
      <c r="X194" s="7">
        <f t="shared" si="109"/>
        <v>171.31</v>
      </c>
      <c r="Y194" s="2"/>
      <c r="Z194" s="6">
        <f t="shared" si="110"/>
        <v>0</v>
      </c>
    </row>
    <row r="195" spans="1:26" s="24" customFormat="1" hidden="1" outlineLevel="2" x14ac:dyDescent="0.25">
      <c r="A195" s="25"/>
      <c r="B195" s="11" t="str">
        <f>CONCATENATE("          ", "6284", " - ", "TRASH REMOVAL EXPENSE")</f>
        <v xml:space="preserve">          6284 - TRASH REMOVAL EXPENSE</v>
      </c>
      <c r="C195" s="11"/>
      <c r="D195" s="7">
        <v>142.57</v>
      </c>
      <c r="E195" s="2"/>
      <c r="F195" s="6">
        <f t="shared" si="103"/>
        <v>2.8133503369646594E-4</v>
      </c>
      <c r="G195" s="2"/>
      <c r="H195" s="7">
        <v>55</v>
      </c>
      <c r="I195" s="2"/>
      <c r="J195" s="6">
        <f t="shared" si="104"/>
        <v>9.4356940296074919E-5</v>
      </c>
      <c r="K195" s="2"/>
      <c r="L195" s="7">
        <f t="shared" si="105"/>
        <v>87.57</v>
      </c>
      <c r="M195" s="2"/>
      <c r="N195" s="6">
        <f t="shared" si="106"/>
        <v>1.5921818181818181</v>
      </c>
      <c r="O195" s="11"/>
      <c r="P195" s="7">
        <v>1583.29</v>
      </c>
      <c r="Q195" s="2"/>
      <c r="R195" s="6">
        <f t="shared" si="107"/>
        <v>3.0392933256888978E-4</v>
      </c>
      <c r="S195" s="2"/>
      <c r="T195" s="7">
        <v>770</v>
      </c>
      <c r="U195" s="2"/>
      <c r="V195" s="6">
        <f t="shared" si="108"/>
        <v>8.7742298362785692E-5</v>
      </c>
      <c r="W195" s="2"/>
      <c r="X195" s="7">
        <f t="shared" si="109"/>
        <v>813.29</v>
      </c>
      <c r="Y195" s="2"/>
      <c r="Z195" s="6">
        <f t="shared" si="110"/>
        <v>1.0562207792207792</v>
      </c>
    </row>
    <row r="196" spans="1:26" s="24" customFormat="1" hidden="1" outlineLevel="2" x14ac:dyDescent="0.25">
      <c r="A196" s="25"/>
      <c r="B196" s="11" t="str">
        <f>CONCATENATE("          ", "6285", " - ", "JANITORIAL SERVICES")</f>
        <v xml:space="preserve">          6285 - JANITORIAL SERVICES</v>
      </c>
      <c r="C196" s="11"/>
      <c r="D196" s="7">
        <v>3863.75</v>
      </c>
      <c r="E196" s="2"/>
      <c r="F196" s="6">
        <f t="shared" si="103"/>
        <v>7.6243826642682219E-3</v>
      </c>
      <c r="G196" s="2"/>
      <c r="H196" s="7">
        <v>674</v>
      </c>
      <c r="I196" s="2"/>
      <c r="J196" s="6">
        <f t="shared" si="104"/>
        <v>1.1563014138100817E-3</v>
      </c>
      <c r="K196" s="2"/>
      <c r="L196" s="7">
        <f t="shared" si="105"/>
        <v>3189.75</v>
      </c>
      <c r="M196" s="2"/>
      <c r="N196" s="6">
        <f t="shared" si="106"/>
        <v>4.7325667655786354</v>
      </c>
      <c r="O196" s="11"/>
      <c r="P196" s="7">
        <v>34989.58</v>
      </c>
      <c r="Q196" s="2"/>
      <c r="R196" s="6">
        <f t="shared" si="107"/>
        <v>6.7166215262306813E-3</v>
      </c>
      <c r="S196" s="2"/>
      <c r="T196" s="7">
        <v>7565</v>
      </c>
      <c r="U196" s="2"/>
      <c r="V196" s="6">
        <f t="shared" si="108"/>
        <v>8.6203959365516072E-4</v>
      </c>
      <c r="W196" s="2"/>
      <c r="X196" s="7">
        <f t="shared" si="109"/>
        <v>27424.58</v>
      </c>
      <c r="Y196" s="2"/>
      <c r="Z196" s="6">
        <f t="shared" si="110"/>
        <v>3.6251923331130209</v>
      </c>
    </row>
    <row r="197" spans="1:26" s="27" customFormat="1" outlineLevel="1" collapsed="1" x14ac:dyDescent="0.25">
      <c r="A197" s="26"/>
      <c r="B197" s="13" t="str">
        <f>CONCATENATE("     ","Subscriptions &amp; Dues                              ")</f>
        <v xml:space="preserve">     Subscriptions &amp; Dues                              </v>
      </c>
      <c r="C197" s="13"/>
      <c r="D197" s="1">
        <f>SUM(OSRRefD22_19x_0)</f>
        <v>611.22</v>
      </c>
      <c r="E197" s="1"/>
      <c r="F197" s="5">
        <f t="shared" ref="F197:F199" si="111">IF(D$12=0,0,D197/D$12)</f>
        <v>1.2061275113695303E-3</v>
      </c>
      <c r="G197" s="1"/>
      <c r="H197" s="1">
        <f>SUM(OSRRefH22_19x_0)</f>
        <v>1100</v>
      </c>
      <c r="I197" s="1"/>
      <c r="J197" s="5">
        <f t="shared" ref="J197:J199" si="112">IF(H$12=0,0,H197/H$12)</f>
        <v>1.8871388059214984E-3</v>
      </c>
      <c r="K197" s="1"/>
      <c r="L197" s="1">
        <f t="shared" ref="L197:L199" si="113">+D197-H197</f>
        <v>-488.78</v>
      </c>
      <c r="M197" s="1"/>
      <c r="N197" s="5">
        <f t="shared" ref="N197:N199" si="114">IF(H197=0,0,L197/H197)</f>
        <v>-0.44434545454545454</v>
      </c>
      <c r="O197" s="13"/>
      <c r="P197" s="1">
        <f>SUM(OSRRefP22_19x_0)</f>
        <v>7289.13</v>
      </c>
      <c r="Q197" s="1"/>
      <c r="R197" s="5">
        <f t="shared" ref="R197:R199" si="115">IF(P$12=0,0,P197/P$12)</f>
        <v>1.3992259257039909E-3</v>
      </c>
      <c r="S197" s="1"/>
      <c r="T197" s="1">
        <f>SUM(OSRRefT22_19x_0)</f>
        <v>15295</v>
      </c>
      <c r="U197" s="1"/>
      <c r="V197" s="5">
        <f t="shared" ref="V197:V199" si="116">IF(T$12=0,0,T197/T$12)</f>
        <v>1.7428811083880613E-3</v>
      </c>
      <c r="W197" s="1"/>
      <c r="X197" s="1">
        <f t="shared" ref="X197:X199" si="117">+P197-T197</f>
        <v>-8005.87</v>
      </c>
      <c r="Y197" s="1"/>
      <c r="Z197" s="5">
        <f t="shared" ref="Z197:Z199" si="118">IF(T197=0,0,X197/T197)</f>
        <v>-0.52343053285387375</v>
      </c>
    </row>
    <row r="198" spans="1:26" s="24" customFormat="1" hidden="1" outlineLevel="2" x14ac:dyDescent="0.25">
      <c r="A198" s="25"/>
      <c r="B198" s="11" t="str">
        <f>CONCATENATE("          ", "6258", " - ", "MEMBERSHIP DUES")</f>
        <v xml:space="preserve">          6258 - MEMBERSHIP DUES</v>
      </c>
      <c r="C198" s="11"/>
      <c r="D198" s="7">
        <v>611.22</v>
      </c>
      <c r="E198" s="2"/>
      <c r="F198" s="6">
        <f t="shared" si="111"/>
        <v>1.2061275113695303E-3</v>
      </c>
      <c r="G198" s="2"/>
      <c r="H198" s="7">
        <v>1100</v>
      </c>
      <c r="I198" s="2"/>
      <c r="J198" s="6">
        <f t="shared" si="112"/>
        <v>1.8871388059214984E-3</v>
      </c>
      <c r="K198" s="2"/>
      <c r="L198" s="7">
        <f t="shared" si="113"/>
        <v>-488.78</v>
      </c>
      <c r="M198" s="2"/>
      <c r="N198" s="6">
        <f t="shared" si="114"/>
        <v>-0.44434545454545454</v>
      </c>
      <c r="O198" s="11"/>
      <c r="P198" s="7">
        <v>3046.45</v>
      </c>
      <c r="Q198" s="2"/>
      <c r="R198" s="6">
        <f t="shared" si="115"/>
        <v>5.8479843566528822E-4</v>
      </c>
      <c r="S198" s="2"/>
      <c r="T198" s="7">
        <v>13495</v>
      </c>
      <c r="U198" s="2"/>
      <c r="V198" s="6">
        <f t="shared" si="116"/>
        <v>1.5377692420854453E-3</v>
      </c>
      <c r="W198" s="2"/>
      <c r="X198" s="7">
        <f t="shared" si="117"/>
        <v>-10448.549999999999</v>
      </c>
      <c r="Y198" s="2"/>
      <c r="Z198" s="6">
        <f t="shared" si="118"/>
        <v>-0.77425342719525747</v>
      </c>
    </row>
    <row r="199" spans="1:26" s="24" customFormat="1" hidden="1" outlineLevel="2" x14ac:dyDescent="0.25">
      <c r="A199" s="25"/>
      <c r="B199" s="11" t="str">
        <f>CONCATENATE("          ", "6275", " - ", "SUBSCRIPTIONS")</f>
        <v xml:space="preserve">          6275 - SUBSCRIPTIONS</v>
      </c>
      <c r="C199" s="11"/>
      <c r="D199" s="7"/>
      <c r="E199" s="2"/>
      <c r="F199" s="6">
        <f t="shared" si="111"/>
        <v>0</v>
      </c>
      <c r="G199" s="2"/>
      <c r="H199" s="7">
        <v>0</v>
      </c>
      <c r="I199" s="2"/>
      <c r="J199" s="6">
        <f t="shared" si="112"/>
        <v>0</v>
      </c>
      <c r="K199" s="2"/>
      <c r="L199" s="7">
        <f t="shared" si="113"/>
        <v>0</v>
      </c>
      <c r="M199" s="2"/>
      <c r="N199" s="6">
        <f t="shared" si="114"/>
        <v>0</v>
      </c>
      <c r="O199" s="11"/>
      <c r="P199" s="7">
        <v>4242.68</v>
      </c>
      <c r="Q199" s="2"/>
      <c r="R199" s="6">
        <f t="shared" si="115"/>
        <v>8.144274900387026E-4</v>
      </c>
      <c r="S199" s="2"/>
      <c r="T199" s="7">
        <v>1800</v>
      </c>
      <c r="U199" s="2"/>
      <c r="V199" s="6">
        <f t="shared" si="116"/>
        <v>2.0511186630261589E-4</v>
      </c>
      <c r="W199" s="2"/>
      <c r="X199" s="7">
        <f t="shared" si="117"/>
        <v>2442.6800000000003</v>
      </c>
      <c r="Y199" s="2"/>
      <c r="Z199" s="6">
        <f t="shared" si="118"/>
        <v>1.3570444444444445</v>
      </c>
    </row>
    <row r="200" spans="1:26" s="27" customFormat="1" outlineLevel="1" collapsed="1" x14ac:dyDescent="0.25">
      <c r="A200" s="26"/>
      <c r="B200" s="13" t="str">
        <f>CONCATENATE("     ","Supplies                                          ")</f>
        <v xml:space="preserve">     Supplies                                          </v>
      </c>
      <c r="C200" s="13"/>
      <c r="D200" s="1">
        <f>SUM(OSRRefD22_20x_0)</f>
        <v>10202.06</v>
      </c>
      <c r="E200" s="1"/>
      <c r="F200" s="5">
        <f t="shared" ref="F200:F209" si="119">IF(D$12=0,0,D200/D$12)</f>
        <v>2.0131843262070334E-2</v>
      </c>
      <c r="G200" s="1"/>
      <c r="H200" s="1">
        <f>SUM(OSRRefH22_20x_0)</f>
        <v>11420</v>
      </c>
      <c r="I200" s="1"/>
      <c r="J200" s="5">
        <f t="shared" ref="J200:J209" si="120">IF(H$12=0,0,H200/H$12)</f>
        <v>1.9591931966930466E-2</v>
      </c>
      <c r="K200" s="1"/>
      <c r="L200" s="1">
        <f t="shared" ref="L200:L209" si="121">+D200-H200</f>
        <v>-1217.9400000000005</v>
      </c>
      <c r="M200" s="1"/>
      <c r="N200" s="5">
        <f t="shared" ref="N200:N209" si="122">IF(H200=0,0,L200/H200)</f>
        <v>-0.10664973730297728</v>
      </c>
      <c r="O200" s="13"/>
      <c r="P200" s="1">
        <f>SUM(OSRRefP22_20x_0)</f>
        <v>121898.75</v>
      </c>
      <c r="Q200" s="1"/>
      <c r="R200" s="5">
        <f t="shared" ref="R200:R209" si="123">IF(P$12=0,0,P200/P$12)</f>
        <v>2.3399759821941625E-2</v>
      </c>
      <c r="S200" s="1"/>
      <c r="T200" s="1">
        <f>SUM(OSRRefT22_20x_0)</f>
        <v>155950</v>
      </c>
      <c r="U200" s="1"/>
      <c r="V200" s="5">
        <f t="shared" ref="V200:V209" si="124">IF(T$12=0,0,T200/T$12)</f>
        <v>1.7770664194384972E-2</v>
      </c>
      <c r="W200" s="1"/>
      <c r="X200" s="1">
        <f t="shared" ref="X200:X209" si="125">+P200-T200</f>
        <v>-34051.25</v>
      </c>
      <c r="Y200" s="1"/>
      <c r="Z200" s="5">
        <f t="shared" ref="Z200:Z209" si="126">IF(T200=0,0,X200/T200)</f>
        <v>-0.21834722667521642</v>
      </c>
    </row>
    <row r="201" spans="1:26" s="24" customFormat="1" hidden="1" outlineLevel="2" x14ac:dyDescent="0.25">
      <c r="A201" s="25"/>
      <c r="B201" s="11" t="str">
        <f>CONCATENATE("          ", "6234", " - ", "EXPENDABLE SUPPLIES &amp; EQUIPMEN")</f>
        <v xml:space="preserve">          6234 - EXPENDABLE SUPPLIES &amp; EQUIPMEN</v>
      </c>
      <c r="C201" s="11"/>
      <c r="D201" s="7"/>
      <c r="E201" s="2"/>
      <c r="F201" s="6">
        <f t="shared" si="119"/>
        <v>0</v>
      </c>
      <c r="G201" s="2"/>
      <c r="H201" s="7">
        <v>150</v>
      </c>
      <c r="I201" s="2"/>
      <c r="J201" s="6">
        <f t="shared" si="120"/>
        <v>2.5733710989838613E-4</v>
      </c>
      <c r="K201" s="2"/>
      <c r="L201" s="7">
        <f t="shared" si="121"/>
        <v>-150</v>
      </c>
      <c r="M201" s="2"/>
      <c r="N201" s="6">
        <f t="shared" si="122"/>
        <v>-1</v>
      </c>
      <c r="O201" s="11"/>
      <c r="P201" s="7">
        <v>0.16</v>
      </c>
      <c r="Q201" s="2"/>
      <c r="R201" s="6">
        <f t="shared" si="123"/>
        <v>3.0713699455578172E-8</v>
      </c>
      <c r="S201" s="2"/>
      <c r="T201" s="7">
        <v>1650</v>
      </c>
      <c r="U201" s="2"/>
      <c r="V201" s="6">
        <f t="shared" si="124"/>
        <v>1.8801921077739791E-4</v>
      </c>
      <c r="W201" s="2"/>
      <c r="X201" s="7">
        <f t="shared" si="125"/>
        <v>-1649.84</v>
      </c>
      <c r="Y201" s="2"/>
      <c r="Z201" s="6">
        <f t="shared" si="126"/>
        <v>-0.99990303030303029</v>
      </c>
    </row>
    <row r="202" spans="1:26" s="24" customFormat="1" hidden="1" outlineLevel="2" x14ac:dyDescent="0.25">
      <c r="A202" s="25"/>
      <c r="B202" s="11" t="str">
        <f>CONCATENATE("          ", "6235", " - ", "COVID-19 EXPENSES")</f>
        <v xml:space="preserve">          6235 - COVID-19 EXPENSES</v>
      </c>
      <c r="C202" s="11"/>
      <c r="D202" s="7">
        <v>2928.27</v>
      </c>
      <c r="E202" s="2"/>
      <c r="F202" s="6">
        <f t="shared" si="119"/>
        <v>5.7783891360198526E-3</v>
      </c>
      <c r="G202" s="2"/>
      <c r="H202" s="7">
        <v>500</v>
      </c>
      <c r="I202" s="2"/>
      <c r="J202" s="6">
        <f t="shared" si="120"/>
        <v>8.5779036632795385E-4</v>
      </c>
      <c r="K202" s="2"/>
      <c r="L202" s="7">
        <f t="shared" si="121"/>
        <v>2428.27</v>
      </c>
      <c r="M202" s="2"/>
      <c r="N202" s="6">
        <f t="shared" si="122"/>
        <v>4.8565399999999999</v>
      </c>
      <c r="O202" s="11"/>
      <c r="P202" s="7">
        <v>43998.06</v>
      </c>
      <c r="Q202" s="2"/>
      <c r="R202" s="6">
        <f t="shared" si="123"/>
        <v>8.4458949466780977E-3</v>
      </c>
      <c r="S202" s="2"/>
      <c r="T202" s="7">
        <v>65100</v>
      </c>
      <c r="U202" s="2"/>
      <c r="V202" s="6">
        <f t="shared" si="124"/>
        <v>7.4182124979446078E-3</v>
      </c>
      <c r="W202" s="2"/>
      <c r="X202" s="7">
        <f t="shared" si="125"/>
        <v>-21101.940000000002</v>
      </c>
      <c r="Y202" s="2"/>
      <c r="Z202" s="6">
        <f t="shared" si="126"/>
        <v>-0.32414654377880187</v>
      </c>
    </row>
    <row r="203" spans="1:26" s="24" customFormat="1" hidden="1" outlineLevel="2" x14ac:dyDescent="0.25">
      <c r="A203" s="25"/>
      <c r="B203" s="11" t="str">
        <f>CONCATENATE("          ", "6237", " - ", "JANITORIAL SUPPLIES")</f>
        <v xml:space="preserve">          6237 - JANITORIAL SUPPLIES</v>
      </c>
      <c r="C203" s="11"/>
      <c r="D203" s="7">
        <v>390.73</v>
      </c>
      <c r="E203" s="2"/>
      <c r="F203" s="6">
        <f t="shared" si="119"/>
        <v>7.7103203841074664E-4</v>
      </c>
      <c r="G203" s="2"/>
      <c r="H203" s="7">
        <v>270</v>
      </c>
      <c r="I203" s="2"/>
      <c r="J203" s="6">
        <f t="shared" si="120"/>
        <v>4.6320679781709507E-4</v>
      </c>
      <c r="K203" s="2"/>
      <c r="L203" s="7">
        <f t="shared" si="121"/>
        <v>120.73000000000002</v>
      </c>
      <c r="M203" s="2"/>
      <c r="N203" s="6">
        <f t="shared" si="122"/>
        <v>0.44714814814814824</v>
      </c>
      <c r="O203" s="11"/>
      <c r="P203" s="7">
        <v>3880.28</v>
      </c>
      <c r="Q203" s="2"/>
      <c r="R203" s="6">
        <f t="shared" si="123"/>
        <v>7.4486096077181797E-4</v>
      </c>
      <c r="S203" s="2"/>
      <c r="T203" s="7">
        <v>2950</v>
      </c>
      <c r="U203" s="2"/>
      <c r="V203" s="6">
        <f t="shared" si="124"/>
        <v>3.3615555866262049E-4</v>
      </c>
      <c r="W203" s="2"/>
      <c r="X203" s="7">
        <f t="shared" si="125"/>
        <v>930.2800000000002</v>
      </c>
      <c r="Y203" s="2"/>
      <c r="Z203" s="6">
        <f t="shared" si="126"/>
        <v>0.31534915254237295</v>
      </c>
    </row>
    <row r="204" spans="1:26" s="24" customFormat="1" hidden="1" outlineLevel="2" x14ac:dyDescent="0.25">
      <c r="A204" s="25"/>
      <c r="B204" s="11" t="str">
        <f>CONCATENATE("          ", "6241", " - ", "OFFICE EXPENSE")</f>
        <v xml:space="preserve">          6241 - OFFICE EXPENSE</v>
      </c>
      <c r="C204" s="11"/>
      <c r="D204" s="7">
        <v>137.71</v>
      </c>
      <c r="E204" s="2"/>
      <c r="F204" s="6">
        <f t="shared" si="119"/>
        <v>2.7174473935849287E-4</v>
      </c>
      <c r="G204" s="2"/>
      <c r="H204" s="7">
        <v>425</v>
      </c>
      <c r="I204" s="2"/>
      <c r="J204" s="6">
        <f t="shared" si="120"/>
        <v>7.2912181137876073E-4</v>
      </c>
      <c r="K204" s="2"/>
      <c r="L204" s="7">
        <f t="shared" si="121"/>
        <v>-287.28999999999996</v>
      </c>
      <c r="M204" s="2"/>
      <c r="N204" s="6">
        <f t="shared" si="122"/>
        <v>-0.67597647058823518</v>
      </c>
      <c r="O204" s="11"/>
      <c r="P204" s="7">
        <v>11005.42</v>
      </c>
      <c r="Q204" s="2"/>
      <c r="R204" s="6">
        <f t="shared" si="123"/>
        <v>2.1126072641400573E-3</v>
      </c>
      <c r="S204" s="2"/>
      <c r="T204" s="7">
        <v>5875</v>
      </c>
      <c r="U204" s="2"/>
      <c r="V204" s="6">
        <f t="shared" si="124"/>
        <v>6.6946234140437136E-4</v>
      </c>
      <c r="W204" s="2"/>
      <c r="X204" s="7">
        <f t="shared" si="125"/>
        <v>5130.42</v>
      </c>
      <c r="Y204" s="2"/>
      <c r="Z204" s="6">
        <f t="shared" si="126"/>
        <v>0.8732629787234043</v>
      </c>
    </row>
    <row r="205" spans="1:26" s="24" customFormat="1" hidden="1" outlineLevel="2" x14ac:dyDescent="0.25">
      <c r="A205" s="25"/>
      <c r="B205" s="11" t="str">
        <f>CONCATENATE("          ", "6243", " - ", "PAPER SUPPLIES")</f>
        <v xml:space="preserve">          6243 - PAPER SUPPLIES</v>
      </c>
      <c r="C205" s="11"/>
      <c r="D205" s="7"/>
      <c r="E205" s="2"/>
      <c r="F205" s="6">
        <f t="shared" si="119"/>
        <v>0</v>
      </c>
      <c r="G205" s="2"/>
      <c r="H205" s="7">
        <v>5050</v>
      </c>
      <c r="I205" s="2"/>
      <c r="J205" s="6">
        <f t="shared" si="120"/>
        <v>8.6636826999123336E-3</v>
      </c>
      <c r="K205" s="2"/>
      <c r="L205" s="7">
        <f t="shared" si="121"/>
        <v>-5050</v>
      </c>
      <c r="M205" s="2"/>
      <c r="N205" s="6">
        <f t="shared" si="122"/>
        <v>-1</v>
      </c>
      <c r="O205" s="11"/>
      <c r="P205" s="7">
        <v>6682.58</v>
      </c>
      <c r="Q205" s="2"/>
      <c r="R205" s="6">
        <f t="shared" si="123"/>
        <v>1.2827922106741099E-3</v>
      </c>
      <c r="S205" s="2"/>
      <c r="T205" s="7">
        <v>26950</v>
      </c>
      <c r="U205" s="2"/>
      <c r="V205" s="6">
        <f t="shared" si="124"/>
        <v>3.0709804426974989E-3</v>
      </c>
      <c r="W205" s="2"/>
      <c r="X205" s="7">
        <f t="shared" si="125"/>
        <v>-20267.419999999998</v>
      </c>
      <c r="Y205" s="2"/>
      <c r="Z205" s="6">
        <f t="shared" si="126"/>
        <v>-0.75203784786641925</v>
      </c>
    </row>
    <row r="206" spans="1:26" s="24" customFormat="1" hidden="1" outlineLevel="2" x14ac:dyDescent="0.25">
      <c r="A206" s="25"/>
      <c r="B206" s="11" t="str">
        <f>CONCATENATE("          ", "6244", " - ", "SAFETY SUPPLY EXPENSE")</f>
        <v xml:space="preserve">          6244 - SAFETY SUPPLY EXPENSE</v>
      </c>
      <c r="C206" s="11"/>
      <c r="D206" s="7"/>
      <c r="E206" s="2"/>
      <c r="F206" s="6">
        <f t="shared" si="119"/>
        <v>0</v>
      </c>
      <c r="G206" s="2"/>
      <c r="H206" s="7">
        <v>0</v>
      </c>
      <c r="I206" s="2"/>
      <c r="J206" s="6">
        <f t="shared" si="120"/>
        <v>0</v>
      </c>
      <c r="K206" s="2"/>
      <c r="L206" s="7">
        <f t="shared" si="121"/>
        <v>0</v>
      </c>
      <c r="M206" s="2"/>
      <c r="N206" s="6">
        <f t="shared" si="122"/>
        <v>0</v>
      </c>
      <c r="O206" s="11"/>
      <c r="P206" s="7"/>
      <c r="Q206" s="2"/>
      <c r="R206" s="6">
        <f t="shared" si="123"/>
        <v>0</v>
      </c>
      <c r="S206" s="2"/>
      <c r="T206" s="7">
        <v>100</v>
      </c>
      <c r="U206" s="2"/>
      <c r="V206" s="6">
        <f t="shared" si="124"/>
        <v>1.1395103683478661E-5</v>
      </c>
      <c r="W206" s="2"/>
      <c r="X206" s="7">
        <f t="shared" si="125"/>
        <v>-100</v>
      </c>
      <c r="Y206" s="2"/>
      <c r="Z206" s="6">
        <f t="shared" si="126"/>
        <v>-1</v>
      </c>
    </row>
    <row r="207" spans="1:26" s="24" customFormat="1" hidden="1" outlineLevel="2" x14ac:dyDescent="0.25">
      <c r="A207" s="25"/>
      <c r="B207" s="11" t="str">
        <f>CONCATENATE("          ", "6245", " - ", "PRINTING")</f>
        <v xml:space="preserve">          6245 - PRINTING</v>
      </c>
      <c r="C207" s="11"/>
      <c r="D207" s="7">
        <v>5963.79</v>
      </c>
      <c r="E207" s="2"/>
      <c r="F207" s="6">
        <f t="shared" si="119"/>
        <v>1.1768415940300531E-2</v>
      </c>
      <c r="G207" s="2"/>
      <c r="H207" s="7">
        <v>750</v>
      </c>
      <c r="I207" s="2"/>
      <c r="J207" s="6">
        <f t="shared" si="120"/>
        <v>1.2866855494919308E-3</v>
      </c>
      <c r="K207" s="2"/>
      <c r="L207" s="7">
        <f t="shared" si="121"/>
        <v>5213.79</v>
      </c>
      <c r="M207" s="2"/>
      <c r="N207" s="6">
        <f t="shared" si="122"/>
        <v>6.9517199999999999</v>
      </c>
      <c r="O207" s="11"/>
      <c r="P207" s="7">
        <v>9084.3799999999992</v>
      </c>
      <c r="Q207" s="2"/>
      <c r="R207" s="6">
        <f t="shared" si="123"/>
        <v>1.7438432316266577E-3</v>
      </c>
      <c r="S207" s="2"/>
      <c r="T207" s="7">
        <v>5350</v>
      </c>
      <c r="U207" s="2"/>
      <c r="V207" s="6">
        <f t="shared" si="124"/>
        <v>6.096380470661083E-4</v>
      </c>
      <c r="W207" s="2"/>
      <c r="X207" s="7">
        <f t="shared" si="125"/>
        <v>3734.3799999999992</v>
      </c>
      <c r="Y207" s="2"/>
      <c r="Z207" s="6">
        <f t="shared" si="126"/>
        <v>0.69801495327102792</v>
      </c>
    </row>
    <row r="208" spans="1:26" s="24" customFormat="1" hidden="1" outlineLevel="2" x14ac:dyDescent="0.25">
      <c r="A208" s="25"/>
      <c r="B208" s="11" t="str">
        <f>CONCATENATE("          ", "6247", " - ", "STORE SUPPLIES")</f>
        <v xml:space="preserve">          6247 - STORE SUPPLIES</v>
      </c>
      <c r="C208" s="11"/>
      <c r="D208" s="7">
        <v>781.56</v>
      </c>
      <c r="E208" s="2"/>
      <c r="F208" s="6">
        <f t="shared" si="119"/>
        <v>1.5422614079807107E-3</v>
      </c>
      <c r="G208" s="2"/>
      <c r="H208" s="7">
        <v>2775</v>
      </c>
      <c r="I208" s="2"/>
      <c r="J208" s="6">
        <f t="shared" si="120"/>
        <v>4.7607365331201442E-3</v>
      </c>
      <c r="K208" s="2"/>
      <c r="L208" s="7">
        <f t="shared" si="121"/>
        <v>-1993.44</v>
      </c>
      <c r="M208" s="2"/>
      <c r="N208" s="6">
        <f t="shared" si="122"/>
        <v>-0.71835675675675681</v>
      </c>
      <c r="O208" s="11"/>
      <c r="P208" s="7">
        <v>47247.87</v>
      </c>
      <c r="Q208" s="2"/>
      <c r="R208" s="6">
        <f t="shared" si="123"/>
        <v>9.0697304943514277E-3</v>
      </c>
      <c r="S208" s="2"/>
      <c r="T208" s="7">
        <v>31275</v>
      </c>
      <c r="U208" s="2"/>
      <c r="V208" s="6">
        <f t="shared" si="124"/>
        <v>3.5638186770079513E-3</v>
      </c>
      <c r="W208" s="2"/>
      <c r="X208" s="7">
        <f t="shared" si="125"/>
        <v>15972.870000000003</v>
      </c>
      <c r="Y208" s="2"/>
      <c r="Z208" s="6">
        <f t="shared" si="126"/>
        <v>0.51072326139088742</v>
      </c>
    </row>
    <row r="209" spans="1:26" s="24" customFormat="1" hidden="1" outlineLevel="2" x14ac:dyDescent="0.25">
      <c r="A209" s="25"/>
      <c r="B209" s="11" t="str">
        <f>CONCATENATE("          ", "6248", " - ", "UNIFORMS")</f>
        <v xml:space="preserve">          6248 - UNIFORMS</v>
      </c>
      <c r="C209" s="11"/>
      <c r="D209" s="7"/>
      <c r="E209" s="2"/>
      <c r="F209" s="6">
        <f t="shared" si="119"/>
        <v>0</v>
      </c>
      <c r="G209" s="2"/>
      <c r="H209" s="7">
        <v>1500</v>
      </c>
      <c r="I209" s="2"/>
      <c r="J209" s="6">
        <f t="shared" si="120"/>
        <v>2.5733710989838616E-3</v>
      </c>
      <c r="K209" s="2"/>
      <c r="L209" s="7">
        <f t="shared" si="121"/>
        <v>-1500</v>
      </c>
      <c r="M209" s="2"/>
      <c r="N209" s="6">
        <f t="shared" si="122"/>
        <v>-1</v>
      </c>
      <c r="O209" s="11"/>
      <c r="P209" s="7"/>
      <c r="Q209" s="2"/>
      <c r="R209" s="6">
        <f t="shared" si="123"/>
        <v>0</v>
      </c>
      <c r="S209" s="2"/>
      <c r="T209" s="7">
        <v>16700</v>
      </c>
      <c r="U209" s="2"/>
      <c r="V209" s="6">
        <f t="shared" si="124"/>
        <v>1.9029823151409362E-3</v>
      </c>
      <c r="W209" s="2"/>
      <c r="X209" s="7">
        <f t="shared" si="125"/>
        <v>-16700</v>
      </c>
      <c r="Y209" s="2"/>
      <c r="Z209" s="6">
        <f t="shared" si="126"/>
        <v>-1</v>
      </c>
    </row>
    <row r="210" spans="1:26" s="27" customFormat="1" outlineLevel="1" collapsed="1" x14ac:dyDescent="0.25">
      <c r="A210" s="26"/>
      <c r="B210" s="13" t="str">
        <f>CONCATENATE("     ","Telephone/Data Lines                              ")</f>
        <v xml:space="preserve">     Telephone/Data Lines                              </v>
      </c>
      <c r="C210" s="13"/>
      <c r="D210" s="1">
        <f>SUM(OSRRefD22_21x_0)</f>
        <v>1851.35</v>
      </c>
      <c r="E210" s="1"/>
      <c r="F210" s="5">
        <f t="shared" ref="F210:F212" si="127">IF(D$12=0,0,D210/D$12)</f>
        <v>3.6532904161741759E-3</v>
      </c>
      <c r="G210" s="1"/>
      <c r="H210" s="1">
        <f>SUM(OSRRefH22_21x_0)</f>
        <v>2295</v>
      </c>
      <c r="I210" s="1"/>
      <c r="J210" s="5">
        <f t="shared" ref="J210:J212" si="128">IF(H$12=0,0,H210/H$12)</f>
        <v>3.9372577814453082E-3</v>
      </c>
      <c r="K210" s="1"/>
      <c r="L210" s="1">
        <f t="shared" ref="L210:L212" si="129">+D210-H210</f>
        <v>-443.65000000000009</v>
      </c>
      <c r="M210" s="1"/>
      <c r="N210" s="5">
        <f t="shared" ref="N210:N212" si="130">IF(H210=0,0,L210/H210)</f>
        <v>-0.19331154684095864</v>
      </c>
      <c r="O210" s="13"/>
      <c r="P210" s="1">
        <f>SUM(OSRRefP22_21x_0)</f>
        <v>23682.78</v>
      </c>
      <c r="Q210" s="1"/>
      <c r="R210" s="5">
        <f t="shared" ref="R210:R212" si="131">IF(P$12=0,0,P210/P$12)</f>
        <v>4.5461611699536102E-3</v>
      </c>
      <c r="S210" s="1"/>
      <c r="T210" s="1">
        <f>SUM(OSRRefT22_21x_0)</f>
        <v>27545</v>
      </c>
      <c r="U210" s="1"/>
      <c r="V210" s="5">
        <f t="shared" ref="V210:V212" si="132">IF(T$12=0,0,T210/T$12)</f>
        <v>3.1387813096141969E-3</v>
      </c>
      <c r="W210" s="1"/>
      <c r="X210" s="1">
        <f t="shared" ref="X210:X212" si="133">+P210-T210</f>
        <v>-3862.2200000000012</v>
      </c>
      <c r="Y210" s="1"/>
      <c r="Z210" s="5">
        <f t="shared" ref="Z210:Z212" si="134">IF(T210=0,0,X210/T210)</f>
        <v>-0.14021492103830099</v>
      </c>
    </row>
    <row r="211" spans="1:26" s="24" customFormat="1" hidden="1" outlineLevel="2" x14ac:dyDescent="0.25">
      <c r="A211" s="25"/>
      <c r="B211" s="11" t="str">
        <f>CONCATENATE("          ", "6303", " - ", "DATA PHONE LINES")</f>
        <v xml:space="preserve">          6303 - DATA PHONE LINES</v>
      </c>
      <c r="C211" s="11"/>
      <c r="D211" s="7"/>
      <c r="E211" s="2"/>
      <c r="F211" s="6">
        <f t="shared" si="127"/>
        <v>0</v>
      </c>
      <c r="G211" s="2"/>
      <c r="H211" s="7">
        <v>630</v>
      </c>
      <c r="I211" s="2"/>
      <c r="J211" s="6">
        <f t="shared" si="128"/>
        <v>1.0808158615732218E-3</v>
      </c>
      <c r="K211" s="2"/>
      <c r="L211" s="7">
        <f t="shared" si="129"/>
        <v>-630</v>
      </c>
      <c r="M211" s="2"/>
      <c r="N211" s="6">
        <f t="shared" si="130"/>
        <v>-1</v>
      </c>
      <c r="O211" s="11"/>
      <c r="P211" s="7">
        <v>3540</v>
      </c>
      <c r="Q211" s="2"/>
      <c r="R211" s="6">
        <f t="shared" si="131"/>
        <v>6.7954060045466707E-4</v>
      </c>
      <c r="S211" s="2"/>
      <c r="T211" s="7">
        <v>6930</v>
      </c>
      <c r="U211" s="2"/>
      <c r="V211" s="6">
        <f t="shared" si="132"/>
        <v>7.8968068526507121E-4</v>
      </c>
      <c r="W211" s="2"/>
      <c r="X211" s="7">
        <f t="shared" si="133"/>
        <v>-3390</v>
      </c>
      <c r="Y211" s="2"/>
      <c r="Z211" s="6">
        <f t="shared" si="134"/>
        <v>-0.48917748917748916</v>
      </c>
    </row>
    <row r="212" spans="1:26" s="24" customFormat="1" hidden="1" outlineLevel="2" x14ac:dyDescent="0.25">
      <c r="A212" s="25"/>
      <c r="B212" s="11" t="str">
        <f>CONCATENATE("          ", "6309", " - ", "TELEPHONE")</f>
        <v xml:space="preserve">          6309 - TELEPHONE</v>
      </c>
      <c r="C212" s="11"/>
      <c r="D212" s="7">
        <v>1851.35</v>
      </c>
      <c r="E212" s="2"/>
      <c r="F212" s="6">
        <f t="shared" si="127"/>
        <v>3.6532904161741759E-3</v>
      </c>
      <c r="G212" s="2"/>
      <c r="H212" s="7">
        <v>1665</v>
      </c>
      <c r="I212" s="2"/>
      <c r="J212" s="6">
        <f t="shared" si="128"/>
        <v>2.8564419198720864E-3</v>
      </c>
      <c r="K212" s="2"/>
      <c r="L212" s="7">
        <f t="shared" si="129"/>
        <v>186.34999999999991</v>
      </c>
      <c r="M212" s="2"/>
      <c r="N212" s="6">
        <f t="shared" si="130"/>
        <v>0.11192192192192187</v>
      </c>
      <c r="O212" s="11"/>
      <c r="P212" s="7">
        <v>20142.78</v>
      </c>
      <c r="Q212" s="2"/>
      <c r="R212" s="6">
        <f t="shared" si="131"/>
        <v>3.8666205694989431E-3</v>
      </c>
      <c r="S212" s="2"/>
      <c r="T212" s="7">
        <v>20615</v>
      </c>
      <c r="U212" s="2"/>
      <c r="V212" s="6">
        <f t="shared" si="132"/>
        <v>2.349100624349126E-3</v>
      </c>
      <c r="W212" s="2"/>
      <c r="X212" s="7">
        <f t="shared" si="133"/>
        <v>-472.22000000000116</v>
      </c>
      <c r="Y212" s="2"/>
      <c r="Z212" s="6">
        <f t="shared" si="134"/>
        <v>-2.2906621392190209E-2</v>
      </c>
    </row>
    <row r="213" spans="1:26" s="27" customFormat="1" outlineLevel="1" collapsed="1" x14ac:dyDescent="0.25">
      <c r="A213" s="26"/>
      <c r="B213" s="13" t="str">
        <f>CONCATENATE("     ","Training                                          ")</f>
        <v xml:space="preserve">     Training                                          </v>
      </c>
      <c r="C213" s="13"/>
      <c r="D213" s="1">
        <f>SUM(OSRRefD22_22x_0)</f>
        <v>0</v>
      </c>
      <c r="E213" s="1"/>
      <c r="F213" s="5">
        <f t="shared" ref="F213:F218" si="135">IF(D$12=0,0,D213/D$12)</f>
        <v>0</v>
      </c>
      <c r="G213" s="1"/>
      <c r="H213" s="1">
        <f>SUM(OSRRefH22_22x_0)</f>
        <v>0</v>
      </c>
      <c r="I213" s="1"/>
      <c r="J213" s="5">
        <f t="shared" ref="J213:J218" si="136">IF(H$12=0,0,H213/H$12)</f>
        <v>0</v>
      </c>
      <c r="K213" s="1"/>
      <c r="L213" s="1">
        <f t="shared" ref="L213:L218" si="137">+D213-H213</f>
        <v>0</v>
      </c>
      <c r="M213" s="1"/>
      <c r="N213" s="5">
        <f t="shared" ref="N213:N218" si="138">IF(H213=0,0,L213/H213)</f>
        <v>0</v>
      </c>
      <c r="O213" s="13"/>
      <c r="P213" s="1">
        <f>SUM(OSRRefP22_22x_0)</f>
        <v>895.63</v>
      </c>
      <c r="Q213" s="1"/>
      <c r="R213" s="5">
        <f t="shared" ref="R213:R218" si="139">IF(P$12=0,0,P213/P$12)</f>
        <v>1.7192569152124675E-4</v>
      </c>
      <c r="S213" s="1"/>
      <c r="T213" s="1">
        <f>SUM(OSRRefT22_22x_0)</f>
        <v>11970</v>
      </c>
      <c r="U213" s="1"/>
      <c r="V213" s="5">
        <f t="shared" ref="V213:V218" si="140">IF(T$12=0,0,T213/T$12)</f>
        <v>1.3639939109123956E-3</v>
      </c>
      <c r="W213" s="1"/>
      <c r="X213" s="1">
        <f t="shared" ref="X213:X218" si="141">+P213-T213</f>
        <v>-11074.37</v>
      </c>
      <c r="Y213" s="1"/>
      <c r="Z213" s="5">
        <f t="shared" ref="Z213:Z218" si="142">IF(T213=0,0,X213/T213)</f>
        <v>-0.92517710944026743</v>
      </c>
    </row>
    <row r="214" spans="1:26" s="24" customFormat="1" hidden="1" outlineLevel="2" x14ac:dyDescent="0.25">
      <c r="A214" s="25"/>
      <c r="B214" s="11" t="str">
        <f>CONCATENATE("          ", "6376", " - ", "TRAINING")</f>
        <v xml:space="preserve">          6376 - TRAINING</v>
      </c>
      <c r="C214" s="11"/>
      <c r="D214" s="7"/>
      <c r="E214" s="2"/>
      <c r="F214" s="6">
        <f t="shared" si="135"/>
        <v>0</v>
      </c>
      <c r="G214" s="2"/>
      <c r="H214" s="7">
        <v>0</v>
      </c>
      <c r="I214" s="2"/>
      <c r="J214" s="6">
        <f t="shared" si="136"/>
        <v>0</v>
      </c>
      <c r="K214" s="2"/>
      <c r="L214" s="7">
        <f t="shared" si="137"/>
        <v>0</v>
      </c>
      <c r="M214" s="2"/>
      <c r="N214" s="6">
        <f t="shared" si="138"/>
        <v>0</v>
      </c>
      <c r="O214" s="11"/>
      <c r="P214" s="7">
        <v>895.63</v>
      </c>
      <c r="Q214" s="2"/>
      <c r="R214" s="6">
        <f t="shared" si="139"/>
        <v>1.7192569152124675E-4</v>
      </c>
      <c r="S214" s="2"/>
      <c r="T214" s="7">
        <v>11970</v>
      </c>
      <c r="U214" s="2"/>
      <c r="V214" s="6">
        <f t="shared" si="140"/>
        <v>1.3639939109123956E-3</v>
      </c>
      <c r="W214" s="2"/>
      <c r="X214" s="7">
        <f t="shared" si="141"/>
        <v>-11074.37</v>
      </c>
      <c r="Y214" s="2"/>
      <c r="Z214" s="6">
        <f t="shared" si="142"/>
        <v>-0.92517710944026743</v>
      </c>
    </row>
    <row r="215" spans="1:26" s="27" customFormat="1" outlineLevel="1" collapsed="1" x14ac:dyDescent="0.25">
      <c r="A215" s="26"/>
      <c r="B215" s="13" t="str">
        <f>CONCATENATE("     ","Travel                                            ")</f>
        <v xml:space="preserve">     Travel                                            </v>
      </c>
      <c r="C215" s="13"/>
      <c r="D215" s="1">
        <f>SUM(OSRRefD22_23x_0)</f>
        <v>0</v>
      </c>
      <c r="E215" s="1"/>
      <c r="F215" s="5">
        <f t="shared" si="135"/>
        <v>0</v>
      </c>
      <c r="G215" s="1"/>
      <c r="H215" s="1">
        <f>SUM(OSRRefH22_23x_0)</f>
        <v>50</v>
      </c>
      <c r="I215" s="1"/>
      <c r="J215" s="5">
        <f t="shared" si="136"/>
        <v>8.5779036632795382E-5</v>
      </c>
      <c r="K215" s="1"/>
      <c r="L215" s="1">
        <f t="shared" si="137"/>
        <v>-50</v>
      </c>
      <c r="M215" s="1"/>
      <c r="N215" s="5">
        <f t="shared" si="138"/>
        <v>-1</v>
      </c>
      <c r="O215" s="13"/>
      <c r="P215" s="1">
        <f>SUM(OSRRefP22_23x_0)</f>
        <v>972.4</v>
      </c>
      <c r="Q215" s="1"/>
      <c r="R215" s="5">
        <f t="shared" si="139"/>
        <v>1.8666250844127634E-4</v>
      </c>
      <c r="S215" s="1"/>
      <c r="T215" s="1">
        <f>SUM(OSRRefT22_23x_0)</f>
        <v>750</v>
      </c>
      <c r="U215" s="1"/>
      <c r="V215" s="5">
        <f t="shared" si="140"/>
        <v>8.5463277626089955E-5</v>
      </c>
      <c r="W215" s="1"/>
      <c r="X215" s="1">
        <f t="shared" si="141"/>
        <v>222.39999999999998</v>
      </c>
      <c r="Y215" s="1"/>
      <c r="Z215" s="5">
        <f t="shared" si="142"/>
        <v>0.29653333333333332</v>
      </c>
    </row>
    <row r="216" spans="1:26" s="24" customFormat="1" hidden="1" outlineLevel="2" x14ac:dyDescent="0.25">
      <c r="A216" s="25"/>
      <c r="B216" s="11" t="str">
        <f>CONCATENATE("          ", "6292", " - ", "TRAVEL/CONFERENCE")</f>
        <v xml:space="preserve">          6292 - TRAVEL/CONFERENCE</v>
      </c>
      <c r="C216" s="11"/>
      <c r="D216" s="7"/>
      <c r="E216" s="2"/>
      <c r="F216" s="6">
        <f t="shared" si="135"/>
        <v>0</v>
      </c>
      <c r="G216" s="2"/>
      <c r="H216" s="7"/>
      <c r="I216" s="2"/>
      <c r="J216" s="6">
        <f t="shared" si="136"/>
        <v>0</v>
      </c>
      <c r="K216" s="2"/>
      <c r="L216" s="7">
        <f t="shared" si="137"/>
        <v>0</v>
      </c>
      <c r="M216" s="2"/>
      <c r="N216" s="6">
        <f t="shared" si="138"/>
        <v>0</v>
      </c>
      <c r="O216" s="11"/>
      <c r="P216" s="7">
        <v>299.16000000000003</v>
      </c>
      <c r="Q216" s="2"/>
      <c r="R216" s="6">
        <f t="shared" si="139"/>
        <v>5.7426939557067295E-5</v>
      </c>
      <c r="S216" s="2"/>
      <c r="T216" s="7">
        <v>0</v>
      </c>
      <c r="U216" s="2"/>
      <c r="V216" s="6">
        <f t="shared" si="140"/>
        <v>0</v>
      </c>
      <c r="W216" s="2"/>
      <c r="X216" s="7">
        <f t="shared" si="141"/>
        <v>299.16000000000003</v>
      </c>
      <c r="Y216" s="2"/>
      <c r="Z216" s="6">
        <f t="shared" si="142"/>
        <v>0</v>
      </c>
    </row>
    <row r="217" spans="1:26" s="24" customFormat="1" hidden="1" outlineLevel="2" x14ac:dyDescent="0.25">
      <c r="A217" s="25"/>
      <c r="B217" s="11" t="str">
        <f>CONCATENATE("          ", "6294", " - ", "TRAVEL OPERATIONAL")</f>
        <v xml:space="preserve">          6294 - TRAVEL OPERATIONAL</v>
      </c>
      <c r="C217" s="11"/>
      <c r="D217" s="7"/>
      <c r="E217" s="2"/>
      <c r="F217" s="6">
        <f t="shared" si="135"/>
        <v>0</v>
      </c>
      <c r="G217" s="2"/>
      <c r="H217" s="7">
        <v>25</v>
      </c>
      <c r="I217" s="2"/>
      <c r="J217" s="6">
        <f t="shared" si="136"/>
        <v>4.2889518316397691E-5</v>
      </c>
      <c r="K217" s="2"/>
      <c r="L217" s="7">
        <f t="shared" si="137"/>
        <v>-25</v>
      </c>
      <c r="M217" s="2"/>
      <c r="N217" s="6">
        <f t="shared" si="138"/>
        <v>-1</v>
      </c>
      <c r="O217" s="11"/>
      <c r="P217" s="7">
        <v>613.35</v>
      </c>
      <c r="Q217" s="2"/>
      <c r="R217" s="6">
        <f t="shared" si="139"/>
        <v>1.1773904725674296E-4</v>
      </c>
      <c r="S217" s="2"/>
      <c r="T217" s="7">
        <v>275</v>
      </c>
      <c r="U217" s="2"/>
      <c r="V217" s="6">
        <f t="shared" si="140"/>
        <v>3.1336535129566316E-5</v>
      </c>
      <c r="W217" s="2"/>
      <c r="X217" s="7">
        <f t="shared" si="141"/>
        <v>338.35</v>
      </c>
      <c r="Y217" s="2"/>
      <c r="Z217" s="6">
        <f t="shared" si="142"/>
        <v>1.2303636363636365</v>
      </c>
    </row>
    <row r="218" spans="1:26" s="24" customFormat="1" hidden="1" outlineLevel="2" x14ac:dyDescent="0.25">
      <c r="A218" s="25"/>
      <c r="B218" s="11" t="str">
        <f>CONCATENATE("          ", "6298", " - ", "VEHICLE MILEAGE")</f>
        <v xml:space="preserve">          6298 - VEHICLE MILEAGE</v>
      </c>
      <c r="C218" s="11"/>
      <c r="D218" s="7"/>
      <c r="E218" s="2"/>
      <c r="F218" s="6">
        <f t="shared" si="135"/>
        <v>0</v>
      </c>
      <c r="G218" s="2"/>
      <c r="H218" s="7">
        <v>25</v>
      </c>
      <c r="I218" s="2"/>
      <c r="J218" s="6">
        <f t="shared" si="136"/>
        <v>4.2889518316397691E-5</v>
      </c>
      <c r="K218" s="2"/>
      <c r="L218" s="7">
        <f t="shared" si="137"/>
        <v>-25</v>
      </c>
      <c r="M218" s="2"/>
      <c r="N218" s="6">
        <f t="shared" si="138"/>
        <v>-1</v>
      </c>
      <c r="O218" s="11"/>
      <c r="P218" s="7">
        <v>59.89</v>
      </c>
      <c r="Q218" s="2"/>
      <c r="R218" s="6">
        <f t="shared" si="139"/>
        <v>1.1496521627466105E-5</v>
      </c>
      <c r="S218" s="2"/>
      <c r="T218" s="7">
        <v>475</v>
      </c>
      <c r="U218" s="2"/>
      <c r="V218" s="6">
        <f t="shared" si="140"/>
        <v>5.4126742496523639E-5</v>
      </c>
      <c r="W218" s="2"/>
      <c r="X218" s="7">
        <f t="shared" si="141"/>
        <v>-415.11</v>
      </c>
      <c r="Y218" s="2"/>
      <c r="Z218" s="6">
        <f t="shared" si="142"/>
        <v>-0.8739157894736842</v>
      </c>
    </row>
    <row r="219" spans="1:26" s="27" customFormat="1" outlineLevel="1" collapsed="1" x14ac:dyDescent="0.25">
      <c r="A219" s="26"/>
      <c r="B219" s="13" t="str">
        <f>CONCATENATE("     ","Utilities                                         ")</f>
        <v xml:space="preserve">     Utilities                                         </v>
      </c>
      <c r="C219" s="13"/>
      <c r="D219" s="1">
        <f>SUM(OSRRefD22_24x_0)</f>
        <v>6162.9</v>
      </c>
      <c r="E219" s="1"/>
      <c r="F219" s="5">
        <f t="shared" ref="F219:F220" si="143">IF(D$12=0,0,D219/D$12)</f>
        <v>1.2161322011418601E-2</v>
      </c>
      <c r="G219" s="1"/>
      <c r="H219" s="1">
        <f>SUM(OSRRefH22_24x_0)</f>
        <v>6105</v>
      </c>
      <c r="I219" s="1"/>
      <c r="J219" s="5">
        <f t="shared" ref="J219:J220" si="144">IF(H$12=0,0,H219/H$12)</f>
        <v>1.0473620372864317E-2</v>
      </c>
      <c r="K219" s="1"/>
      <c r="L219" s="1">
        <f t="shared" ref="L219:L220" si="145">+D219-H219</f>
        <v>57.899999999999636</v>
      </c>
      <c r="M219" s="1"/>
      <c r="N219" s="5">
        <f t="shared" ref="N219:N220" si="146">IF(H219=0,0,L219/H219)</f>
        <v>9.4840294840294239E-3</v>
      </c>
      <c r="O219" s="13"/>
      <c r="P219" s="1">
        <f>SUM(OSRRefP22_24x_0)</f>
        <v>64842.45</v>
      </c>
      <c r="Q219" s="1"/>
      <c r="R219" s="5">
        <f t="shared" ref="R219:R220" si="147">IF(P$12=0,0,P219/P$12)</f>
        <v>1.2447197007895967E-2</v>
      </c>
      <c r="S219" s="1"/>
      <c r="T219" s="1">
        <f>SUM(OSRRefT22_24x_0)</f>
        <v>70135</v>
      </c>
      <c r="U219" s="1"/>
      <c r="V219" s="5">
        <f t="shared" ref="V219:V220" si="148">IF(T$12=0,0,T219/T$12)</f>
        <v>7.9919559684077587E-3</v>
      </c>
      <c r="W219" s="1"/>
      <c r="X219" s="1">
        <f t="shared" ref="X219:X220" si="149">+P219-T219</f>
        <v>-5292.5500000000029</v>
      </c>
      <c r="Y219" s="1"/>
      <c r="Z219" s="5">
        <f t="shared" ref="Z219:Z220" si="150">IF(T219=0,0,X219/T219)</f>
        <v>-7.5462322663434847E-2</v>
      </c>
    </row>
    <row r="220" spans="1:26" s="24" customFormat="1" hidden="1" outlineLevel="2" x14ac:dyDescent="0.25">
      <c r="A220" s="25"/>
      <c r="B220" s="11" t="str">
        <f>CONCATENATE("          ", "6274", " - ", "UTILITIES")</f>
        <v xml:space="preserve">          6274 - UTILITIES</v>
      </c>
      <c r="C220" s="11"/>
      <c r="D220" s="7">
        <v>6162.9</v>
      </c>
      <c r="E220" s="2"/>
      <c r="F220" s="6">
        <f t="shared" si="143"/>
        <v>1.2161322011418601E-2</v>
      </c>
      <c r="G220" s="2"/>
      <c r="H220" s="7">
        <v>6105</v>
      </c>
      <c r="I220" s="2"/>
      <c r="J220" s="6">
        <f t="shared" si="144"/>
        <v>1.0473620372864317E-2</v>
      </c>
      <c r="K220" s="2"/>
      <c r="L220" s="7">
        <f t="shared" si="145"/>
        <v>57.899999999999636</v>
      </c>
      <c r="M220" s="2"/>
      <c r="N220" s="6">
        <f t="shared" si="146"/>
        <v>9.4840294840294239E-3</v>
      </c>
      <c r="O220" s="11"/>
      <c r="P220" s="7">
        <v>64842.45</v>
      </c>
      <c r="Q220" s="2"/>
      <c r="R220" s="6">
        <f t="shared" si="147"/>
        <v>1.2447197007895967E-2</v>
      </c>
      <c r="S220" s="2"/>
      <c r="T220" s="7">
        <v>70135</v>
      </c>
      <c r="U220" s="2"/>
      <c r="V220" s="6">
        <f t="shared" si="148"/>
        <v>7.9919559684077587E-3</v>
      </c>
      <c r="W220" s="2"/>
      <c r="X220" s="7">
        <f t="shared" si="149"/>
        <v>-5292.5500000000029</v>
      </c>
      <c r="Y220" s="2"/>
      <c r="Z220" s="6">
        <f t="shared" si="150"/>
        <v>-7.5462322663434847E-2</v>
      </c>
    </row>
    <row r="221" spans="1:26" s="56" customFormat="1" x14ac:dyDescent="0.25">
      <c r="A221" s="36"/>
      <c r="B221" s="36"/>
      <c r="C221" s="36"/>
      <c r="D221" s="1"/>
      <c r="E221" s="1"/>
      <c r="F221" s="5"/>
      <c r="G221" s="1"/>
      <c r="H221" s="1"/>
      <c r="I221" s="1"/>
      <c r="J221" s="5"/>
      <c r="K221" s="1"/>
      <c r="L221" s="1"/>
      <c r="M221" s="1"/>
      <c r="N221" s="5"/>
      <c r="O221" s="36"/>
      <c r="P221" s="1"/>
      <c r="Q221" s="1"/>
      <c r="R221" s="5"/>
      <c r="S221" s="1"/>
      <c r="T221" s="1"/>
      <c r="U221" s="1"/>
      <c r="V221" s="5"/>
      <c r="W221" s="1"/>
      <c r="X221" s="1"/>
      <c r="Y221" s="1"/>
      <c r="Z221" s="5"/>
    </row>
    <row r="222" spans="1:26" s="23" customFormat="1" collapsed="1" x14ac:dyDescent="0.25">
      <c r="A222" s="10"/>
      <c r="B222" s="29" t="s">
        <v>293</v>
      </c>
      <c r="C222" s="10"/>
      <c r="D222" s="4">
        <f>SUM(OSRRefD25x_0)</f>
        <v>60098.659999999996</v>
      </c>
      <c r="E222" s="4"/>
      <c r="F222" s="12">
        <f t="shared" ref="F222:F227" si="151">IF(D$12=0,0,D222/D$12)</f>
        <v>0.11859338245221611</v>
      </c>
      <c r="G222" s="4"/>
      <c r="H222" s="4">
        <f>SUM(OSRRefH25x_0)</f>
        <v>39625</v>
      </c>
      <c r="I222" s="4"/>
      <c r="J222" s="12">
        <f t="shared" ref="J222:J227" si="152">IF(H$12=0,0,H222/H$12)</f>
        <v>6.7979886531490341E-2</v>
      </c>
      <c r="K222" s="4"/>
      <c r="L222" s="4">
        <f t="shared" ref="L222:L227" si="153">+D222-H222</f>
        <v>20473.659999999996</v>
      </c>
      <c r="M222" s="4"/>
      <c r="N222" s="12">
        <f t="shared" ref="N222:N227" si="154">IF(H222=0,0,L222/H222)</f>
        <v>0.51668542586750776</v>
      </c>
      <c r="O222" s="10"/>
      <c r="P222" s="4">
        <f>SUM(OSRRefP25x_0)</f>
        <v>1053091.8299999998</v>
      </c>
      <c r="Q222" s="4"/>
      <c r="R222" s="12">
        <f t="shared" ref="R222:R227" si="155">IF(P$12=0,0,P222/P$12)</f>
        <v>0.2021521622859051</v>
      </c>
      <c r="S222" s="4"/>
      <c r="T222" s="4">
        <f>SUM(OSRRefT25x_0)</f>
        <v>910395</v>
      </c>
      <c r="U222" s="4"/>
      <c r="V222" s="12">
        <f t="shared" ref="V222:V227" si="156">IF(T$12=0,0,T222/T$12)</f>
        <v>0.10374045417920555</v>
      </c>
      <c r="W222" s="4"/>
      <c r="X222" s="4">
        <f t="shared" ref="X222:X227" si="157">+P222-T222</f>
        <v>142696.82999999984</v>
      </c>
      <c r="Y222" s="4"/>
      <c r="Z222" s="12">
        <f t="shared" ref="Z222:Z227" si="158">IF(T222=0,0,X222/T222)</f>
        <v>0.15674166707857562</v>
      </c>
    </row>
    <row r="223" spans="1:26" s="24" customFormat="1" hidden="1" outlineLevel="1" x14ac:dyDescent="0.25">
      <c r="A223" s="44"/>
      <c r="B223" s="11" t="str">
        <f>CONCATENATE("          ", "4098", " - ", "TAXABLE SALES-GRAD RENTALS")</f>
        <v xml:space="preserve">          4098 - TAXABLE SALES-GRAD RENTALS</v>
      </c>
      <c r="C223" s="11"/>
      <c r="D223" s="2">
        <f>0</f>
        <v>0</v>
      </c>
      <c r="E223" s="2"/>
      <c r="F223" s="19">
        <f t="shared" si="151"/>
        <v>0</v>
      </c>
      <c r="G223" s="2"/>
      <c r="H223" s="2"/>
      <c r="I223" s="2"/>
      <c r="J223" s="19">
        <f t="shared" si="152"/>
        <v>0</v>
      </c>
      <c r="K223" s="2"/>
      <c r="L223" s="2">
        <f t="shared" si="153"/>
        <v>0</v>
      </c>
      <c r="M223" s="2"/>
      <c r="N223" s="19">
        <f t="shared" si="154"/>
        <v>0</v>
      </c>
      <c r="O223" s="11"/>
      <c r="P223" s="2">
        <f>--49.95</f>
        <v>49.95</v>
      </c>
      <c r="Q223" s="2"/>
      <c r="R223" s="19">
        <f t="shared" si="155"/>
        <v>9.5884330487883115E-6</v>
      </c>
      <c r="S223" s="2"/>
      <c r="T223" s="2"/>
      <c r="U223" s="2"/>
      <c r="V223" s="19">
        <f t="shared" si="156"/>
        <v>0</v>
      </c>
      <c r="W223" s="2"/>
      <c r="X223" s="2">
        <f t="shared" si="157"/>
        <v>49.95</v>
      </c>
      <c r="Y223" s="2"/>
      <c r="Z223" s="19">
        <f t="shared" si="158"/>
        <v>0</v>
      </c>
    </row>
    <row r="224" spans="1:26" s="24" customFormat="1" hidden="1" outlineLevel="1" x14ac:dyDescent="0.25">
      <c r="A224" s="44"/>
      <c r="B224" s="11" t="str">
        <f>CONCATENATE("          ", "9150", " - ", "MISC. INCOME")</f>
        <v xml:space="preserve">          9150 - MISC. INCOME</v>
      </c>
      <c r="C224" s="11"/>
      <c r="D224" s="2">
        <f>--56800.59</f>
        <v>56800.59</v>
      </c>
      <c r="E224" s="2"/>
      <c r="F224" s="19">
        <f t="shared" si="151"/>
        <v>0.11208526268940974</v>
      </c>
      <c r="G224" s="2"/>
      <c r="H224" s="2">
        <v>24150</v>
      </c>
      <c r="I224" s="2"/>
      <c r="J224" s="19">
        <f t="shared" si="152"/>
        <v>4.143127469364017E-2</v>
      </c>
      <c r="K224" s="2"/>
      <c r="L224" s="2">
        <f t="shared" si="153"/>
        <v>32650.589999999997</v>
      </c>
      <c r="M224" s="2"/>
      <c r="N224" s="19">
        <f t="shared" si="154"/>
        <v>1.351991304347826</v>
      </c>
      <c r="O224" s="11"/>
      <c r="P224" s="2">
        <f>--403420.29</f>
        <v>403420.29</v>
      </c>
      <c r="Q224" s="2"/>
      <c r="R224" s="19">
        <f t="shared" si="155"/>
        <v>7.7440809633388674E-2</v>
      </c>
      <c r="S224" s="2"/>
      <c r="T224" s="2">
        <v>223950</v>
      </c>
      <c r="U224" s="2"/>
      <c r="V224" s="19">
        <f t="shared" si="156"/>
        <v>2.5519334699150461E-2</v>
      </c>
      <c r="W224" s="2"/>
      <c r="X224" s="2">
        <f t="shared" si="157"/>
        <v>179470.28999999998</v>
      </c>
      <c r="Y224" s="2"/>
      <c r="Z224" s="19">
        <f t="shared" si="158"/>
        <v>0.80138553248492961</v>
      </c>
    </row>
    <row r="225" spans="1:26" s="24" customFormat="1" hidden="1" outlineLevel="1" x14ac:dyDescent="0.25">
      <c r="A225" s="44"/>
      <c r="B225" s="11" t="str">
        <f>CONCATENATE("          ", "9151", " - ", "MISC. INCOME")</f>
        <v xml:space="preserve">          9151 - MISC. INCOME</v>
      </c>
      <c r="C225" s="11"/>
      <c r="D225" s="2">
        <f>0</f>
        <v>0</v>
      </c>
      <c r="E225" s="2"/>
      <c r="F225" s="19">
        <f t="shared" si="151"/>
        <v>0</v>
      </c>
      <c r="G225" s="2"/>
      <c r="H225" s="2">
        <v>15475</v>
      </c>
      <c r="I225" s="2"/>
      <c r="J225" s="19">
        <f t="shared" si="152"/>
        <v>2.6548611837850171E-2</v>
      </c>
      <c r="K225" s="2"/>
      <c r="L225" s="2">
        <f t="shared" si="153"/>
        <v>-15475</v>
      </c>
      <c r="M225" s="2"/>
      <c r="N225" s="19">
        <f t="shared" si="154"/>
        <v>-1</v>
      </c>
      <c r="O225" s="11"/>
      <c r="P225" s="2">
        <f>--295628.46</f>
        <v>295628.46000000002</v>
      </c>
      <c r="Q225" s="2"/>
      <c r="R225" s="19">
        <f t="shared" si="155"/>
        <v>5.6749022943471339E-2</v>
      </c>
      <c r="S225" s="2"/>
      <c r="T225" s="2">
        <v>686445</v>
      </c>
      <c r="U225" s="2"/>
      <c r="V225" s="19">
        <f t="shared" si="156"/>
        <v>7.8221119480055099E-2</v>
      </c>
      <c r="W225" s="2"/>
      <c r="X225" s="2">
        <f t="shared" si="157"/>
        <v>-390816.54</v>
      </c>
      <c r="Y225" s="2"/>
      <c r="Z225" s="19">
        <f t="shared" si="158"/>
        <v>-0.56933409085942788</v>
      </c>
    </row>
    <row r="226" spans="1:26" s="24" customFormat="1" hidden="1" outlineLevel="1" x14ac:dyDescent="0.25">
      <c r="A226" s="44"/>
      <c r="B226" s="11" t="str">
        <f>CONCATENATE("          ", "9152", " - ", "MISC. INCOME")</f>
        <v xml:space="preserve">          9152 - MISC. INCOME</v>
      </c>
      <c r="C226" s="11"/>
      <c r="D226" s="2">
        <f>--1436.07</f>
        <v>1436.07</v>
      </c>
      <c r="E226" s="2"/>
      <c r="F226" s="19">
        <f t="shared" si="151"/>
        <v>2.8338135781755197E-3</v>
      </c>
      <c r="G226" s="2"/>
      <c r="H226" s="2"/>
      <c r="I226" s="2"/>
      <c r="J226" s="19">
        <f t="shared" si="152"/>
        <v>0</v>
      </c>
      <c r="K226" s="2"/>
      <c r="L226" s="2">
        <f t="shared" si="153"/>
        <v>1436.07</v>
      </c>
      <c r="M226" s="2"/>
      <c r="N226" s="19">
        <f t="shared" si="154"/>
        <v>0</v>
      </c>
      <c r="O226" s="11"/>
      <c r="P226" s="2">
        <f>--5652.57</f>
        <v>5652.57</v>
      </c>
      <c r="Q226" s="2"/>
      <c r="R226" s="19">
        <f t="shared" si="155"/>
        <v>1.0850708508226095E-3</v>
      </c>
      <c r="S226" s="2"/>
      <c r="T226" s="2"/>
      <c r="U226" s="2"/>
      <c r="V226" s="19">
        <f t="shared" si="156"/>
        <v>0</v>
      </c>
      <c r="W226" s="2"/>
      <c r="X226" s="2">
        <f t="shared" si="157"/>
        <v>5652.57</v>
      </c>
      <c r="Y226" s="2"/>
      <c r="Z226" s="19">
        <f t="shared" si="158"/>
        <v>0</v>
      </c>
    </row>
    <row r="227" spans="1:26" s="24" customFormat="1" hidden="1" outlineLevel="1" x14ac:dyDescent="0.25">
      <c r="A227" s="44"/>
      <c r="B227" s="11" t="str">
        <f>CONCATENATE("          ", "9163", " - ", "MISC. INCOME")</f>
        <v xml:space="preserve">          9163 - MISC. INCOME</v>
      </c>
      <c r="C227" s="11"/>
      <c r="D227" s="2">
        <f>--1862</f>
        <v>1862</v>
      </c>
      <c r="E227" s="2"/>
      <c r="F227" s="19">
        <f t="shared" si="151"/>
        <v>3.6743061846308453E-3</v>
      </c>
      <c r="G227" s="2"/>
      <c r="H227" s="2"/>
      <c r="I227" s="2"/>
      <c r="J227" s="19">
        <f t="shared" si="152"/>
        <v>0</v>
      </c>
      <c r="K227" s="2"/>
      <c r="L227" s="2">
        <f t="shared" si="153"/>
        <v>1862</v>
      </c>
      <c r="M227" s="2"/>
      <c r="N227" s="19">
        <f t="shared" si="154"/>
        <v>0</v>
      </c>
      <c r="O227" s="11"/>
      <c r="P227" s="2">
        <f>--348340.56</f>
        <v>348340.56</v>
      </c>
      <c r="Q227" s="2"/>
      <c r="R227" s="19">
        <f t="shared" si="155"/>
        <v>6.686767042517372E-2</v>
      </c>
      <c r="S227" s="2"/>
      <c r="T227" s="2"/>
      <c r="U227" s="2"/>
      <c r="V227" s="19">
        <f t="shared" si="156"/>
        <v>0</v>
      </c>
      <c r="W227" s="2"/>
      <c r="X227" s="2">
        <f t="shared" si="157"/>
        <v>348340.56</v>
      </c>
      <c r="Y227" s="2"/>
      <c r="Z227" s="19">
        <f t="shared" si="158"/>
        <v>0</v>
      </c>
    </row>
    <row r="228" spans="1:26" x14ac:dyDescent="0.25">
      <c r="A228" s="9"/>
      <c r="B228" s="10"/>
      <c r="C228" s="10"/>
      <c r="D228" s="3"/>
      <c r="E228" s="3"/>
      <c r="F228" s="8"/>
      <c r="G228" s="3"/>
      <c r="H228" s="3"/>
      <c r="I228" s="3"/>
      <c r="J228" s="8"/>
      <c r="K228" s="3"/>
      <c r="L228" s="3"/>
      <c r="M228" s="3"/>
      <c r="N228" s="8"/>
      <c r="O228" s="10"/>
      <c r="P228" s="3"/>
      <c r="Q228" s="3"/>
      <c r="R228" s="8"/>
      <c r="S228" s="3"/>
      <c r="T228" s="3"/>
      <c r="U228" s="3"/>
      <c r="V228" s="8"/>
      <c r="W228" s="3"/>
      <c r="X228" s="3"/>
      <c r="Y228" s="3"/>
      <c r="Z228" s="8"/>
    </row>
    <row r="229" spans="1:26" s="23" customFormat="1" x14ac:dyDescent="0.25">
      <c r="A229" s="10"/>
      <c r="B229" s="28" t="s">
        <v>277</v>
      </c>
      <c r="C229" s="28"/>
      <c r="D229" s="20">
        <f>+D121-D123+D222</f>
        <v>87503.740000000253</v>
      </c>
      <c r="E229" s="14"/>
      <c r="F229" s="21">
        <f>IF(D$12=0,0,D229/D$12)</f>
        <v>0.17267214450071453</v>
      </c>
      <c r="G229" s="14"/>
      <c r="H229" s="20">
        <f>+H121-H123+H222</f>
        <v>15227.414068271522</v>
      </c>
      <c r="I229" s="14"/>
      <c r="J229" s="21">
        <f>IF(H$12=0,0,H229/H$12)</f>
        <v>2.6123858183700135E-2</v>
      </c>
      <c r="K229" s="15"/>
      <c r="L229" s="20">
        <f>+D229-H229</f>
        <v>72276.32593172873</v>
      </c>
      <c r="M229" s="15"/>
      <c r="N229" s="21">
        <f>IF(H229=0,0,L229/H229)</f>
        <v>4.7464609294579247</v>
      </c>
      <c r="O229" s="29"/>
      <c r="P229" s="20">
        <f>+P121-P123+P222</f>
        <v>200646.92999999854</v>
      </c>
      <c r="Q229" s="14"/>
      <c r="R229" s="21">
        <f>IF(P$12=0,0,P229/P$12)</f>
        <v>3.851630940440242E-2</v>
      </c>
      <c r="S229" s="14"/>
      <c r="T229" s="20">
        <f>+T121-T123+T222</f>
        <v>554130.13935411815</v>
      </c>
      <c r="U229" s="14"/>
      <c r="V229" s="21">
        <f>IF(T$12=0,0,T229/T$12)</f>
        <v>6.3143703920806551E-2</v>
      </c>
      <c r="W229" s="15"/>
      <c r="X229" s="20">
        <f>+P229-T229</f>
        <v>-353483.20935411961</v>
      </c>
      <c r="Y229" s="15"/>
      <c r="Z229" s="21">
        <f>IF(T229=0,0,X229/T229)</f>
        <v>-0.63790648486677126</v>
      </c>
    </row>
    <row r="230" spans="1:26" x14ac:dyDescent="0.25">
      <c r="A230" s="9"/>
      <c r="B230" s="10"/>
      <c r="C230" s="9"/>
      <c r="D230" s="3"/>
      <c r="E230" s="3"/>
      <c r="F230" s="8"/>
      <c r="G230" s="3"/>
      <c r="H230" s="3"/>
      <c r="I230" s="3"/>
      <c r="J230" s="8"/>
      <c r="K230" s="3"/>
      <c r="L230" s="3"/>
      <c r="M230" s="3"/>
      <c r="N230" s="8"/>
      <c r="P230" s="3"/>
      <c r="Q230" s="3"/>
      <c r="R230" s="8"/>
      <c r="S230" s="3"/>
      <c r="T230" s="3"/>
      <c r="U230" s="3"/>
      <c r="V230" s="8"/>
      <c r="W230" s="3"/>
      <c r="X230" s="3"/>
      <c r="Y230" s="3"/>
      <c r="Z230" s="8"/>
    </row>
    <row r="231" spans="1:26" s="23" customFormat="1" x14ac:dyDescent="0.25">
      <c r="A231" s="52"/>
      <c r="B231" s="10" t="s">
        <v>128</v>
      </c>
      <c r="C231" s="10"/>
      <c r="D231" s="4">
        <v>129388.52</v>
      </c>
      <c r="E231" s="4"/>
      <c r="F231" s="12">
        <f>IF(D$12=0,0,D231/D$12)</f>
        <v>0.25532386641043603</v>
      </c>
      <c r="G231" s="4"/>
      <c r="H231" s="4">
        <v>134693</v>
      </c>
      <c r="I231" s="4"/>
      <c r="J231" s="12">
        <f>IF(H$12=0,0,H231/H$12)</f>
        <v>0.23107671562362217</v>
      </c>
      <c r="K231" s="4"/>
      <c r="L231" s="4">
        <f>+D231-H231</f>
        <v>-5304.4799999999959</v>
      </c>
      <c r="M231" s="4"/>
      <c r="N231" s="12">
        <f>IF(H231=0,0,L231/H231)</f>
        <v>-3.9382002034255646E-2</v>
      </c>
      <c r="O231" s="10"/>
      <c r="P231" s="4">
        <v>1113199.77</v>
      </c>
      <c r="Q231" s="4"/>
      <c r="R231" s="12">
        <f>IF(P$12=0,0,P231/P$12)</f>
        <v>0.21369051981124218</v>
      </c>
      <c r="S231" s="4"/>
      <c r="T231" s="4">
        <v>1620280</v>
      </c>
      <c r="U231" s="4"/>
      <c r="V231" s="12">
        <f>IF(T$12=0,0,T231/T$12)</f>
        <v>0.18463258596266804</v>
      </c>
      <c r="W231" s="4"/>
      <c r="X231" s="4">
        <f>+P231-T231</f>
        <v>-507080.23</v>
      </c>
      <c r="Y231" s="4"/>
      <c r="Z231" s="12">
        <f>IF(T231=0,0,X231/T231)</f>
        <v>-0.31295839607968989</v>
      </c>
    </row>
    <row r="232" spans="1:26" x14ac:dyDescent="0.25">
      <c r="A232" s="9"/>
      <c r="B232" s="10"/>
      <c r="C232" s="10"/>
      <c r="D232" s="3"/>
      <c r="E232" s="3"/>
      <c r="F232" s="8"/>
      <c r="G232" s="3"/>
      <c r="H232" s="3"/>
      <c r="I232" s="3"/>
      <c r="J232" s="8"/>
      <c r="K232" s="3"/>
      <c r="L232" s="3"/>
      <c r="M232" s="3"/>
      <c r="N232" s="8"/>
      <c r="O232" s="10"/>
      <c r="P232" s="3"/>
      <c r="Q232" s="3"/>
      <c r="R232" s="8"/>
      <c r="S232" s="3"/>
      <c r="T232" s="3"/>
      <c r="U232" s="3"/>
      <c r="V232" s="8"/>
      <c r="W232" s="3"/>
      <c r="X232" s="3"/>
      <c r="Y232" s="3"/>
      <c r="Z232" s="8"/>
    </row>
    <row r="233" spans="1:26" s="23" customFormat="1" ht="15.75" thickBot="1" x14ac:dyDescent="0.3">
      <c r="A233" s="10"/>
      <c r="B233" s="28" t="s">
        <v>126</v>
      </c>
      <c r="C233" s="28"/>
      <c r="D233" s="35">
        <f>+D229-D231</f>
        <v>-41884.779999999751</v>
      </c>
      <c r="E233" s="14"/>
      <c r="F233" s="34">
        <f>IF(D$12=0,0,D233/D$12)</f>
        <v>-8.2651721909721504E-2</v>
      </c>
      <c r="G233" s="14"/>
      <c r="H233" s="35">
        <f>+H229-H231</f>
        <v>-119465.58593172848</v>
      </c>
      <c r="I233" s="14"/>
      <c r="J233" s="34">
        <f>IF(H$12=0,0,H233/H$12)</f>
        <v>-0.20495285743992203</v>
      </c>
      <c r="K233" s="15"/>
      <c r="L233" s="35">
        <f>D233-H233</f>
        <v>77580.805931728726</v>
      </c>
      <c r="M233" s="15"/>
      <c r="N233" s="34">
        <f>IF(H233=0,0,L233/H233)</f>
        <v>-0.64939878147054142</v>
      </c>
      <c r="O233" s="29"/>
      <c r="P233" s="35">
        <f>+P229-P231</f>
        <v>-912552.84000000148</v>
      </c>
      <c r="Q233" s="14"/>
      <c r="R233" s="34">
        <f>IF(P$12=0,0,P233/P$12)</f>
        <v>-0.17517421040683975</v>
      </c>
      <c r="S233" s="14"/>
      <c r="T233" s="35">
        <f>+T229-T231</f>
        <v>-1066149.8606458819</v>
      </c>
      <c r="U233" s="14"/>
      <c r="V233" s="34">
        <f>IF(T$12=0,0,T233/T$12)</f>
        <v>-0.12148888204186149</v>
      </c>
      <c r="W233" s="15"/>
      <c r="X233" s="35">
        <f>P233-T233</f>
        <v>153597.02064588037</v>
      </c>
      <c r="Y233" s="15"/>
      <c r="Z233" s="34">
        <f>IF(T233=0,0,X233/T233)</f>
        <v>-0.144067008134138</v>
      </c>
    </row>
    <row r="234" spans="1:26" ht="15.75" thickTop="1" x14ac:dyDescent="0.25">
      <c r="A234" s="9"/>
      <c r="B234" s="9"/>
      <c r="C234" s="9"/>
      <c r="D234" s="3"/>
      <c r="E234" s="3"/>
      <c r="F234" s="8"/>
      <c r="G234" s="3"/>
      <c r="H234" s="3"/>
      <c r="I234" s="3"/>
      <c r="J234" s="8"/>
      <c r="K234" s="3"/>
      <c r="L234" s="3"/>
      <c r="M234" s="3"/>
      <c r="N234" s="8"/>
      <c r="P234" s="3"/>
      <c r="Q234" s="3"/>
      <c r="R234" s="8"/>
      <c r="S234" s="3"/>
      <c r="T234" s="3"/>
      <c r="U234" s="3"/>
      <c r="V234" s="8"/>
      <c r="W234" s="3"/>
      <c r="X234" s="3"/>
      <c r="Y234" s="3"/>
      <c r="Z234" s="8"/>
    </row>
    <row r="235" spans="1:26" x14ac:dyDescent="0.25">
      <c r="A235" s="9"/>
      <c r="B235" s="9"/>
      <c r="C235" s="9"/>
      <c r="D235" s="3"/>
      <c r="E235" s="3"/>
      <c r="F235" s="8"/>
      <c r="G235" s="3"/>
      <c r="H235" s="3"/>
      <c r="I235" s="3"/>
      <c r="J235" s="8"/>
      <c r="K235" s="3"/>
      <c r="L235" s="3"/>
      <c r="M235" s="3"/>
      <c r="N235" s="8"/>
      <c r="P235" s="3"/>
      <c r="Q235" s="3"/>
      <c r="R235" s="8"/>
      <c r="S235" s="3"/>
      <c r="T235" s="3"/>
      <c r="U235" s="3"/>
      <c r="V235" s="8"/>
      <c r="W235" s="3"/>
      <c r="X235" s="3"/>
      <c r="Y235" s="3"/>
      <c r="Z235" s="8"/>
    </row>
    <row r="236" spans="1:26" s="23" customFormat="1" ht="15.75" thickBot="1" x14ac:dyDescent="0.3">
      <c r="A236" s="10"/>
      <c r="B236" s="28" t="s">
        <v>294</v>
      </c>
      <c r="C236" s="28"/>
      <c r="D236" s="33">
        <f>SUM(D233:D235)</f>
        <v>-41884.779999999751</v>
      </c>
      <c r="E236" s="14"/>
      <c r="F236" s="32">
        <f>IF(D$12=0,0,D236/D$12)</f>
        <v>-8.2651721909721504E-2</v>
      </c>
      <c r="G236" s="14"/>
      <c r="H236" s="33">
        <f>SUM(H233:H235)</f>
        <v>-119465.58593172848</v>
      </c>
      <c r="I236" s="14"/>
      <c r="J236" s="32">
        <f>IF(H$12=0,0,H236/H$12)</f>
        <v>-0.20495285743992203</v>
      </c>
      <c r="K236" s="15"/>
      <c r="L236" s="33">
        <f>+D236-H236</f>
        <v>77580.805931728726</v>
      </c>
      <c r="M236" s="15"/>
      <c r="N236" s="32">
        <f>IF(H236=0,0,L236/H236)</f>
        <v>-0.64939878147054142</v>
      </c>
      <c r="O236" s="29"/>
      <c r="P236" s="33">
        <f>SUM(P233:P235)</f>
        <v>-912552.84000000148</v>
      </c>
      <c r="Q236" s="14"/>
      <c r="R236" s="32">
        <f>IF(P$12=0,0,P236/P$12)</f>
        <v>-0.17517421040683975</v>
      </c>
      <c r="S236" s="14"/>
      <c r="T236" s="33">
        <f>SUM(T233:T235)</f>
        <v>-1066149.8606458819</v>
      </c>
      <c r="U236" s="14"/>
      <c r="V236" s="32">
        <f>IF(T$12=0,0,T236/T$12)</f>
        <v>-0.12148888204186149</v>
      </c>
      <c r="W236" s="15"/>
      <c r="X236" s="33">
        <f>+P236-T236</f>
        <v>153597.02064588037</v>
      </c>
      <c r="Y236" s="15"/>
      <c r="Z236" s="32">
        <f>IF(T236=0,0,X236/T236)</f>
        <v>-0.144067008134138</v>
      </c>
    </row>
    <row r="237" spans="1:26" ht="15.75" thickTop="1" x14ac:dyDescent="0.25">
      <c r="A237" s="9"/>
      <c r="C237" s="9"/>
      <c r="D237" s="18"/>
      <c r="E237" s="18"/>
      <c r="G237" s="18"/>
      <c r="H237" s="18"/>
      <c r="I237" s="18"/>
      <c r="J237" s="42"/>
      <c r="K237" s="18"/>
      <c r="L237" s="18"/>
      <c r="M237" s="18"/>
      <c r="P237" s="18"/>
      <c r="Q237" s="18"/>
      <c r="R237" s="42"/>
      <c r="S237" s="18"/>
      <c r="T237" s="18"/>
      <c r="U237" s="18"/>
      <c r="V237" s="42"/>
      <c r="W237" s="18"/>
      <c r="X237" s="18"/>
    </row>
    <row r="238" spans="1:26" x14ac:dyDescent="0.25">
      <c r="A238" s="9"/>
      <c r="B238" s="60">
        <v>44356.891790972222</v>
      </c>
      <c r="D238" s="18"/>
      <c r="E238" s="18"/>
      <c r="G238" s="18"/>
      <c r="H238" s="18"/>
      <c r="I238" s="18"/>
      <c r="J238" s="42"/>
      <c r="K238" s="18"/>
      <c r="L238" s="18"/>
      <c r="M238" s="18"/>
      <c r="P238" s="18"/>
      <c r="Q238" s="18"/>
      <c r="R238" s="42"/>
      <c r="S238" s="18"/>
      <c r="T238" s="18"/>
      <c r="U238" s="18"/>
      <c r="V238" s="42"/>
      <c r="W238" s="18"/>
      <c r="X238" s="18"/>
    </row>
    <row r="239" spans="1:26" x14ac:dyDescent="0.25">
      <c r="A239" s="9"/>
      <c r="B239" s="55" t="s">
        <v>56</v>
      </c>
      <c r="D239" s="18"/>
      <c r="E239" s="18"/>
      <c r="G239" s="18"/>
      <c r="H239" s="18"/>
      <c r="I239" s="18"/>
      <c r="J239" s="42"/>
      <c r="K239" s="18"/>
      <c r="L239" s="18"/>
      <c r="M239" s="18"/>
      <c r="P239" s="18"/>
      <c r="Q239" s="18"/>
      <c r="R239" s="42"/>
      <c r="S239" s="18"/>
      <c r="T239" s="18"/>
      <c r="U239" s="18"/>
      <c r="V239" s="42"/>
      <c r="W239" s="18"/>
      <c r="X239" s="18"/>
    </row>
    <row r="240" spans="1:26" x14ac:dyDescent="0.25">
      <c r="A240" s="9"/>
      <c r="B240" s="63"/>
      <c r="D240" s="18"/>
      <c r="E240" s="18"/>
      <c r="G240" s="18"/>
      <c r="H240" s="18"/>
      <c r="I240" s="18"/>
      <c r="J240" s="42"/>
      <c r="K240" s="18"/>
      <c r="L240" s="18"/>
      <c r="M240" s="18"/>
      <c r="P240" s="18"/>
      <c r="Q240" s="18"/>
      <c r="R240" s="42"/>
      <c r="S240" s="18"/>
      <c r="T240" s="18"/>
      <c r="U240" s="18"/>
      <c r="V240" s="42"/>
      <c r="W240" s="18"/>
      <c r="X240" s="18"/>
    </row>
    <row r="241" spans="4:24" x14ac:dyDescent="0.25">
      <c r="D241" s="18"/>
      <c r="E241" s="18"/>
      <c r="G241" s="18"/>
      <c r="H241" s="18"/>
      <c r="I241" s="18"/>
      <c r="J241" s="42"/>
      <c r="K241" s="18"/>
      <c r="L241" s="18"/>
      <c r="M241" s="18"/>
      <c r="P241" s="18"/>
      <c r="Q241" s="18"/>
      <c r="R241" s="42"/>
      <c r="S241" s="18"/>
      <c r="T241" s="18"/>
      <c r="U241" s="18"/>
      <c r="V241" s="42"/>
      <c r="W241" s="18"/>
      <c r="X241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313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6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314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656542.93999999971</v>
      </c>
      <c r="E12" s="4"/>
      <c r="F12" s="12"/>
      <c r="G12" s="4"/>
      <c r="H12" s="4">
        <f>SUM(OSRRefH13x_0)</f>
        <v>687232</v>
      </c>
      <c r="I12" s="4"/>
      <c r="J12" s="12"/>
      <c r="K12" s="4"/>
      <c r="L12" s="4">
        <f t="shared" ref="L12:L93" si="0">+D12-H12</f>
        <v>-30689.060000000289</v>
      </c>
      <c r="M12" s="4"/>
      <c r="N12" s="12">
        <f t="shared" ref="N12:N93" si="1">IF(H12=0,0,L12/H12)</f>
        <v>-4.4656040463773937E-2</v>
      </c>
      <c r="O12" s="10"/>
      <c r="P12" s="4">
        <f>SUM(OSRRefP13x_0)</f>
        <v>7781966.2599999988</v>
      </c>
      <c r="Q12" s="4"/>
      <c r="R12" s="12"/>
      <c r="S12" s="4"/>
      <c r="T12" s="4">
        <f>SUM(OSRRefT13x_0)</f>
        <v>10985782</v>
      </c>
      <c r="U12" s="4"/>
      <c r="V12" s="12"/>
      <c r="W12" s="4"/>
      <c r="X12" s="4">
        <f t="shared" ref="X12:X93" si="2">+P12-T12</f>
        <v>-3203815.7400000012</v>
      </c>
      <c r="Y12" s="4"/>
      <c r="Z12" s="12">
        <f t="shared" ref="Z12:Z93" si="3">IF(T12=0,0,X12/T12)</f>
        <v>-0.29163292517546779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-11409.64</f>
        <v>-11409.64</v>
      </c>
      <c r="E13" s="2"/>
      <c r="F13" s="19"/>
      <c r="G13" s="2"/>
      <c r="H13" s="2">
        <v>641513</v>
      </c>
      <c r="I13" s="2"/>
      <c r="J13" s="19"/>
      <c r="K13" s="2"/>
      <c r="L13" s="2">
        <f t="shared" si="0"/>
        <v>-652922.64</v>
      </c>
      <c r="M13" s="2"/>
      <c r="N13" s="19">
        <f t="shared" si="1"/>
        <v>-1.0177855164275704</v>
      </c>
      <c r="O13" s="11"/>
      <c r="P13" s="2">
        <f>-147412.94</f>
        <v>-147412.94</v>
      </c>
      <c r="Q13" s="2"/>
      <c r="R13" s="19"/>
      <c r="S13" s="2"/>
      <c r="T13" s="2">
        <v>10517550</v>
      </c>
      <c r="U13" s="2"/>
      <c r="V13" s="19"/>
      <c r="W13" s="2"/>
      <c r="X13" s="2">
        <f t="shared" si="2"/>
        <v>-10664962.939999999</v>
      </c>
      <c r="Y13" s="2"/>
      <c r="Z13" s="19">
        <f t="shared" si="3"/>
        <v>-1.0140159010415923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--35278.2</f>
        <v>35278.199999999997</v>
      </c>
      <c r="E14" s="2"/>
      <c r="F14" s="19"/>
      <c r="G14" s="2"/>
      <c r="H14" s="2"/>
      <c r="I14" s="2"/>
      <c r="J14" s="19"/>
      <c r="K14" s="2"/>
      <c r="L14" s="2">
        <f t="shared" si="0"/>
        <v>35278.199999999997</v>
      </c>
      <c r="M14" s="2"/>
      <c r="N14" s="19">
        <f t="shared" si="1"/>
        <v>0</v>
      </c>
      <c r="O14" s="11"/>
      <c r="P14" s="2">
        <f>--1299088.56</f>
        <v>1299088.56</v>
      </c>
      <c r="Q14" s="2"/>
      <c r="R14" s="19"/>
      <c r="S14" s="2"/>
      <c r="T14" s="2"/>
      <c r="U14" s="2"/>
      <c r="V14" s="19"/>
      <c r="W14" s="2"/>
      <c r="X14" s="2">
        <f t="shared" si="2"/>
        <v>1299088.56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--11501.84</f>
        <v>11501.84</v>
      </c>
      <c r="E15" s="2"/>
      <c r="F15" s="19"/>
      <c r="G15" s="2"/>
      <c r="H15" s="2"/>
      <c r="I15" s="2"/>
      <c r="J15" s="19"/>
      <c r="K15" s="2"/>
      <c r="L15" s="2">
        <f t="shared" si="0"/>
        <v>11501.84</v>
      </c>
      <c r="M15" s="2"/>
      <c r="N15" s="19">
        <f t="shared" si="1"/>
        <v>0</v>
      </c>
      <c r="O15" s="11"/>
      <c r="P15" s="2">
        <f>--590270.47</f>
        <v>590270.47</v>
      </c>
      <c r="Q15" s="2"/>
      <c r="R15" s="19"/>
      <c r="S15" s="2"/>
      <c r="T15" s="2"/>
      <c r="U15" s="2"/>
      <c r="V15" s="19"/>
      <c r="W15" s="2"/>
      <c r="X15" s="2">
        <f t="shared" si="2"/>
        <v>590270.47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--494.96</f>
        <v>494.96</v>
      </c>
      <c r="E16" s="2"/>
      <c r="F16" s="19"/>
      <c r="G16" s="2"/>
      <c r="H16" s="2"/>
      <c r="I16" s="2"/>
      <c r="J16" s="19"/>
      <c r="K16" s="2"/>
      <c r="L16" s="2">
        <f t="shared" si="0"/>
        <v>494.96</v>
      </c>
      <c r="M16" s="2"/>
      <c r="N16" s="19">
        <f t="shared" si="1"/>
        <v>0</v>
      </c>
      <c r="O16" s="11"/>
      <c r="P16" s="2">
        <f>--18492.84</f>
        <v>18492.84</v>
      </c>
      <c r="Q16" s="2"/>
      <c r="R16" s="19"/>
      <c r="S16" s="2"/>
      <c r="T16" s="2"/>
      <c r="U16" s="2"/>
      <c r="V16" s="19"/>
      <c r="W16" s="2"/>
      <c r="X16" s="2">
        <f t="shared" si="2"/>
        <v>18492.84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--61.96</f>
        <v>61.96</v>
      </c>
      <c r="E18" s="2"/>
      <c r="F18" s="19"/>
      <c r="G18" s="2"/>
      <c r="H18" s="2"/>
      <c r="I18" s="2"/>
      <c r="J18" s="19"/>
      <c r="K18" s="2"/>
      <c r="L18" s="2">
        <f t="shared" si="0"/>
        <v>61.96</v>
      </c>
      <c r="M18" s="2"/>
      <c r="N18" s="19">
        <f t="shared" si="1"/>
        <v>0</v>
      </c>
      <c r="O18" s="11"/>
      <c r="P18" s="2">
        <f>--1325.79</f>
        <v>1325.79</v>
      </c>
      <c r="Q18" s="2"/>
      <c r="R18" s="19"/>
      <c r="S18" s="2"/>
      <c r="T18" s="2"/>
      <c r="U18" s="2"/>
      <c r="V18" s="19"/>
      <c r="W18" s="2"/>
      <c r="X18" s="2">
        <f t="shared" si="2"/>
        <v>1325.79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--31.17</f>
        <v>31.17</v>
      </c>
      <c r="E19" s="2"/>
      <c r="F19" s="19"/>
      <c r="G19" s="2"/>
      <c r="H19" s="2"/>
      <c r="I19" s="2"/>
      <c r="J19" s="19"/>
      <c r="K19" s="2"/>
      <c r="L19" s="2">
        <f t="shared" si="0"/>
        <v>31.17</v>
      </c>
      <c r="M19" s="2"/>
      <c r="N19" s="19">
        <f t="shared" si="1"/>
        <v>0</v>
      </c>
      <c r="O19" s="11"/>
      <c r="P19" s="2">
        <f>--515.72</f>
        <v>515.72</v>
      </c>
      <c r="Q19" s="2"/>
      <c r="R19" s="19"/>
      <c r="S19" s="2"/>
      <c r="T19" s="2"/>
      <c r="U19" s="2"/>
      <c r="V19" s="19"/>
      <c r="W19" s="2"/>
      <c r="X19" s="2">
        <f t="shared" si="2"/>
        <v>515.72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--35.38</f>
        <v>35.380000000000003</v>
      </c>
      <c r="E20" s="2"/>
      <c r="F20" s="19"/>
      <c r="G20" s="2"/>
      <c r="H20" s="2"/>
      <c r="I20" s="2"/>
      <c r="J20" s="19"/>
      <c r="K20" s="2"/>
      <c r="L20" s="2">
        <f t="shared" si="0"/>
        <v>35.380000000000003</v>
      </c>
      <c r="M20" s="2"/>
      <c r="N20" s="19">
        <f t="shared" si="1"/>
        <v>0</v>
      </c>
      <c r="O20" s="11"/>
      <c r="P20" s="2">
        <f>--508.48</f>
        <v>508.48</v>
      </c>
      <c r="Q20" s="2"/>
      <c r="R20" s="19"/>
      <c r="S20" s="2"/>
      <c r="T20" s="2"/>
      <c r="U20" s="2"/>
      <c r="V20" s="19"/>
      <c r="W20" s="2"/>
      <c r="X20" s="2">
        <f t="shared" si="2"/>
        <v>508.48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--36.37</f>
        <v>36.369999999999997</v>
      </c>
      <c r="E21" s="2"/>
      <c r="F21" s="19"/>
      <c r="G21" s="2"/>
      <c r="H21" s="2"/>
      <c r="I21" s="2"/>
      <c r="J21" s="19"/>
      <c r="K21" s="2"/>
      <c r="L21" s="2">
        <f t="shared" si="0"/>
        <v>36.369999999999997</v>
      </c>
      <c r="M21" s="2"/>
      <c r="N21" s="19">
        <f t="shared" si="1"/>
        <v>0</v>
      </c>
      <c r="O21" s="11"/>
      <c r="P21" s="2">
        <f>--522.54</f>
        <v>522.54</v>
      </c>
      <c r="Q21" s="2"/>
      <c r="R21" s="19"/>
      <c r="S21" s="2"/>
      <c r="T21" s="2"/>
      <c r="U21" s="2"/>
      <c r="V21" s="19"/>
      <c r="W21" s="2"/>
      <c r="X21" s="2">
        <f t="shared" si="2"/>
        <v>522.54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--6033.32</f>
        <v>6033.32</v>
      </c>
      <c r="E22" s="2"/>
      <c r="F22" s="19"/>
      <c r="G22" s="2"/>
      <c r="H22" s="2"/>
      <c r="I22" s="2"/>
      <c r="J22" s="19"/>
      <c r="K22" s="2"/>
      <c r="L22" s="2">
        <f t="shared" si="0"/>
        <v>6033.32</v>
      </c>
      <c r="M22" s="2"/>
      <c r="N22" s="19">
        <f t="shared" si="1"/>
        <v>0</v>
      </c>
      <c r="O22" s="11"/>
      <c r="P22" s="2">
        <f>--70104.29</f>
        <v>70104.289999999994</v>
      </c>
      <c r="Q22" s="2"/>
      <c r="R22" s="19"/>
      <c r="S22" s="2"/>
      <c r="T22" s="2"/>
      <c r="U22" s="2"/>
      <c r="V22" s="19"/>
      <c r="W22" s="2"/>
      <c r="X22" s="2">
        <f t="shared" si="2"/>
        <v>70104.289999999994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>--1495.15</f>
        <v>1495.15</v>
      </c>
      <c r="E23" s="2"/>
      <c r="F23" s="19"/>
      <c r="G23" s="2"/>
      <c r="H23" s="2"/>
      <c r="I23" s="2"/>
      <c r="J23" s="19"/>
      <c r="K23" s="2"/>
      <c r="L23" s="2">
        <f t="shared" si="0"/>
        <v>1495.15</v>
      </c>
      <c r="M23" s="2"/>
      <c r="N23" s="19">
        <f t="shared" si="1"/>
        <v>0</v>
      </c>
      <c r="O23" s="11"/>
      <c r="P23" s="2">
        <f>--48395.32</f>
        <v>48395.32</v>
      </c>
      <c r="Q23" s="2"/>
      <c r="R23" s="19"/>
      <c r="S23" s="2"/>
      <c r="T23" s="2"/>
      <c r="U23" s="2"/>
      <c r="V23" s="19"/>
      <c r="W23" s="2"/>
      <c r="X23" s="2">
        <f t="shared" si="2"/>
        <v>48395.32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>--490.12</f>
        <v>490.12</v>
      </c>
      <c r="E24" s="2"/>
      <c r="F24" s="19"/>
      <c r="G24" s="2"/>
      <c r="H24" s="2"/>
      <c r="I24" s="2"/>
      <c r="J24" s="19"/>
      <c r="K24" s="2"/>
      <c r="L24" s="2">
        <f t="shared" si="0"/>
        <v>490.12</v>
      </c>
      <c r="M24" s="2"/>
      <c r="N24" s="19">
        <f t="shared" si="1"/>
        <v>0</v>
      </c>
      <c r="O24" s="11"/>
      <c r="P24" s="2">
        <f>--4700.71</f>
        <v>4700.71</v>
      </c>
      <c r="Q24" s="2"/>
      <c r="R24" s="19"/>
      <c r="S24" s="2"/>
      <c r="T24" s="2"/>
      <c r="U24" s="2"/>
      <c r="V24" s="19"/>
      <c r="W24" s="2"/>
      <c r="X24" s="2">
        <f t="shared" si="2"/>
        <v>4700.71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--6.78</f>
        <v>6.78</v>
      </c>
      <c r="Q25" s="2"/>
      <c r="R25" s="19"/>
      <c r="S25" s="2"/>
      <c r="T25" s="2"/>
      <c r="U25" s="2"/>
      <c r="V25" s="19"/>
      <c r="W25" s="2"/>
      <c r="X25" s="2">
        <f t="shared" si="2"/>
        <v>6.78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>--187399.42</f>
        <v>187399.42</v>
      </c>
      <c r="E26" s="2"/>
      <c r="F26" s="19"/>
      <c r="G26" s="2"/>
      <c r="H26" s="2"/>
      <c r="I26" s="2"/>
      <c r="J26" s="19"/>
      <c r="K26" s="2"/>
      <c r="L26" s="2">
        <f t="shared" si="0"/>
        <v>187399.42</v>
      </c>
      <c r="M26" s="2"/>
      <c r="N26" s="19">
        <f t="shared" si="1"/>
        <v>0</v>
      </c>
      <c r="O26" s="11"/>
      <c r="P26" s="2">
        <f>--1100580.15</f>
        <v>1100580.1499999999</v>
      </c>
      <c r="Q26" s="2"/>
      <c r="R26" s="19"/>
      <c r="S26" s="2"/>
      <c r="T26" s="2"/>
      <c r="U26" s="2"/>
      <c r="V26" s="19"/>
      <c r="W26" s="2"/>
      <c r="X26" s="2">
        <f t="shared" si="2"/>
        <v>1100580.1499999999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>--191315.61</f>
        <v>191315.61</v>
      </c>
      <c r="E27" s="2"/>
      <c r="F27" s="19"/>
      <c r="G27" s="2"/>
      <c r="H27" s="2"/>
      <c r="I27" s="2"/>
      <c r="J27" s="19"/>
      <c r="K27" s="2"/>
      <c r="L27" s="2">
        <f t="shared" si="0"/>
        <v>191315.61</v>
      </c>
      <c r="M27" s="2"/>
      <c r="N27" s="19">
        <f t="shared" si="1"/>
        <v>0</v>
      </c>
      <c r="O27" s="11"/>
      <c r="P27" s="2">
        <f>--631772.59</f>
        <v>631772.59</v>
      </c>
      <c r="Q27" s="2"/>
      <c r="R27" s="19"/>
      <c r="S27" s="2"/>
      <c r="T27" s="2"/>
      <c r="U27" s="2"/>
      <c r="V27" s="19"/>
      <c r="W27" s="2"/>
      <c r="X27" s="2">
        <f t="shared" si="2"/>
        <v>631772.59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--8228.03</f>
        <v>8228.0300000000007</v>
      </c>
      <c r="E28" s="2"/>
      <c r="F28" s="19"/>
      <c r="G28" s="2"/>
      <c r="H28" s="2"/>
      <c r="I28" s="2"/>
      <c r="J28" s="19"/>
      <c r="K28" s="2"/>
      <c r="L28" s="2">
        <f t="shared" si="0"/>
        <v>8228.0300000000007</v>
      </c>
      <c r="M28" s="2"/>
      <c r="N28" s="19">
        <f t="shared" si="1"/>
        <v>0</v>
      </c>
      <c r="O28" s="11"/>
      <c r="P28" s="2">
        <f>--108906.55</f>
        <v>108906.55</v>
      </c>
      <c r="Q28" s="2"/>
      <c r="R28" s="19"/>
      <c r="S28" s="2"/>
      <c r="T28" s="2"/>
      <c r="U28" s="2"/>
      <c r="V28" s="19"/>
      <c r="W28" s="2"/>
      <c r="X28" s="2">
        <f t="shared" si="2"/>
        <v>108906.55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>--7218.29</f>
        <v>7218.29</v>
      </c>
      <c r="E29" s="2"/>
      <c r="F29" s="19"/>
      <c r="G29" s="2"/>
      <c r="H29" s="2"/>
      <c r="I29" s="2"/>
      <c r="J29" s="19"/>
      <c r="K29" s="2"/>
      <c r="L29" s="2">
        <f t="shared" si="0"/>
        <v>7218.29</v>
      </c>
      <c r="M29" s="2"/>
      <c r="N29" s="19">
        <f t="shared" si="1"/>
        <v>0</v>
      </c>
      <c r="O29" s="11"/>
      <c r="P29" s="2">
        <f>--144077.67</f>
        <v>144077.67000000001</v>
      </c>
      <c r="Q29" s="2"/>
      <c r="R29" s="19"/>
      <c r="S29" s="2"/>
      <c r="T29" s="2"/>
      <c r="U29" s="2"/>
      <c r="V29" s="19"/>
      <c r="W29" s="2"/>
      <c r="X29" s="2">
        <f t="shared" si="2"/>
        <v>144077.67000000001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>--5024.1</f>
        <v>5024.1000000000004</v>
      </c>
      <c r="E30" s="2"/>
      <c r="F30" s="19"/>
      <c r="G30" s="2"/>
      <c r="H30" s="2"/>
      <c r="I30" s="2"/>
      <c r="J30" s="19"/>
      <c r="K30" s="2"/>
      <c r="L30" s="2">
        <f t="shared" si="0"/>
        <v>5024.1000000000004</v>
      </c>
      <c r="M30" s="2"/>
      <c r="N30" s="19">
        <f t="shared" si="1"/>
        <v>0</v>
      </c>
      <c r="O30" s="11"/>
      <c r="P30" s="2">
        <f>--41116.33</f>
        <v>41116.33</v>
      </c>
      <c r="Q30" s="2"/>
      <c r="R30" s="19"/>
      <c r="S30" s="2"/>
      <c r="T30" s="2"/>
      <c r="U30" s="2"/>
      <c r="V30" s="19"/>
      <c r="W30" s="2"/>
      <c r="X30" s="2">
        <f t="shared" si="2"/>
        <v>41116.33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--26335.59</f>
        <v>26335.59</v>
      </c>
      <c r="E31" s="2"/>
      <c r="F31" s="19"/>
      <c r="G31" s="2"/>
      <c r="H31" s="2"/>
      <c r="I31" s="2"/>
      <c r="J31" s="19"/>
      <c r="K31" s="2"/>
      <c r="L31" s="2">
        <f t="shared" si="0"/>
        <v>26335.59</v>
      </c>
      <c r="M31" s="2"/>
      <c r="N31" s="19">
        <f t="shared" si="1"/>
        <v>0</v>
      </c>
      <c r="O31" s="11"/>
      <c r="P31" s="2">
        <f>--233577.93</f>
        <v>233577.93</v>
      </c>
      <c r="Q31" s="2"/>
      <c r="R31" s="19"/>
      <c r="S31" s="2"/>
      <c r="T31" s="2"/>
      <c r="U31" s="2"/>
      <c r="V31" s="19"/>
      <c r="W31" s="2"/>
      <c r="X31" s="2">
        <f t="shared" si="2"/>
        <v>233577.93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>--1857.91</f>
        <v>1857.91</v>
      </c>
      <c r="E32" s="2"/>
      <c r="F32" s="19"/>
      <c r="G32" s="2"/>
      <c r="H32" s="2"/>
      <c r="I32" s="2"/>
      <c r="J32" s="19"/>
      <c r="K32" s="2"/>
      <c r="L32" s="2">
        <f t="shared" si="0"/>
        <v>1857.91</v>
      </c>
      <c r="M32" s="2"/>
      <c r="N32" s="19">
        <f t="shared" si="1"/>
        <v>0</v>
      </c>
      <c r="O32" s="11"/>
      <c r="P32" s="2">
        <f>--64025.93</f>
        <v>64025.93</v>
      </c>
      <c r="Q32" s="2"/>
      <c r="R32" s="19"/>
      <c r="S32" s="2"/>
      <c r="T32" s="2"/>
      <c r="U32" s="2"/>
      <c r="V32" s="19"/>
      <c r="W32" s="2"/>
      <c r="X32" s="2">
        <f t="shared" si="2"/>
        <v>64025.93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>--117610.99</f>
        <v>117610.99</v>
      </c>
      <c r="E33" s="2"/>
      <c r="F33" s="19"/>
      <c r="G33" s="2"/>
      <c r="H33" s="2"/>
      <c r="I33" s="2"/>
      <c r="J33" s="19"/>
      <c r="K33" s="2"/>
      <c r="L33" s="2">
        <f t="shared" si="0"/>
        <v>117610.99</v>
      </c>
      <c r="M33" s="2"/>
      <c r="N33" s="19">
        <f t="shared" si="1"/>
        <v>0</v>
      </c>
      <c r="O33" s="11"/>
      <c r="P33" s="2">
        <f>--2129658.62</f>
        <v>2129658.62</v>
      </c>
      <c r="Q33" s="2"/>
      <c r="R33" s="19"/>
      <c r="S33" s="2"/>
      <c r="T33" s="2"/>
      <c r="U33" s="2"/>
      <c r="V33" s="19"/>
      <c r="W33" s="2"/>
      <c r="X33" s="2">
        <f t="shared" si="2"/>
        <v>2129658.62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>--10204.05</f>
        <v>10204.049999999999</v>
      </c>
      <c r="E34" s="2"/>
      <c r="F34" s="19"/>
      <c r="G34" s="2"/>
      <c r="H34" s="2"/>
      <c r="I34" s="2"/>
      <c r="J34" s="19"/>
      <c r="K34" s="2"/>
      <c r="L34" s="2">
        <f t="shared" si="0"/>
        <v>10204.049999999999</v>
      </c>
      <c r="M34" s="2"/>
      <c r="N34" s="19">
        <f t="shared" si="1"/>
        <v>0</v>
      </c>
      <c r="O34" s="11"/>
      <c r="P34" s="2">
        <f>--137146.98</f>
        <v>137146.98000000001</v>
      </c>
      <c r="Q34" s="2"/>
      <c r="R34" s="19"/>
      <c r="S34" s="2"/>
      <c r="T34" s="2"/>
      <c r="U34" s="2"/>
      <c r="V34" s="19"/>
      <c r="W34" s="2"/>
      <c r="X34" s="2">
        <f t="shared" si="2"/>
        <v>137146.98000000001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"4085", " - ", "TAXABLE SALES-SOFTWARE")</f>
        <v xml:space="preserve">          4085 - TAXABLE SALES-SOFTWARE</v>
      </c>
      <c r="C35" s="11"/>
      <c r="D35" s="2">
        <f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--4870.79</f>
        <v>4870.79</v>
      </c>
      <c r="Q35" s="2"/>
      <c r="R35" s="19"/>
      <c r="S35" s="2"/>
      <c r="T35" s="2"/>
      <c r="U35" s="2"/>
      <c r="V35" s="19"/>
      <c r="W35" s="2"/>
      <c r="X35" s="2">
        <f t="shared" si="2"/>
        <v>4870.79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>--1662.79</f>
        <v>1662.79</v>
      </c>
      <c r="E36" s="2"/>
      <c r="F36" s="19"/>
      <c r="G36" s="2"/>
      <c r="H36" s="2"/>
      <c r="I36" s="2"/>
      <c r="J36" s="19"/>
      <c r="K36" s="2"/>
      <c r="L36" s="2">
        <f t="shared" si="0"/>
        <v>1662.79</v>
      </c>
      <c r="M36" s="2"/>
      <c r="N36" s="19">
        <f t="shared" si="1"/>
        <v>0</v>
      </c>
      <c r="O36" s="11"/>
      <c r="P36" s="2">
        <f>--66932.42</f>
        <v>66932.42</v>
      </c>
      <c r="Q36" s="2"/>
      <c r="R36" s="19"/>
      <c r="S36" s="2"/>
      <c r="T36" s="2"/>
      <c r="U36" s="2"/>
      <c r="V36" s="19"/>
      <c r="W36" s="2"/>
      <c r="X36" s="2">
        <f t="shared" si="2"/>
        <v>66932.42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"4095", " - ", "TAXABLE SALES-CUSTOMER SERVICE")</f>
        <v xml:space="preserve">          4095 - TAXABLE SALES-CUSTOMER SERVICE</v>
      </c>
      <c r="C37" s="11"/>
      <c r="D37" s="2">
        <f>--10891.24</f>
        <v>10891.24</v>
      </c>
      <c r="E37" s="2"/>
      <c r="F37" s="19"/>
      <c r="G37" s="2"/>
      <c r="H37" s="2"/>
      <c r="I37" s="2"/>
      <c r="J37" s="19"/>
      <c r="K37" s="2"/>
      <c r="L37" s="2">
        <f t="shared" si="0"/>
        <v>10891.24</v>
      </c>
      <c r="M37" s="2"/>
      <c r="N37" s="19">
        <f t="shared" si="1"/>
        <v>0</v>
      </c>
      <c r="O37" s="11"/>
      <c r="P37" s="2">
        <f>--13925.83</f>
        <v>13925.83</v>
      </c>
      <c r="Q37" s="2"/>
      <c r="R37" s="19"/>
      <c r="S37" s="2"/>
      <c r="T37" s="2"/>
      <c r="U37" s="2"/>
      <c r="V37" s="19"/>
      <c r="W37" s="2"/>
      <c r="X37" s="2">
        <f t="shared" si="2"/>
        <v>13925.83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"4100", " - ", "NON-TAXABLE SALES")</f>
        <v xml:space="preserve">          4100 - NON-TAXABLE SALES</v>
      </c>
      <c r="C38" s="11"/>
      <c r="D38" s="2">
        <f>--3546.21</f>
        <v>3546.21</v>
      </c>
      <c r="E38" s="2"/>
      <c r="F38" s="19"/>
      <c r="G38" s="2"/>
      <c r="H38" s="2">
        <v>45719</v>
      </c>
      <c r="I38" s="2"/>
      <c r="J38" s="19"/>
      <c r="K38" s="2"/>
      <c r="L38" s="2">
        <f t="shared" si="0"/>
        <v>-42172.79</v>
      </c>
      <c r="M38" s="2"/>
      <c r="N38" s="19">
        <f t="shared" si="1"/>
        <v>-0.92243465517618495</v>
      </c>
      <c r="O38" s="11"/>
      <c r="P38" s="2">
        <f>--277384.98</f>
        <v>277384.98</v>
      </c>
      <c r="Q38" s="2"/>
      <c r="R38" s="19"/>
      <c r="S38" s="2"/>
      <c r="T38" s="2">
        <v>468232</v>
      </c>
      <c r="U38" s="2"/>
      <c r="V38" s="19"/>
      <c r="W38" s="2"/>
      <c r="X38" s="2">
        <f t="shared" si="2"/>
        <v>-190847.02000000002</v>
      </c>
      <c r="Y38" s="2"/>
      <c r="Z38" s="19">
        <f t="shared" si="3"/>
        <v>-0.40759072425635157</v>
      </c>
    </row>
    <row r="39" spans="1:26" s="24" customFormat="1" hidden="1" outlineLevel="1" x14ac:dyDescent="0.25">
      <c r="A39" s="44"/>
      <c r="B39" s="11" t="str">
        <f>CONCATENATE("          ", "4101", " - ", "NON-TAXABLE SALES-NEW TEXT")</f>
        <v xml:space="preserve">          4101 - NON-TAXABLE SALES-NEW TEXT</v>
      </c>
      <c r="C39" s="11"/>
      <c r="D39" s="2">
        <f>--6450.33</f>
        <v>6450.33</v>
      </c>
      <c r="E39" s="2"/>
      <c r="F39" s="19"/>
      <c r="G39" s="2"/>
      <c r="H39" s="2"/>
      <c r="I39" s="2"/>
      <c r="J39" s="19"/>
      <c r="K39" s="2"/>
      <c r="L39" s="2">
        <f t="shared" si="0"/>
        <v>6450.33</v>
      </c>
      <c r="M39" s="2"/>
      <c r="N39" s="19">
        <f t="shared" si="1"/>
        <v>0</v>
      </c>
      <c r="O39" s="11"/>
      <c r="P39" s="2">
        <f>--119247.07</f>
        <v>119247.07</v>
      </c>
      <c r="Q39" s="2"/>
      <c r="R39" s="19"/>
      <c r="S39" s="2"/>
      <c r="T39" s="2"/>
      <c r="U39" s="2"/>
      <c r="V39" s="19"/>
      <c r="W39" s="2"/>
      <c r="X39" s="2">
        <f t="shared" si="2"/>
        <v>119247.07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"4102", " - ", "NON-TAXABLE SALES-USED TEXT")</f>
        <v xml:space="preserve">          4102 - NON-TAXABLE SALES-USED TEXT</v>
      </c>
      <c r="C40" s="11"/>
      <c r="D40" s="2">
        <f>--2343.31</f>
        <v>2343.31</v>
      </c>
      <c r="E40" s="2"/>
      <c r="F40" s="19"/>
      <c r="G40" s="2"/>
      <c r="H40" s="2"/>
      <c r="I40" s="2"/>
      <c r="J40" s="19"/>
      <c r="K40" s="2"/>
      <c r="L40" s="2">
        <f t="shared" si="0"/>
        <v>2343.31</v>
      </c>
      <c r="M40" s="2"/>
      <c r="N40" s="19">
        <f t="shared" si="1"/>
        <v>0</v>
      </c>
      <c r="O40" s="11"/>
      <c r="P40" s="2">
        <f>--51046.73</f>
        <v>51046.73</v>
      </c>
      <c r="Q40" s="2"/>
      <c r="R40" s="19"/>
      <c r="S40" s="2"/>
      <c r="T40" s="2"/>
      <c r="U40" s="2"/>
      <c r="V40" s="19"/>
      <c r="W40" s="2"/>
      <c r="X40" s="2">
        <f t="shared" si="2"/>
        <v>51046.73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"4103", " - ", "NON-TAXABLE SALES-RENTAL TEXT")</f>
        <v xml:space="preserve">          4103 - NON-TAXABLE SALES-RENTAL TEXT</v>
      </c>
      <c r="C41" s="11"/>
      <c r="D41" s="2">
        <f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--1138.95</f>
        <v>1138.95</v>
      </c>
      <c r="Q41" s="2"/>
      <c r="R41" s="19"/>
      <c r="S41" s="2"/>
      <c r="T41" s="2"/>
      <c r="U41" s="2"/>
      <c r="V41" s="19"/>
      <c r="W41" s="2"/>
      <c r="X41" s="2">
        <f t="shared" si="2"/>
        <v>1138.95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"4104", " - ", "NON-TAXABLE SALES-DIGITAL TEXT")</f>
        <v xml:space="preserve">          4104 - NON-TAXABLE SALES-DIGITAL TEXT</v>
      </c>
      <c r="C42" s="11"/>
      <c r="D42" s="2">
        <f>--10484.56</f>
        <v>10484.56</v>
      </c>
      <c r="E42" s="2"/>
      <c r="F42" s="19"/>
      <c r="G42" s="2"/>
      <c r="H42" s="2"/>
      <c r="I42" s="2"/>
      <c r="J42" s="19"/>
      <c r="K42" s="2"/>
      <c r="L42" s="2">
        <f t="shared" si="0"/>
        <v>10484.56</v>
      </c>
      <c r="M42" s="2"/>
      <c r="N42" s="19">
        <f t="shared" si="1"/>
        <v>0</v>
      </c>
      <c r="O42" s="11"/>
      <c r="P42" s="2">
        <f>--490887.73</f>
        <v>490887.73</v>
      </c>
      <c r="Q42" s="2"/>
      <c r="R42" s="19"/>
      <c r="S42" s="2"/>
      <c r="T42" s="2"/>
      <c r="U42" s="2"/>
      <c r="V42" s="19"/>
      <c r="W42" s="2"/>
      <c r="X42" s="2">
        <f t="shared" si="2"/>
        <v>490887.73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"4113", " - ", "NON-TAXABLE SALES-TRADE BOOKS")</f>
        <v xml:space="preserve">          4113 - NON-TAXABLE SALES-TRADE BOOKS</v>
      </c>
      <c r="C43" s="11"/>
      <c r="D43" s="2">
        <f t="shared" ref="D43:D45" si="4">0</f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--12127.25</f>
        <v>12127.25</v>
      </c>
      <c r="Q43" s="2"/>
      <c r="R43" s="19"/>
      <c r="S43" s="2"/>
      <c r="T43" s="2"/>
      <c r="U43" s="2"/>
      <c r="V43" s="19"/>
      <c r="W43" s="2"/>
      <c r="X43" s="2">
        <f t="shared" si="2"/>
        <v>12127.25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"4118", " - ", "NON-TAXABLE SALES-STUDY GUIDES")</f>
        <v xml:space="preserve">          4118 - NON-TAXABLE SALES-STUDY GUIDES</v>
      </c>
      <c r="C44" s="11"/>
      <c r="D44" s="2">
        <f t="shared" si="4"/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--771.73</f>
        <v>771.73</v>
      </c>
      <c r="Q44" s="2"/>
      <c r="R44" s="19"/>
      <c r="S44" s="2"/>
      <c r="T44" s="2"/>
      <c r="U44" s="2"/>
      <c r="V44" s="19"/>
      <c r="W44" s="2"/>
      <c r="X44" s="2">
        <f t="shared" si="2"/>
        <v>771.73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"4126", " - ", "NON-TAXABLE SALES-WRITING INST")</f>
        <v xml:space="preserve">          4126 - NON-TAXABLE SALES-WRITING INST</v>
      </c>
      <c r="C45" s="11"/>
      <c r="D45" s="2">
        <f t="shared" si="4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--52.68</f>
        <v>52.68</v>
      </c>
      <c r="Q45" s="2"/>
      <c r="R45" s="19"/>
      <c r="S45" s="2"/>
      <c r="T45" s="2"/>
      <c r="U45" s="2"/>
      <c r="V45" s="19"/>
      <c r="W45" s="2"/>
      <c r="X45" s="2">
        <f t="shared" si="2"/>
        <v>52.68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"4127", " - ", "NON-TAXABLE SALES-SCHOOL SUPPL")</f>
        <v xml:space="preserve">          4127 - NON-TAXABLE SALES-SCHOOL SUPPL</v>
      </c>
      <c r="C46" s="11"/>
      <c r="D46" s="2">
        <f>--548.05</f>
        <v>548.04999999999995</v>
      </c>
      <c r="E46" s="2"/>
      <c r="F46" s="19"/>
      <c r="G46" s="2"/>
      <c r="H46" s="2"/>
      <c r="I46" s="2"/>
      <c r="J46" s="19"/>
      <c r="K46" s="2"/>
      <c r="L46" s="2">
        <f t="shared" si="0"/>
        <v>548.04999999999995</v>
      </c>
      <c r="M46" s="2"/>
      <c r="N46" s="19">
        <f t="shared" si="1"/>
        <v>0</v>
      </c>
      <c r="O46" s="11"/>
      <c r="P46" s="2">
        <f>--7648.73</f>
        <v>7648.73</v>
      </c>
      <c r="Q46" s="2"/>
      <c r="R46" s="19"/>
      <c r="S46" s="2"/>
      <c r="T46" s="2"/>
      <c r="U46" s="2"/>
      <c r="V46" s="19"/>
      <c r="W46" s="2"/>
      <c r="X46" s="2">
        <f t="shared" si="2"/>
        <v>7648.73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"4128", " - ", "NON-TAXABLE SALES-ART/TECH")</f>
        <v xml:space="preserve">          4128 - NON-TAXABLE SALES-ART/TECH</v>
      </c>
      <c r="C47" s="11"/>
      <c r="D47" s="2">
        <f>--45.96</f>
        <v>45.96</v>
      </c>
      <c r="E47" s="2"/>
      <c r="F47" s="19"/>
      <c r="G47" s="2"/>
      <c r="H47" s="2"/>
      <c r="I47" s="2"/>
      <c r="J47" s="19"/>
      <c r="K47" s="2"/>
      <c r="L47" s="2">
        <f t="shared" si="0"/>
        <v>45.96</v>
      </c>
      <c r="M47" s="2"/>
      <c r="N47" s="19">
        <f t="shared" si="1"/>
        <v>0</v>
      </c>
      <c r="O47" s="11"/>
      <c r="P47" s="2">
        <f>--115.91</f>
        <v>115.91</v>
      </c>
      <c r="Q47" s="2"/>
      <c r="R47" s="19"/>
      <c r="S47" s="2"/>
      <c r="T47" s="2"/>
      <c r="U47" s="2"/>
      <c r="V47" s="19"/>
      <c r="W47" s="2"/>
      <c r="X47" s="2">
        <f t="shared" si="2"/>
        <v>115.91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"4131", " - ", "NON-TAXABLE SALES-FOOD")</f>
        <v xml:space="preserve">          4131 - NON-TAXABLE SALES-FOOD</v>
      </c>
      <c r="C48" s="11"/>
      <c r="D48" s="2">
        <f>--775.78</f>
        <v>775.78</v>
      </c>
      <c r="E48" s="2"/>
      <c r="F48" s="19"/>
      <c r="G48" s="2"/>
      <c r="H48" s="2"/>
      <c r="I48" s="2"/>
      <c r="J48" s="19"/>
      <c r="K48" s="2"/>
      <c r="L48" s="2">
        <f t="shared" si="0"/>
        <v>775.78</v>
      </c>
      <c r="M48" s="2"/>
      <c r="N48" s="19">
        <f t="shared" si="1"/>
        <v>0</v>
      </c>
      <c r="O48" s="11"/>
      <c r="P48" s="2">
        <f>--12156.14</f>
        <v>12156.14</v>
      </c>
      <c r="Q48" s="2"/>
      <c r="R48" s="19"/>
      <c r="S48" s="2"/>
      <c r="T48" s="2"/>
      <c r="U48" s="2"/>
      <c r="V48" s="19"/>
      <c r="W48" s="2"/>
      <c r="X48" s="2">
        <f t="shared" si="2"/>
        <v>12156.14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"4132", " - ", "NON-TAXABLE SALES-JUICE")</f>
        <v xml:space="preserve">          4132 - NON-TAXABLE SALES-JUICE</v>
      </c>
      <c r="C49" s="11"/>
      <c r="D49" s="2">
        <f t="shared" ref="D49:D52" si="5"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--22.49</f>
        <v>22.49</v>
      </c>
      <c r="Q49" s="2"/>
      <c r="R49" s="19"/>
      <c r="S49" s="2"/>
      <c r="T49" s="2"/>
      <c r="U49" s="2"/>
      <c r="V49" s="19"/>
      <c r="W49" s="2"/>
      <c r="X49" s="2">
        <f t="shared" si="2"/>
        <v>22.49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"4133", " - ", "NON-TAXABLE SALES-CANDY")</f>
        <v xml:space="preserve">          4133 - NON-TAXABLE SALES-CANDY</v>
      </c>
      <c r="C50" s="11"/>
      <c r="D50" s="2">
        <f t="shared" si="5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--80.71</f>
        <v>80.709999999999994</v>
      </c>
      <c r="Q50" s="2"/>
      <c r="R50" s="19"/>
      <c r="S50" s="2"/>
      <c r="T50" s="2"/>
      <c r="U50" s="2"/>
      <c r="V50" s="19"/>
      <c r="W50" s="2"/>
      <c r="X50" s="2">
        <f t="shared" si="2"/>
        <v>80.709999999999994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"4134", " - ", "NON-TAXABLE SALES-SODA")</f>
        <v xml:space="preserve">          4134 - NON-TAXABLE SALES-SODA</v>
      </c>
      <c r="C51" s="11"/>
      <c r="D51" s="2">
        <f t="shared" si="5"/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--45.53</f>
        <v>45.53</v>
      </c>
      <c r="Q51" s="2"/>
      <c r="R51" s="19"/>
      <c r="S51" s="2"/>
      <c r="T51" s="2"/>
      <c r="U51" s="2"/>
      <c r="V51" s="19"/>
      <c r="W51" s="2"/>
      <c r="X51" s="2">
        <f t="shared" si="2"/>
        <v>45.53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"4137", " - ", "NON-TAXABLE SALES-WATER")</f>
        <v xml:space="preserve">          4137 - NON-TAXABLE SALES-WATER</v>
      </c>
      <c r="C52" s="11"/>
      <c r="D52" s="2">
        <f t="shared" si="5"/>
        <v>0</v>
      </c>
      <c r="E52" s="2"/>
      <c r="F52" s="19"/>
      <c r="G52" s="2"/>
      <c r="H52" s="2"/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--68.25</f>
        <v>68.25</v>
      </c>
      <c r="Q52" s="2"/>
      <c r="R52" s="19"/>
      <c r="S52" s="2"/>
      <c r="T52" s="2"/>
      <c r="U52" s="2"/>
      <c r="V52" s="19"/>
      <c r="W52" s="2"/>
      <c r="X52" s="2">
        <f t="shared" si="2"/>
        <v>68.25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"4140", " - ", "NON-TAXABLE SALES-LOGO CLOTHIN")</f>
        <v xml:space="preserve">          4140 - NON-TAXABLE SALES-LOGO CLOTHIN</v>
      </c>
      <c r="C53" s="11"/>
      <c r="D53" s="2">
        <f>--16733.37</f>
        <v>16733.37</v>
      </c>
      <c r="E53" s="2"/>
      <c r="F53" s="19"/>
      <c r="G53" s="2"/>
      <c r="H53" s="2"/>
      <c r="I53" s="2"/>
      <c r="J53" s="19"/>
      <c r="K53" s="2"/>
      <c r="L53" s="2">
        <f t="shared" si="0"/>
        <v>16733.37</v>
      </c>
      <c r="M53" s="2"/>
      <c r="N53" s="19">
        <f t="shared" si="1"/>
        <v>0</v>
      </c>
      <c r="O53" s="11"/>
      <c r="P53" s="2">
        <f>--171525.76</f>
        <v>171525.76000000001</v>
      </c>
      <c r="Q53" s="2"/>
      <c r="R53" s="19"/>
      <c r="S53" s="2"/>
      <c r="T53" s="2"/>
      <c r="U53" s="2"/>
      <c r="V53" s="19"/>
      <c r="W53" s="2"/>
      <c r="X53" s="2">
        <f t="shared" si="2"/>
        <v>171525.76000000001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"4141", " - ", "NON-TAXABLE SALES-LOGO GIFTS")</f>
        <v xml:space="preserve">          4141 - NON-TAXABLE SALES-LOGO GIFTS</v>
      </c>
      <c r="C54" s="11"/>
      <c r="D54" s="2">
        <f>--2359.22</f>
        <v>2359.2199999999998</v>
      </c>
      <c r="E54" s="2"/>
      <c r="F54" s="19"/>
      <c r="G54" s="2"/>
      <c r="H54" s="2"/>
      <c r="I54" s="2"/>
      <c r="J54" s="19"/>
      <c r="K54" s="2"/>
      <c r="L54" s="2">
        <f t="shared" si="0"/>
        <v>2359.2199999999998</v>
      </c>
      <c r="M54" s="2"/>
      <c r="N54" s="19">
        <f t="shared" si="1"/>
        <v>0</v>
      </c>
      <c r="O54" s="11"/>
      <c r="P54" s="2">
        <f>--39156.03</f>
        <v>39156.03</v>
      </c>
      <c r="Q54" s="2"/>
      <c r="R54" s="19"/>
      <c r="S54" s="2"/>
      <c r="T54" s="2"/>
      <c r="U54" s="2"/>
      <c r="V54" s="19"/>
      <c r="W54" s="2"/>
      <c r="X54" s="2">
        <f t="shared" si="2"/>
        <v>39156.03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"4142", " - ", "NON-TAXABLE SALES-EVERYDAY GIF")</f>
        <v xml:space="preserve">          4142 - NON-TAXABLE SALES-EVERYDAY GIF</v>
      </c>
      <c r="C55" s="11"/>
      <c r="D55" s="2">
        <f>--16.35</f>
        <v>16.350000000000001</v>
      </c>
      <c r="E55" s="2"/>
      <c r="F55" s="19"/>
      <c r="G55" s="2"/>
      <c r="H55" s="2"/>
      <c r="I55" s="2"/>
      <c r="J55" s="19"/>
      <c r="K55" s="2"/>
      <c r="L55" s="2">
        <f t="shared" si="0"/>
        <v>16.350000000000001</v>
      </c>
      <c r="M55" s="2"/>
      <c r="N55" s="19">
        <f t="shared" si="1"/>
        <v>0</v>
      </c>
      <c r="O55" s="11"/>
      <c r="P55" s="2">
        <f>--2604.45</f>
        <v>2604.4499999999998</v>
      </c>
      <c r="Q55" s="2"/>
      <c r="R55" s="19"/>
      <c r="S55" s="2"/>
      <c r="T55" s="2"/>
      <c r="U55" s="2"/>
      <c r="V55" s="19"/>
      <c r="W55" s="2"/>
      <c r="X55" s="2">
        <f t="shared" si="2"/>
        <v>2604.4499999999998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"4143", " - ", "NON-TAXABLE SALES-CARDS")</f>
        <v xml:space="preserve">          4143 - NON-TAXABLE SALES-CARDS</v>
      </c>
      <c r="C56" s="11"/>
      <c r="D56" s="2">
        <f>--120.71</f>
        <v>120.71</v>
      </c>
      <c r="E56" s="2"/>
      <c r="F56" s="19"/>
      <c r="G56" s="2"/>
      <c r="H56" s="2"/>
      <c r="I56" s="2"/>
      <c r="J56" s="19"/>
      <c r="K56" s="2"/>
      <c r="L56" s="2">
        <f t="shared" si="0"/>
        <v>120.71</v>
      </c>
      <c r="M56" s="2"/>
      <c r="N56" s="19">
        <f t="shared" si="1"/>
        <v>0</v>
      </c>
      <c r="O56" s="11"/>
      <c r="P56" s="2">
        <f>--2552.16</f>
        <v>2552.16</v>
      </c>
      <c r="Q56" s="2"/>
      <c r="R56" s="19"/>
      <c r="S56" s="2"/>
      <c r="T56" s="2"/>
      <c r="U56" s="2"/>
      <c r="V56" s="19"/>
      <c r="W56" s="2"/>
      <c r="X56" s="2">
        <f t="shared" si="2"/>
        <v>2552.16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"4144", " - ", "NON-TAXABLE SALES-ACCESSORIES")</f>
        <v xml:space="preserve">          4144 - NON-TAXABLE SALES-ACCESSORIES</v>
      </c>
      <c r="C57" s="11"/>
      <c r="D57" s="2">
        <f>--164.7</f>
        <v>164.7</v>
      </c>
      <c r="E57" s="2"/>
      <c r="F57" s="19"/>
      <c r="G57" s="2"/>
      <c r="H57" s="2"/>
      <c r="I57" s="2"/>
      <c r="J57" s="19"/>
      <c r="K57" s="2"/>
      <c r="L57" s="2">
        <f t="shared" si="0"/>
        <v>164.7</v>
      </c>
      <c r="M57" s="2"/>
      <c r="N57" s="19">
        <f t="shared" si="1"/>
        <v>0</v>
      </c>
      <c r="O57" s="11"/>
      <c r="P57" s="2">
        <f>--873.8</f>
        <v>873.8</v>
      </c>
      <c r="Q57" s="2"/>
      <c r="R57" s="19"/>
      <c r="S57" s="2"/>
      <c r="T57" s="2"/>
      <c r="U57" s="2"/>
      <c r="V57" s="19"/>
      <c r="W57" s="2"/>
      <c r="X57" s="2">
        <f t="shared" si="2"/>
        <v>873.8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"4145", " - ", "NON-TAXABLE SALES-SPECIAL ORDE")</f>
        <v xml:space="preserve">          4145 - NON-TAXABLE SALES-SPECIAL ORDE</v>
      </c>
      <c r="C58" s="11"/>
      <c r="D58" s="2">
        <f>0</f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--74066.89</f>
        <v>74066.89</v>
      </c>
      <c r="Q58" s="2"/>
      <c r="R58" s="19"/>
      <c r="S58" s="2"/>
      <c r="T58" s="2"/>
      <c r="U58" s="2"/>
      <c r="V58" s="19"/>
      <c r="W58" s="2"/>
      <c r="X58" s="2">
        <f t="shared" si="2"/>
        <v>74066.89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"4146", " - ", "NON-TAXABLE SALES-COIN OP MACH")</f>
        <v xml:space="preserve">          4146 - NON-TAXABLE SALES-COIN OP MACH</v>
      </c>
      <c r="C59" s="11"/>
      <c r="D59" s="2">
        <f>--56.6</f>
        <v>56.6</v>
      </c>
      <c r="E59" s="2"/>
      <c r="F59" s="19"/>
      <c r="G59" s="2"/>
      <c r="H59" s="2"/>
      <c r="I59" s="2"/>
      <c r="J59" s="19"/>
      <c r="K59" s="2"/>
      <c r="L59" s="2">
        <f t="shared" si="0"/>
        <v>56.6</v>
      </c>
      <c r="M59" s="2"/>
      <c r="N59" s="19">
        <f t="shared" si="1"/>
        <v>0</v>
      </c>
      <c r="O59" s="11"/>
      <c r="P59" s="2">
        <f>--385.9</f>
        <v>385.9</v>
      </c>
      <c r="Q59" s="2"/>
      <c r="R59" s="19"/>
      <c r="S59" s="2"/>
      <c r="T59" s="2"/>
      <c r="U59" s="2"/>
      <c r="V59" s="19"/>
      <c r="W59" s="2"/>
      <c r="X59" s="2">
        <f t="shared" si="2"/>
        <v>385.9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"4147", " - ", "NON-TAXABLE SALES-MISC")</f>
        <v xml:space="preserve">          4147 - NON-TAXABLE SALES-MISC</v>
      </c>
      <c r="C60" s="11"/>
      <c r="D60" s="2">
        <f>--13.5</f>
        <v>13.5</v>
      </c>
      <c r="E60" s="2"/>
      <c r="F60" s="19"/>
      <c r="G60" s="2"/>
      <c r="H60" s="2"/>
      <c r="I60" s="2"/>
      <c r="J60" s="19"/>
      <c r="K60" s="2"/>
      <c r="L60" s="2">
        <f t="shared" si="0"/>
        <v>13.5</v>
      </c>
      <c r="M60" s="2"/>
      <c r="N60" s="19">
        <f t="shared" si="1"/>
        <v>0</v>
      </c>
      <c r="O60" s="11"/>
      <c r="P60" s="2">
        <f>--168</f>
        <v>168</v>
      </c>
      <c r="Q60" s="2"/>
      <c r="R60" s="19"/>
      <c r="S60" s="2"/>
      <c r="T60" s="2"/>
      <c r="U60" s="2"/>
      <c r="V60" s="19"/>
      <c r="W60" s="2"/>
      <c r="X60" s="2">
        <f t="shared" si="2"/>
        <v>168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"4181", " - ", "NON-TAXABLE SALES-ELECTRONICS")</f>
        <v xml:space="preserve">          4181 - NON-TAXABLE SALES-ELECTRONICS</v>
      </c>
      <c r="C61" s="11"/>
      <c r="D61" s="2">
        <f>--1779.96</f>
        <v>1779.96</v>
      </c>
      <c r="E61" s="2"/>
      <c r="F61" s="19"/>
      <c r="G61" s="2"/>
      <c r="H61" s="2"/>
      <c r="I61" s="2"/>
      <c r="J61" s="19"/>
      <c r="K61" s="2"/>
      <c r="L61" s="2">
        <f t="shared" si="0"/>
        <v>1779.96</v>
      </c>
      <c r="M61" s="2"/>
      <c r="N61" s="19">
        <f t="shared" si="1"/>
        <v>0</v>
      </c>
      <c r="O61" s="11"/>
      <c r="P61" s="2">
        <f>--14288.58</f>
        <v>14288.58</v>
      </c>
      <c r="Q61" s="2"/>
      <c r="R61" s="19"/>
      <c r="S61" s="2"/>
      <c r="T61" s="2"/>
      <c r="U61" s="2"/>
      <c r="V61" s="19"/>
      <c r="W61" s="2"/>
      <c r="X61" s="2">
        <f t="shared" si="2"/>
        <v>14288.58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"4182", " - ", "NON-TAXABLE SALES-COMPUTER HAR")</f>
        <v xml:space="preserve">          4182 - NON-TAXABLE SALES-COMPUTER HAR</v>
      </c>
      <c r="C62" s="11"/>
      <c r="D62" s="2">
        <f>--33038.75</f>
        <v>33038.75</v>
      </c>
      <c r="E62" s="2"/>
      <c r="F62" s="19"/>
      <c r="G62" s="2"/>
      <c r="H62" s="2"/>
      <c r="I62" s="2"/>
      <c r="J62" s="19"/>
      <c r="K62" s="2"/>
      <c r="L62" s="2">
        <f t="shared" si="0"/>
        <v>33038.75</v>
      </c>
      <c r="M62" s="2"/>
      <c r="N62" s="19">
        <f t="shared" si="1"/>
        <v>0</v>
      </c>
      <c r="O62" s="11"/>
      <c r="P62" s="2">
        <f>--347529.22</f>
        <v>347529.22</v>
      </c>
      <c r="Q62" s="2"/>
      <c r="R62" s="19"/>
      <c r="S62" s="2"/>
      <c r="T62" s="2"/>
      <c r="U62" s="2"/>
      <c r="V62" s="19"/>
      <c r="W62" s="2"/>
      <c r="X62" s="2">
        <f t="shared" si="2"/>
        <v>347529.22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"4183", " - ", "NON-TAXABLE SALES-COMPUTER EQU")</f>
        <v xml:space="preserve">          4183 - NON-TAXABLE SALES-COMPUTER EQU</v>
      </c>
      <c r="C63" s="11"/>
      <c r="D63" s="2">
        <f>--2959.73</f>
        <v>2959.73</v>
      </c>
      <c r="E63" s="2"/>
      <c r="F63" s="19"/>
      <c r="G63" s="2"/>
      <c r="H63" s="2"/>
      <c r="I63" s="2"/>
      <c r="J63" s="19"/>
      <c r="K63" s="2"/>
      <c r="L63" s="2">
        <f t="shared" si="0"/>
        <v>2959.73</v>
      </c>
      <c r="M63" s="2"/>
      <c r="N63" s="19">
        <f t="shared" si="1"/>
        <v>0</v>
      </c>
      <c r="O63" s="11"/>
      <c r="P63" s="2">
        <f>--22445.75</f>
        <v>22445.75</v>
      </c>
      <c r="Q63" s="2"/>
      <c r="R63" s="19"/>
      <c r="S63" s="2"/>
      <c r="T63" s="2"/>
      <c r="U63" s="2"/>
      <c r="V63" s="19"/>
      <c r="W63" s="2"/>
      <c r="X63" s="2">
        <f t="shared" si="2"/>
        <v>22445.75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"4185", " - ", "NON-TAXABLE SALES-SOFTWARE")</f>
        <v xml:space="preserve">          4185 - NON-TAXABLE SALES-SOFTWARE</v>
      </c>
      <c r="C64" s="11"/>
      <c r="D64" s="2">
        <f>--5925.22</f>
        <v>5925.22</v>
      </c>
      <c r="E64" s="2"/>
      <c r="F64" s="19"/>
      <c r="G64" s="2"/>
      <c r="H64" s="2"/>
      <c r="I64" s="2"/>
      <c r="J64" s="19"/>
      <c r="K64" s="2"/>
      <c r="L64" s="2">
        <f t="shared" si="0"/>
        <v>5925.22</v>
      </c>
      <c r="M64" s="2"/>
      <c r="N64" s="19">
        <f t="shared" si="1"/>
        <v>0</v>
      </c>
      <c r="O64" s="11"/>
      <c r="P64" s="2">
        <f>--55957.61</f>
        <v>55957.61</v>
      </c>
      <c r="Q64" s="2"/>
      <c r="R64" s="19"/>
      <c r="S64" s="2"/>
      <c r="T64" s="2"/>
      <c r="U64" s="2"/>
      <c r="V64" s="19"/>
      <c r="W64" s="2"/>
      <c r="X64" s="2">
        <f t="shared" si="2"/>
        <v>55957.61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"4186", " - ", "NON-TAXABLE SALES-COMPUTER SUP")</f>
        <v xml:space="preserve">          4186 - NON-TAXABLE SALES-COMPUTER SUP</v>
      </c>
      <c r="C65" s="11"/>
      <c r="D65" s="2">
        <f>--133.97</f>
        <v>133.97</v>
      </c>
      <c r="E65" s="2"/>
      <c r="F65" s="19"/>
      <c r="G65" s="2"/>
      <c r="H65" s="2"/>
      <c r="I65" s="2"/>
      <c r="J65" s="19"/>
      <c r="K65" s="2"/>
      <c r="L65" s="2">
        <f t="shared" si="0"/>
        <v>133.97</v>
      </c>
      <c r="M65" s="2"/>
      <c r="N65" s="19">
        <f t="shared" si="1"/>
        <v>0</v>
      </c>
      <c r="O65" s="11"/>
      <c r="P65" s="2">
        <f>--3479.14</f>
        <v>3479.14</v>
      </c>
      <c r="Q65" s="2"/>
      <c r="R65" s="19"/>
      <c r="S65" s="2"/>
      <c r="T65" s="2"/>
      <c r="U65" s="2"/>
      <c r="V65" s="19"/>
      <c r="W65" s="2"/>
      <c r="X65" s="2">
        <f t="shared" si="2"/>
        <v>3479.14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"4201", " - ", "SALES RETURN TAXABLE-NEW TEXT")</f>
        <v xml:space="preserve">          4201 - SALES RETURN TAXABLE-NEW TEXT</v>
      </c>
      <c r="C66" s="11"/>
      <c r="D66" s="2">
        <f>-658.4</f>
        <v>-658.4</v>
      </c>
      <c r="E66" s="2"/>
      <c r="F66" s="19"/>
      <c r="G66" s="2"/>
      <c r="H66" s="2"/>
      <c r="I66" s="2"/>
      <c r="J66" s="19"/>
      <c r="K66" s="2"/>
      <c r="L66" s="2">
        <f t="shared" si="0"/>
        <v>-658.4</v>
      </c>
      <c r="M66" s="2"/>
      <c r="N66" s="19">
        <f t="shared" si="1"/>
        <v>0</v>
      </c>
      <c r="O66" s="11"/>
      <c r="P66" s="2">
        <f>-52296.42</f>
        <v>-52296.42</v>
      </c>
      <c r="Q66" s="2"/>
      <c r="R66" s="19"/>
      <c r="S66" s="2"/>
      <c r="T66" s="2"/>
      <c r="U66" s="2"/>
      <c r="V66" s="19"/>
      <c r="W66" s="2"/>
      <c r="X66" s="2">
        <f t="shared" si="2"/>
        <v>-52296.42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"4202", " - ", "SALES RETURN TAXABLE-USED TEXT")</f>
        <v xml:space="preserve">          4202 - SALES RETURN TAXABLE-USED TEXT</v>
      </c>
      <c r="C67" s="11"/>
      <c r="D67" s="2">
        <f>-359.4</f>
        <v>-359.4</v>
      </c>
      <c r="E67" s="2"/>
      <c r="F67" s="19"/>
      <c r="G67" s="2"/>
      <c r="H67" s="2"/>
      <c r="I67" s="2"/>
      <c r="J67" s="19"/>
      <c r="K67" s="2"/>
      <c r="L67" s="2">
        <f t="shared" si="0"/>
        <v>-359.4</v>
      </c>
      <c r="M67" s="2"/>
      <c r="N67" s="19">
        <f t="shared" si="1"/>
        <v>0</v>
      </c>
      <c r="O67" s="11"/>
      <c r="P67" s="2">
        <f>-20455.66</f>
        <v>-20455.66</v>
      </c>
      <c r="Q67" s="2"/>
      <c r="R67" s="19"/>
      <c r="S67" s="2"/>
      <c r="T67" s="2"/>
      <c r="U67" s="2"/>
      <c r="V67" s="19"/>
      <c r="W67" s="2"/>
      <c r="X67" s="2">
        <f t="shared" si="2"/>
        <v>-20455.66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"4204", " - ", "SALES RETURN TAXABLE-DIGITAL T")</f>
        <v xml:space="preserve">          4204 - SALES RETURN TAXABLE-DIGITAL T</v>
      </c>
      <c r="C68" s="11"/>
      <c r="D68" s="2">
        <f>0</f>
        <v>0</v>
      </c>
      <c r="E68" s="2"/>
      <c r="F68" s="19"/>
      <c r="G68" s="2"/>
      <c r="H68" s="2"/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>-1763.1</f>
        <v>-1763.1</v>
      </c>
      <c r="Q68" s="2"/>
      <c r="R68" s="19"/>
      <c r="S68" s="2"/>
      <c r="T68" s="2"/>
      <c r="U68" s="2"/>
      <c r="V68" s="19"/>
      <c r="W68" s="2"/>
      <c r="X68" s="2">
        <f t="shared" si="2"/>
        <v>-1763.1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"4213", " - ", "NON-TAXABLE SALES-TRADE BOOKS")</f>
        <v xml:space="preserve">          4213 - NON-TAXABLE SALES-TRADE BOOKS</v>
      </c>
      <c r="C69" s="11"/>
      <c r="D69" s="2">
        <f>-8.99</f>
        <v>-8.99</v>
      </c>
      <c r="E69" s="2"/>
      <c r="F69" s="19"/>
      <c r="G69" s="2"/>
      <c r="H69" s="2"/>
      <c r="I69" s="2"/>
      <c r="J69" s="19"/>
      <c r="K69" s="2"/>
      <c r="L69" s="2">
        <f t="shared" si="0"/>
        <v>-8.99</v>
      </c>
      <c r="M69" s="2"/>
      <c r="N69" s="19">
        <f t="shared" si="1"/>
        <v>0</v>
      </c>
      <c r="O69" s="11"/>
      <c r="P69" s="2">
        <f>-78.92</f>
        <v>-78.92</v>
      </c>
      <c r="Q69" s="2"/>
      <c r="R69" s="19"/>
      <c r="S69" s="2"/>
      <c r="T69" s="2"/>
      <c r="U69" s="2"/>
      <c r="V69" s="19"/>
      <c r="W69" s="2"/>
      <c r="X69" s="2">
        <f t="shared" si="2"/>
        <v>-78.92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"4218", " - ", "SALES RETURN TAXABLE-STUDY GUI")</f>
        <v xml:space="preserve">          4218 - SALES RETURN TAXABLE-STUDY GUI</v>
      </c>
      <c r="C70" s="11"/>
      <c r="D70" s="2">
        <f>0</f>
        <v>0</v>
      </c>
      <c r="E70" s="2"/>
      <c r="F70" s="19"/>
      <c r="G70" s="2"/>
      <c r="H70" s="2"/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-5.21</f>
        <v>-5.21</v>
      </c>
      <c r="Q70" s="2"/>
      <c r="R70" s="19"/>
      <c r="S70" s="2"/>
      <c r="T70" s="2"/>
      <c r="U70" s="2"/>
      <c r="V70" s="19"/>
      <c r="W70" s="2"/>
      <c r="X70" s="2">
        <f t="shared" si="2"/>
        <v>-5.21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"4226", " - ", "SALES RETURN TAXABLE-WRITING I")</f>
        <v xml:space="preserve">          4226 - SALES RETURN TAXABLE-WRITING I</v>
      </c>
      <c r="C71" s="11"/>
      <c r="D71" s="2">
        <f>-0.79</f>
        <v>-0.79</v>
      </c>
      <c r="E71" s="2"/>
      <c r="F71" s="19"/>
      <c r="G71" s="2"/>
      <c r="H71" s="2"/>
      <c r="I71" s="2"/>
      <c r="J71" s="19"/>
      <c r="K71" s="2"/>
      <c r="L71" s="2">
        <f t="shared" si="0"/>
        <v>-0.79</v>
      </c>
      <c r="M71" s="2"/>
      <c r="N71" s="19">
        <f t="shared" si="1"/>
        <v>0</v>
      </c>
      <c r="O71" s="11"/>
      <c r="P71" s="2">
        <f>-35.02</f>
        <v>-35.020000000000003</v>
      </c>
      <c r="Q71" s="2"/>
      <c r="R71" s="19"/>
      <c r="S71" s="2"/>
      <c r="T71" s="2"/>
      <c r="U71" s="2"/>
      <c r="V71" s="19"/>
      <c r="W71" s="2"/>
      <c r="X71" s="2">
        <f t="shared" si="2"/>
        <v>-35.020000000000003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"4227", " - ", "SALES RETURN TAXABLE-SCHOOL SU")</f>
        <v xml:space="preserve">          4227 - SALES RETURN TAXABLE-SCHOOL SU</v>
      </c>
      <c r="C72" s="11"/>
      <c r="D72" s="2">
        <f>-137.82</f>
        <v>-137.82</v>
      </c>
      <c r="E72" s="2"/>
      <c r="F72" s="19"/>
      <c r="G72" s="2"/>
      <c r="H72" s="2"/>
      <c r="I72" s="2"/>
      <c r="J72" s="19"/>
      <c r="K72" s="2"/>
      <c r="L72" s="2">
        <f t="shared" si="0"/>
        <v>-137.82</v>
      </c>
      <c r="M72" s="2"/>
      <c r="N72" s="19">
        <f t="shared" si="1"/>
        <v>0</v>
      </c>
      <c r="O72" s="11"/>
      <c r="P72" s="2">
        <f>-1484.48</f>
        <v>-1484.48</v>
      </c>
      <c r="Q72" s="2"/>
      <c r="R72" s="19"/>
      <c r="S72" s="2"/>
      <c r="T72" s="2"/>
      <c r="U72" s="2"/>
      <c r="V72" s="19"/>
      <c r="W72" s="2"/>
      <c r="X72" s="2">
        <f t="shared" si="2"/>
        <v>-1484.48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"4228", " - ", "SALES RETURN TAXABLE-ART/TECH")</f>
        <v xml:space="preserve">          4228 - SALES RETURN TAXABLE-ART/TECH</v>
      </c>
      <c r="C73" s="11"/>
      <c r="D73" s="2">
        <f>0</f>
        <v>0</v>
      </c>
      <c r="E73" s="2"/>
      <c r="F73" s="19"/>
      <c r="G73" s="2"/>
      <c r="H73" s="2"/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-12973.73</f>
        <v>-12973.73</v>
      </c>
      <c r="Q73" s="2"/>
      <c r="R73" s="19"/>
      <c r="S73" s="2"/>
      <c r="T73" s="2"/>
      <c r="U73" s="2"/>
      <c r="V73" s="19"/>
      <c r="W73" s="2"/>
      <c r="X73" s="2">
        <f t="shared" si="2"/>
        <v>-12973.73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"4240", " - ", "SALES RETURN TAXABLE-LOGO CLOT")</f>
        <v xml:space="preserve">          4240 - SALES RETURN TAXABLE-LOGO CLOT</v>
      </c>
      <c r="C74" s="11"/>
      <c r="D74" s="2">
        <f>-6427.17</f>
        <v>-6427.17</v>
      </c>
      <c r="E74" s="2"/>
      <c r="F74" s="19"/>
      <c r="G74" s="2"/>
      <c r="H74" s="2"/>
      <c r="I74" s="2"/>
      <c r="J74" s="19"/>
      <c r="K74" s="2"/>
      <c r="L74" s="2">
        <f t="shared" si="0"/>
        <v>-6427.17</v>
      </c>
      <c r="M74" s="2"/>
      <c r="N74" s="19">
        <f t="shared" si="1"/>
        <v>0</v>
      </c>
      <c r="O74" s="11"/>
      <c r="P74" s="2">
        <f>-47093.44</f>
        <v>-47093.440000000002</v>
      </c>
      <c r="Q74" s="2"/>
      <c r="R74" s="19"/>
      <c r="S74" s="2"/>
      <c r="T74" s="2"/>
      <c r="U74" s="2"/>
      <c r="V74" s="19"/>
      <c r="W74" s="2"/>
      <c r="X74" s="2">
        <f t="shared" si="2"/>
        <v>-47093.440000000002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"4241", " - ", "SALES RETURN TAXABLE-LOGO GIFT")</f>
        <v xml:space="preserve">          4241 - SALES RETURN TAXABLE-LOGO GIFT</v>
      </c>
      <c r="C75" s="11"/>
      <c r="D75" s="2">
        <f>-4505.29</f>
        <v>-4505.29</v>
      </c>
      <c r="E75" s="2"/>
      <c r="F75" s="19"/>
      <c r="G75" s="2"/>
      <c r="H75" s="2"/>
      <c r="I75" s="2"/>
      <c r="J75" s="19"/>
      <c r="K75" s="2"/>
      <c r="L75" s="2">
        <f t="shared" si="0"/>
        <v>-4505.29</v>
      </c>
      <c r="M75" s="2"/>
      <c r="N75" s="19">
        <f t="shared" si="1"/>
        <v>0</v>
      </c>
      <c r="O75" s="11"/>
      <c r="P75" s="2">
        <f>-16680.54</f>
        <v>-16680.54</v>
      </c>
      <c r="Q75" s="2"/>
      <c r="R75" s="19"/>
      <c r="S75" s="2"/>
      <c r="T75" s="2"/>
      <c r="U75" s="2"/>
      <c r="V75" s="19"/>
      <c r="W75" s="2"/>
      <c r="X75" s="2">
        <f t="shared" si="2"/>
        <v>-16680.54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"4242", " - ", "SALES RETURN TAXABLE-EVERYDAY")</f>
        <v xml:space="preserve">          4242 - SALES RETURN TAXABLE-EVERYDAY</v>
      </c>
      <c r="C76" s="11"/>
      <c r="D76" s="2">
        <f>-107</f>
        <v>-107</v>
      </c>
      <c r="E76" s="2"/>
      <c r="F76" s="19"/>
      <c r="G76" s="2"/>
      <c r="H76" s="2"/>
      <c r="I76" s="2"/>
      <c r="J76" s="19"/>
      <c r="K76" s="2"/>
      <c r="L76" s="2">
        <f t="shared" si="0"/>
        <v>-107</v>
      </c>
      <c r="M76" s="2"/>
      <c r="N76" s="19">
        <f t="shared" si="1"/>
        <v>0</v>
      </c>
      <c r="O76" s="11"/>
      <c r="P76" s="2">
        <f>-2743.09</f>
        <v>-2743.09</v>
      </c>
      <c r="Q76" s="2"/>
      <c r="R76" s="19"/>
      <c r="S76" s="2"/>
      <c r="T76" s="2"/>
      <c r="U76" s="2"/>
      <c r="V76" s="19"/>
      <c r="W76" s="2"/>
      <c r="X76" s="2">
        <f t="shared" si="2"/>
        <v>-2743.09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"4243", " - ", "SALES RETURN TAXABLE-CARDS")</f>
        <v xml:space="preserve">          4243 - SALES RETURN TAXABLE-CARDS</v>
      </c>
      <c r="C77" s="11"/>
      <c r="D77" s="2">
        <f>-76.9</f>
        <v>-76.900000000000006</v>
      </c>
      <c r="E77" s="2"/>
      <c r="F77" s="19"/>
      <c r="G77" s="2"/>
      <c r="H77" s="2"/>
      <c r="I77" s="2"/>
      <c r="J77" s="19"/>
      <c r="K77" s="2"/>
      <c r="L77" s="2">
        <f t="shared" si="0"/>
        <v>-76.900000000000006</v>
      </c>
      <c r="M77" s="2"/>
      <c r="N77" s="19">
        <f t="shared" si="1"/>
        <v>0</v>
      </c>
      <c r="O77" s="11"/>
      <c r="P77" s="2">
        <f>-6218.99</f>
        <v>-6218.99</v>
      </c>
      <c r="Q77" s="2"/>
      <c r="R77" s="19"/>
      <c r="S77" s="2"/>
      <c r="T77" s="2"/>
      <c r="U77" s="2"/>
      <c r="V77" s="19"/>
      <c r="W77" s="2"/>
      <c r="X77" s="2">
        <f t="shared" si="2"/>
        <v>-6218.99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"4244", " - ", "SALES RETURN TAXABLE-ACCESSORI")</f>
        <v xml:space="preserve">          4244 - SALES RETURN TAXABLE-ACCESSORI</v>
      </c>
      <c r="C78" s="11"/>
      <c r="D78" s="2">
        <f>-24.41</f>
        <v>-24.41</v>
      </c>
      <c r="E78" s="2"/>
      <c r="F78" s="19"/>
      <c r="G78" s="2"/>
      <c r="H78" s="2"/>
      <c r="I78" s="2"/>
      <c r="J78" s="19"/>
      <c r="K78" s="2"/>
      <c r="L78" s="2">
        <f t="shared" si="0"/>
        <v>-24.41</v>
      </c>
      <c r="M78" s="2"/>
      <c r="N78" s="19">
        <f t="shared" si="1"/>
        <v>0</v>
      </c>
      <c r="O78" s="11"/>
      <c r="P78" s="2">
        <f>-1267.91</f>
        <v>-1267.9100000000001</v>
      </c>
      <c r="Q78" s="2"/>
      <c r="R78" s="19"/>
      <c r="S78" s="2"/>
      <c r="T78" s="2"/>
      <c r="U78" s="2"/>
      <c r="V78" s="19"/>
      <c r="W78" s="2"/>
      <c r="X78" s="2">
        <f t="shared" si="2"/>
        <v>-1267.9100000000001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"4245", " - ", "SALES RETURN TAXABLE-SPECIAL O")</f>
        <v xml:space="preserve">          4245 - SALES RETURN TAXABLE-SPECIAL O</v>
      </c>
      <c r="C79" s="11"/>
      <c r="D79" s="2">
        <f>-36</f>
        <v>-36</v>
      </c>
      <c r="E79" s="2"/>
      <c r="F79" s="19"/>
      <c r="G79" s="2"/>
      <c r="H79" s="2"/>
      <c r="I79" s="2"/>
      <c r="J79" s="19"/>
      <c r="K79" s="2"/>
      <c r="L79" s="2">
        <f t="shared" si="0"/>
        <v>-36</v>
      </c>
      <c r="M79" s="2"/>
      <c r="N79" s="19">
        <f t="shared" si="1"/>
        <v>0</v>
      </c>
      <c r="O79" s="11"/>
      <c r="P79" s="2">
        <f>-15460.73</f>
        <v>-15460.73</v>
      </c>
      <c r="Q79" s="2"/>
      <c r="R79" s="19"/>
      <c r="S79" s="2"/>
      <c r="T79" s="2"/>
      <c r="U79" s="2"/>
      <c r="V79" s="19"/>
      <c r="W79" s="2"/>
      <c r="X79" s="2">
        <f t="shared" si="2"/>
        <v>-15460.73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"4281", " - ", "SALES RETURN TAXABLE-ELECTRONI")</f>
        <v xml:space="preserve">          4281 - SALES RETURN TAXABLE-ELECTRONI</v>
      </c>
      <c r="C80" s="11"/>
      <c r="D80" s="2">
        <f>-79.99</f>
        <v>-79.989999999999995</v>
      </c>
      <c r="E80" s="2"/>
      <c r="F80" s="19"/>
      <c r="G80" s="2"/>
      <c r="H80" s="2"/>
      <c r="I80" s="2"/>
      <c r="J80" s="19"/>
      <c r="K80" s="2"/>
      <c r="L80" s="2">
        <f t="shared" si="0"/>
        <v>-79.989999999999995</v>
      </c>
      <c r="M80" s="2"/>
      <c r="N80" s="19">
        <f t="shared" si="1"/>
        <v>0</v>
      </c>
      <c r="O80" s="11"/>
      <c r="P80" s="2">
        <f>-14842.13</f>
        <v>-14842.13</v>
      </c>
      <c r="Q80" s="2"/>
      <c r="R80" s="19"/>
      <c r="S80" s="2"/>
      <c r="T80" s="2"/>
      <c r="U80" s="2"/>
      <c r="V80" s="19"/>
      <c r="W80" s="2"/>
      <c r="X80" s="2">
        <f t="shared" si="2"/>
        <v>-14842.13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"4282", " - ", "SALES RETURN TAXABLE-COMPUTER")</f>
        <v xml:space="preserve">          4282 - SALES RETURN TAXABLE-COMPUTER</v>
      </c>
      <c r="C81" s="11"/>
      <c r="D81" s="2">
        <f>-25075.01</f>
        <v>-25075.01</v>
      </c>
      <c r="E81" s="2"/>
      <c r="F81" s="19"/>
      <c r="G81" s="2"/>
      <c r="H81" s="2"/>
      <c r="I81" s="2"/>
      <c r="J81" s="19"/>
      <c r="K81" s="2"/>
      <c r="L81" s="2">
        <f t="shared" si="0"/>
        <v>-25075.01</v>
      </c>
      <c r="M81" s="2"/>
      <c r="N81" s="19">
        <f t="shared" si="1"/>
        <v>0</v>
      </c>
      <c r="O81" s="11"/>
      <c r="P81" s="2">
        <f>-240220.17</f>
        <v>-240220.17</v>
      </c>
      <c r="Q81" s="2"/>
      <c r="R81" s="19"/>
      <c r="S81" s="2"/>
      <c r="T81" s="2"/>
      <c r="U81" s="2"/>
      <c r="V81" s="19"/>
      <c r="W81" s="2"/>
      <c r="X81" s="2">
        <f t="shared" si="2"/>
        <v>-240220.17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"4283", " - ", "SALES RETURN TAXABLE-COMPUTER")</f>
        <v xml:space="preserve">          4283 - SALES RETURN TAXABLE-COMPUTER</v>
      </c>
      <c r="C82" s="11"/>
      <c r="D82" s="2">
        <f>-181.97</f>
        <v>-181.97</v>
      </c>
      <c r="E82" s="2"/>
      <c r="F82" s="19"/>
      <c r="G82" s="2"/>
      <c r="H82" s="2"/>
      <c r="I82" s="2"/>
      <c r="J82" s="19"/>
      <c r="K82" s="2"/>
      <c r="L82" s="2">
        <f t="shared" si="0"/>
        <v>-181.97</v>
      </c>
      <c r="M82" s="2"/>
      <c r="N82" s="19">
        <f t="shared" si="1"/>
        <v>0</v>
      </c>
      <c r="O82" s="11"/>
      <c r="P82" s="2">
        <f>-4129.17</f>
        <v>-4129.17</v>
      </c>
      <c r="Q82" s="2"/>
      <c r="R82" s="19"/>
      <c r="S82" s="2"/>
      <c r="T82" s="2"/>
      <c r="U82" s="2"/>
      <c r="V82" s="19"/>
      <c r="W82" s="2"/>
      <c r="X82" s="2">
        <f t="shared" si="2"/>
        <v>-4129.17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"4285", " - ", "SALES RETURN TAXABLE-SOFTWARE")</f>
        <v xml:space="preserve">          4285 - SALES RETURN TAXABLE-SOFTWARE</v>
      </c>
      <c r="C83" s="11"/>
      <c r="D83" s="2">
        <f t="shared" ref="D83:D84" si="6">0</f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-1091.79</f>
        <v>-1091.79</v>
      </c>
      <c r="Q83" s="2"/>
      <c r="R83" s="19"/>
      <c r="S83" s="2"/>
      <c r="T83" s="2"/>
      <c r="U83" s="2"/>
      <c r="V83" s="19"/>
      <c r="W83" s="2"/>
      <c r="X83" s="2">
        <f t="shared" si="2"/>
        <v>-1091.79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"4286", " - ", "SALES RETURN TAXABLE-COMPUTER")</f>
        <v xml:space="preserve">          4286 - SALES RETURN TAXABLE-COMPUTER</v>
      </c>
      <c r="C84" s="11"/>
      <c r="D84" s="2">
        <f t="shared" si="6"/>
        <v>0</v>
      </c>
      <c r="E84" s="2"/>
      <c r="F84" s="19"/>
      <c r="G84" s="2"/>
      <c r="H84" s="2"/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-4802.29</f>
        <v>-4802.29</v>
      </c>
      <c r="Q84" s="2"/>
      <c r="R84" s="19"/>
      <c r="S84" s="2"/>
      <c r="T84" s="2"/>
      <c r="U84" s="2"/>
      <c r="V84" s="19"/>
      <c r="W84" s="2"/>
      <c r="X84" s="2">
        <f t="shared" si="2"/>
        <v>-4802.29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"4301", " - ", "SALES RETURN NON TAXABLE-NEW T")</f>
        <v xml:space="preserve">          4301 - SALES RETURN NON TAXABLE-NEW T</v>
      </c>
      <c r="C85" s="11"/>
      <c r="D85" s="2">
        <f>-1333.16</f>
        <v>-1333.16</v>
      </c>
      <c r="E85" s="2"/>
      <c r="F85" s="19"/>
      <c r="G85" s="2"/>
      <c r="H85" s="2"/>
      <c r="I85" s="2"/>
      <c r="J85" s="19"/>
      <c r="K85" s="2"/>
      <c r="L85" s="2">
        <f t="shared" si="0"/>
        <v>-1333.16</v>
      </c>
      <c r="M85" s="2"/>
      <c r="N85" s="19">
        <f t="shared" si="1"/>
        <v>0</v>
      </c>
      <c r="O85" s="11"/>
      <c r="P85" s="2">
        <f>-4796.36</f>
        <v>-4796.3599999999997</v>
      </c>
      <c r="Q85" s="2"/>
      <c r="R85" s="19"/>
      <c r="S85" s="2"/>
      <c r="T85" s="2"/>
      <c r="U85" s="2"/>
      <c r="V85" s="19"/>
      <c r="W85" s="2"/>
      <c r="X85" s="2">
        <f t="shared" si="2"/>
        <v>-4796.3599999999997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"4302", " - ", "SALES RETURN NON TAXABLE-TEXT")</f>
        <v xml:space="preserve">          4302 - SALES RETURN NON TAXABLE-TEXT</v>
      </c>
      <c r="C86" s="11"/>
      <c r="D86" s="2">
        <f>-134.22</f>
        <v>-134.22</v>
      </c>
      <c r="E86" s="2"/>
      <c r="F86" s="19"/>
      <c r="G86" s="2"/>
      <c r="H86" s="2"/>
      <c r="I86" s="2"/>
      <c r="J86" s="19"/>
      <c r="K86" s="2"/>
      <c r="L86" s="2">
        <f t="shared" si="0"/>
        <v>-134.22</v>
      </c>
      <c r="M86" s="2"/>
      <c r="N86" s="19">
        <f t="shared" si="1"/>
        <v>0</v>
      </c>
      <c r="O86" s="11"/>
      <c r="P86" s="2">
        <f>-2577.54</f>
        <v>-2577.54</v>
      </c>
      <c r="Q86" s="2"/>
      <c r="R86" s="19"/>
      <c r="S86" s="2"/>
      <c r="T86" s="2"/>
      <c r="U86" s="2"/>
      <c r="V86" s="19"/>
      <c r="W86" s="2"/>
      <c r="X86" s="2">
        <f t="shared" si="2"/>
        <v>-2577.54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"4304", " - ", "SALES RETURN NON TAXABLE-DIGIT")</f>
        <v xml:space="preserve">          4304 - SALES RETURN NON TAXABLE-DIGIT</v>
      </c>
      <c r="C87" s="11"/>
      <c r="D87" s="2">
        <f>-3338.22</f>
        <v>-3338.22</v>
      </c>
      <c r="E87" s="2"/>
      <c r="F87" s="19"/>
      <c r="G87" s="2"/>
      <c r="H87" s="2"/>
      <c r="I87" s="2"/>
      <c r="J87" s="19"/>
      <c r="K87" s="2"/>
      <c r="L87" s="2">
        <f t="shared" si="0"/>
        <v>-3338.22</v>
      </c>
      <c r="M87" s="2"/>
      <c r="N87" s="19">
        <f t="shared" si="1"/>
        <v>0</v>
      </c>
      <c r="O87" s="11"/>
      <c r="P87" s="2">
        <f>-30881.98</f>
        <v>-30881.98</v>
      </c>
      <c r="Q87" s="2"/>
      <c r="R87" s="19"/>
      <c r="S87" s="2"/>
      <c r="T87" s="2"/>
      <c r="U87" s="2"/>
      <c r="V87" s="19"/>
      <c r="W87" s="2"/>
      <c r="X87" s="2">
        <f t="shared" si="2"/>
        <v>-30881.98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"4327", " - ", "SALES RETURN NON TAXABLE-SCHOO")</f>
        <v xml:space="preserve">          4327 - SALES RETURN NON TAXABLE-SCHOO</v>
      </c>
      <c r="C88" s="11"/>
      <c r="D88" s="2">
        <f>-17.41</f>
        <v>-17.41</v>
      </c>
      <c r="E88" s="2"/>
      <c r="F88" s="19"/>
      <c r="G88" s="2"/>
      <c r="H88" s="2"/>
      <c r="I88" s="2"/>
      <c r="J88" s="19"/>
      <c r="K88" s="2"/>
      <c r="L88" s="2">
        <f t="shared" si="0"/>
        <v>-17.41</v>
      </c>
      <c r="M88" s="2"/>
      <c r="N88" s="19">
        <f t="shared" si="1"/>
        <v>0</v>
      </c>
      <c r="O88" s="11"/>
      <c r="P88" s="2">
        <f>-17.41</f>
        <v>-17.41</v>
      </c>
      <c r="Q88" s="2"/>
      <c r="R88" s="19"/>
      <c r="S88" s="2"/>
      <c r="T88" s="2"/>
      <c r="U88" s="2"/>
      <c r="V88" s="19"/>
      <c r="W88" s="2"/>
      <c r="X88" s="2">
        <f t="shared" si="2"/>
        <v>-17.41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"4340", " - ", "SALES RETURN NON TAXABLE-LOGO")</f>
        <v xml:space="preserve">          4340 - SALES RETURN NON TAXABLE-LOGO</v>
      </c>
      <c r="C89" s="11"/>
      <c r="D89" s="2">
        <f>-143.74</f>
        <v>-143.74</v>
      </c>
      <c r="E89" s="2"/>
      <c r="F89" s="19"/>
      <c r="G89" s="2"/>
      <c r="H89" s="2"/>
      <c r="I89" s="2"/>
      <c r="J89" s="19"/>
      <c r="K89" s="2"/>
      <c r="L89" s="2">
        <f t="shared" si="0"/>
        <v>-143.74</v>
      </c>
      <c r="M89" s="2"/>
      <c r="N89" s="19">
        <f t="shared" si="1"/>
        <v>0</v>
      </c>
      <c r="O89" s="11"/>
      <c r="P89" s="2">
        <f>-3451.26</f>
        <v>-3451.26</v>
      </c>
      <c r="Q89" s="2"/>
      <c r="R89" s="19"/>
      <c r="S89" s="2"/>
      <c r="T89" s="2"/>
      <c r="U89" s="2"/>
      <c r="V89" s="19"/>
      <c r="W89" s="2"/>
      <c r="X89" s="2">
        <f t="shared" si="2"/>
        <v>-3451.26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"4341", " - ", "SALES RETURN NON TAXABLE-LOGO")</f>
        <v xml:space="preserve">          4341 - SALES RETURN NON TAXABLE-LOGO</v>
      </c>
      <c r="C90" s="11"/>
      <c r="D90" s="2">
        <f>-104.3</f>
        <v>-104.3</v>
      </c>
      <c r="E90" s="2"/>
      <c r="F90" s="19"/>
      <c r="G90" s="2"/>
      <c r="H90" s="2"/>
      <c r="I90" s="2"/>
      <c r="J90" s="19"/>
      <c r="K90" s="2"/>
      <c r="L90" s="2">
        <f t="shared" si="0"/>
        <v>-104.3</v>
      </c>
      <c r="M90" s="2"/>
      <c r="N90" s="19">
        <f t="shared" si="1"/>
        <v>0</v>
      </c>
      <c r="O90" s="11"/>
      <c r="P90" s="2">
        <f>-506.74</f>
        <v>-506.74</v>
      </c>
      <c r="Q90" s="2"/>
      <c r="R90" s="19"/>
      <c r="S90" s="2"/>
      <c r="T90" s="2"/>
      <c r="U90" s="2"/>
      <c r="V90" s="19"/>
      <c r="W90" s="2"/>
      <c r="X90" s="2">
        <f t="shared" si="2"/>
        <v>-506.74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"4342", " - ", "SALES RETURN NON TAXABLE-EVERY")</f>
        <v xml:space="preserve">          4342 - SALES RETURN NON TAXABLE-EVERY</v>
      </c>
      <c r="C91" s="11"/>
      <c r="D91" s="2">
        <f t="shared" ref="D91:D93" si="7">0</f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-118.7</f>
        <v>-118.7</v>
      </c>
      <c r="Q91" s="2"/>
      <c r="R91" s="19"/>
      <c r="S91" s="2"/>
      <c r="T91" s="2"/>
      <c r="U91" s="2"/>
      <c r="V91" s="19"/>
      <c r="W91" s="2"/>
      <c r="X91" s="2">
        <f t="shared" si="2"/>
        <v>-118.7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"4381", " - ", "SALES RETURN NON TAXABLE-ELECT")</f>
        <v xml:space="preserve">          4381 - SALES RETURN NON TAXABLE-ELECT</v>
      </c>
      <c r="C92" s="11"/>
      <c r="D92" s="2">
        <f t="shared" si="7"/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-5624.15</f>
        <v>-5624.15</v>
      </c>
      <c r="Q92" s="2"/>
      <c r="R92" s="19"/>
      <c r="S92" s="2"/>
      <c r="T92" s="2"/>
      <c r="U92" s="2"/>
      <c r="V92" s="19"/>
      <c r="W92" s="2"/>
      <c r="X92" s="2">
        <f t="shared" si="2"/>
        <v>-5624.15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"4383", " - ", "SALES RETURN NON TAXABLE-COMPU")</f>
        <v xml:space="preserve">          4383 - SALES RETURN NON TAXABLE-COMPU</v>
      </c>
      <c r="C93" s="11"/>
      <c r="D93" s="2">
        <f t="shared" si="7"/>
        <v>0</v>
      </c>
      <c r="E93" s="2"/>
      <c r="F93" s="19"/>
      <c r="G93" s="2"/>
      <c r="H93" s="2"/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-14.99</f>
        <v>-14.99</v>
      </c>
      <c r="Q93" s="2"/>
      <c r="R93" s="19"/>
      <c r="S93" s="2"/>
      <c r="T93" s="2"/>
      <c r="U93" s="2"/>
      <c r="V93" s="19"/>
      <c r="W93" s="2"/>
      <c r="X93" s="2">
        <f t="shared" si="2"/>
        <v>-14.99</v>
      </c>
      <c r="Y93" s="2"/>
      <c r="Z93" s="19">
        <f t="shared" si="3"/>
        <v>0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collapsed="1" x14ac:dyDescent="0.25">
      <c r="A95" s="10"/>
      <c r="B95" s="29" t="s">
        <v>257</v>
      </c>
      <c r="C95" s="10"/>
      <c r="D95" s="4">
        <f>SUM(OSRRefD16x_0)</f>
        <v>305178.07000000007</v>
      </c>
      <c r="E95" s="4"/>
      <c r="F95" s="12">
        <f t="shared" ref="F95:F143" si="8">IF(D$12=0,0,D95/D$12)</f>
        <v>0.46482575838832446</v>
      </c>
      <c r="G95" s="4"/>
      <c r="H95" s="4">
        <f>SUM(OSRRefH16x_0)</f>
        <v>386740</v>
      </c>
      <c r="I95" s="4"/>
      <c r="J95" s="12">
        <f t="shared" ref="J95:J143" si="9">IF(H$12=0,0,H95/H$12)</f>
        <v>0.56275027938163535</v>
      </c>
      <c r="K95" s="4"/>
      <c r="L95" s="4">
        <f t="shared" ref="L95:L143" si="10">+D95-H95</f>
        <v>-81561.929999999935</v>
      </c>
      <c r="M95" s="4"/>
      <c r="N95" s="12">
        <f t="shared" ref="N95:N143" si="11">IF(H95=0,0,L95/H95)</f>
        <v>-0.2108960283394527</v>
      </c>
      <c r="O95" s="10"/>
      <c r="P95" s="4">
        <f>SUM(OSRRefP16x_0)</f>
        <v>5483270.6600000011</v>
      </c>
      <c r="Q95" s="4"/>
      <c r="R95" s="12">
        <f t="shared" ref="R95:R143" si="12">IF(P$12=0,0,P95/P$12)</f>
        <v>0.70461249468331699</v>
      </c>
      <c r="S95" s="4"/>
      <c r="T95" s="4">
        <f>SUM(OSRRefT16x_0)</f>
        <v>6883465</v>
      </c>
      <c r="U95" s="4"/>
      <c r="V95" s="12">
        <f t="shared" ref="V95:V143" si="13">IF(T$12=0,0,T95/T$12)</f>
        <v>0.62657942784591936</v>
      </c>
      <c r="W95" s="4"/>
      <c r="X95" s="4">
        <f t="shared" ref="X95:X143" si="14">+P95-T95</f>
        <v>-1400194.3399999989</v>
      </c>
      <c r="Y95" s="4"/>
      <c r="Z95" s="12">
        <f t="shared" ref="Z95:Z143" si="15">IF(T95=0,0,X95/T95)</f>
        <v>-0.20341417294923397</v>
      </c>
    </row>
    <row r="96" spans="1:26" s="24" customFormat="1" hidden="1" outlineLevel="1" x14ac:dyDescent="0.25">
      <c r="A96" s="44"/>
      <c r="B96" s="11" t="str">
        <f>CONCATENATE("          ", "5000", " - ", "PURCHASES @ COST")</f>
        <v xml:space="preserve">          5000 - PURCHASES @ COST</v>
      </c>
      <c r="C96" s="11"/>
      <c r="D96" s="2"/>
      <c r="E96" s="2"/>
      <c r="F96" s="19">
        <f t="shared" si="8"/>
        <v>0</v>
      </c>
      <c r="G96" s="2"/>
      <c r="H96" s="2">
        <v>386740</v>
      </c>
      <c r="I96" s="2"/>
      <c r="J96" s="19">
        <f t="shared" si="9"/>
        <v>0.56275027938163535</v>
      </c>
      <c r="K96" s="2"/>
      <c r="L96" s="2">
        <f t="shared" si="10"/>
        <v>-386740</v>
      </c>
      <c r="M96" s="2"/>
      <c r="N96" s="19">
        <f t="shared" si="11"/>
        <v>-1</v>
      </c>
      <c r="O96" s="11"/>
      <c r="P96" s="2">
        <v>0</v>
      </c>
      <c r="Q96" s="2"/>
      <c r="R96" s="19">
        <f t="shared" si="12"/>
        <v>0</v>
      </c>
      <c r="S96" s="2"/>
      <c r="T96" s="2">
        <v>6883465</v>
      </c>
      <c r="U96" s="2"/>
      <c r="V96" s="19">
        <f t="shared" si="13"/>
        <v>0.62657942784591936</v>
      </c>
      <c r="W96" s="2"/>
      <c r="X96" s="2">
        <f t="shared" si="14"/>
        <v>-6883465</v>
      </c>
      <c r="Y96" s="2"/>
      <c r="Z96" s="19">
        <f t="shared" si="15"/>
        <v>-1</v>
      </c>
    </row>
    <row r="97" spans="1:26" s="24" customFormat="1" hidden="1" outlineLevel="1" x14ac:dyDescent="0.25">
      <c r="A97" s="44"/>
      <c r="B97" s="11" t="str">
        <f>CONCATENATE("          ", "5001", " - ", "PURCHASES @ COST-NEW TEXT")</f>
        <v xml:space="preserve">          5001 - PURCHASES @ COST-NEW TEXT</v>
      </c>
      <c r="C97" s="11"/>
      <c r="D97" s="2">
        <v>65020.01</v>
      </c>
      <c r="E97" s="2"/>
      <c r="F97" s="19">
        <f t="shared" si="8"/>
        <v>9.9033903250867389E-2</v>
      </c>
      <c r="G97" s="2"/>
      <c r="H97" s="2"/>
      <c r="I97" s="2"/>
      <c r="J97" s="19">
        <f t="shared" si="9"/>
        <v>0</v>
      </c>
      <c r="K97" s="2"/>
      <c r="L97" s="2">
        <f t="shared" si="10"/>
        <v>65020.01</v>
      </c>
      <c r="M97" s="2"/>
      <c r="N97" s="19">
        <f t="shared" si="11"/>
        <v>0</v>
      </c>
      <c r="O97" s="11"/>
      <c r="P97" s="2">
        <v>1071566.48</v>
      </c>
      <c r="Q97" s="2"/>
      <c r="R97" s="19">
        <f t="shared" si="12"/>
        <v>0.13769867976785602</v>
      </c>
      <c r="S97" s="2"/>
      <c r="T97" s="2"/>
      <c r="U97" s="2"/>
      <c r="V97" s="19">
        <f t="shared" si="13"/>
        <v>0</v>
      </c>
      <c r="W97" s="2"/>
      <c r="X97" s="2">
        <f t="shared" si="14"/>
        <v>1071566.48</v>
      </c>
      <c r="Y97" s="2"/>
      <c r="Z97" s="19">
        <f t="shared" si="15"/>
        <v>0</v>
      </c>
    </row>
    <row r="98" spans="1:26" s="24" customFormat="1" hidden="1" outlineLevel="1" x14ac:dyDescent="0.25">
      <c r="A98" s="44"/>
      <c r="B98" s="11" t="str">
        <f>CONCATENATE("          ", "5002", " - ", "PURCHASES @ COST-USED TEXT")</f>
        <v xml:space="preserve">          5002 - PURCHASES @ COST-USED TEXT</v>
      </c>
      <c r="C98" s="11"/>
      <c r="D98" s="2">
        <v>4952.26</v>
      </c>
      <c r="E98" s="2"/>
      <c r="F98" s="19">
        <f t="shared" si="8"/>
        <v>7.5429339016272147E-3</v>
      </c>
      <c r="G98" s="2"/>
      <c r="H98" s="2"/>
      <c r="I98" s="2"/>
      <c r="J98" s="19">
        <f t="shared" si="9"/>
        <v>0</v>
      </c>
      <c r="K98" s="2"/>
      <c r="L98" s="2">
        <f t="shared" si="10"/>
        <v>4952.26</v>
      </c>
      <c r="M98" s="2"/>
      <c r="N98" s="19">
        <f t="shared" si="11"/>
        <v>0</v>
      </c>
      <c r="O98" s="11"/>
      <c r="P98" s="2">
        <v>279913.28000000003</v>
      </c>
      <c r="Q98" s="2"/>
      <c r="R98" s="19">
        <f t="shared" si="12"/>
        <v>3.5969480032158357E-2</v>
      </c>
      <c r="S98" s="2"/>
      <c r="T98" s="2"/>
      <c r="U98" s="2"/>
      <c r="V98" s="19">
        <f t="shared" si="13"/>
        <v>0</v>
      </c>
      <c r="W98" s="2"/>
      <c r="X98" s="2">
        <f t="shared" si="14"/>
        <v>279913.28000000003</v>
      </c>
      <c r="Y98" s="2"/>
      <c r="Z98" s="19">
        <f t="shared" si="15"/>
        <v>0</v>
      </c>
    </row>
    <row r="99" spans="1:26" s="24" customFormat="1" hidden="1" outlineLevel="1" x14ac:dyDescent="0.25">
      <c r="A99" s="44"/>
      <c r="B99" s="11" t="str">
        <f>CONCATENATE("          ", "5003", " - ", "PURCHASES @ COST-RENTAL TEXT")</f>
        <v xml:space="preserve">          5003 - PURCHASES @ COST-RENTAL TEXT</v>
      </c>
      <c r="C99" s="11"/>
      <c r="D99" s="2">
        <v>7179.56</v>
      </c>
      <c r="E99" s="2"/>
      <c r="F99" s="19">
        <f t="shared" si="8"/>
        <v>1.0935400508609541E-2</v>
      </c>
      <c r="G99" s="2"/>
      <c r="H99" s="2"/>
      <c r="I99" s="2"/>
      <c r="J99" s="19">
        <f t="shared" si="9"/>
        <v>0</v>
      </c>
      <c r="K99" s="2"/>
      <c r="L99" s="2">
        <f t="shared" si="10"/>
        <v>7179.56</v>
      </c>
      <c r="M99" s="2"/>
      <c r="N99" s="19">
        <f t="shared" si="11"/>
        <v>0</v>
      </c>
      <c r="O99" s="11"/>
      <c r="P99" s="2">
        <v>7212.08</v>
      </c>
      <c r="Q99" s="2"/>
      <c r="R99" s="19">
        <f t="shared" si="12"/>
        <v>9.2676834607607265E-4</v>
      </c>
      <c r="S99" s="2"/>
      <c r="T99" s="2"/>
      <c r="U99" s="2"/>
      <c r="V99" s="19">
        <f t="shared" si="13"/>
        <v>0</v>
      </c>
      <c r="W99" s="2"/>
      <c r="X99" s="2">
        <f t="shared" si="14"/>
        <v>7212.08</v>
      </c>
      <c r="Y99" s="2"/>
      <c r="Z99" s="19">
        <f t="shared" si="15"/>
        <v>0</v>
      </c>
    </row>
    <row r="100" spans="1:26" s="24" customFormat="1" hidden="1" outlineLevel="1" x14ac:dyDescent="0.25">
      <c r="A100" s="44"/>
      <c r="B100" s="11" t="str">
        <f>CONCATENATE("          ", "5004", " - ", "PURCHASES @ COST-DIGITAL TEXT")</f>
        <v xml:space="preserve">          5004 - PURCHASES @ COST-DIGITAL TEXT</v>
      </c>
      <c r="C100" s="11"/>
      <c r="D100" s="2">
        <v>-7843.95</v>
      </c>
      <c r="E100" s="2"/>
      <c r="F100" s="19">
        <f t="shared" si="8"/>
        <v>-1.1947352598140806E-2</v>
      </c>
      <c r="G100" s="2"/>
      <c r="H100" s="2"/>
      <c r="I100" s="2"/>
      <c r="J100" s="19">
        <f t="shared" si="9"/>
        <v>0</v>
      </c>
      <c r="K100" s="2"/>
      <c r="L100" s="2">
        <f t="shared" si="10"/>
        <v>-7843.95</v>
      </c>
      <c r="M100" s="2"/>
      <c r="N100" s="19">
        <f t="shared" si="11"/>
        <v>0</v>
      </c>
      <c r="O100" s="11"/>
      <c r="P100" s="2">
        <v>199606.43</v>
      </c>
      <c r="Q100" s="2"/>
      <c r="R100" s="19">
        <f t="shared" si="12"/>
        <v>2.5649870910645661E-2</v>
      </c>
      <c r="S100" s="2"/>
      <c r="T100" s="2"/>
      <c r="U100" s="2"/>
      <c r="V100" s="19">
        <f t="shared" si="13"/>
        <v>0</v>
      </c>
      <c r="W100" s="2"/>
      <c r="X100" s="2">
        <f t="shared" si="14"/>
        <v>199606.43</v>
      </c>
      <c r="Y100" s="2"/>
      <c r="Z100" s="19">
        <f t="shared" si="15"/>
        <v>0</v>
      </c>
    </row>
    <row r="101" spans="1:26" s="24" customFormat="1" hidden="1" outlineLevel="1" x14ac:dyDescent="0.25">
      <c r="A101" s="44"/>
      <c r="B101" s="11" t="str">
        <f>CONCATENATE("          ", "5011", " - ", "PURCHASES @ COST-NO VALUE TEXT")</f>
        <v xml:space="preserve">          5011 - PURCHASES @ COST-NO VALUE TEXT</v>
      </c>
      <c r="C101" s="11"/>
      <c r="D101" s="2"/>
      <c r="E101" s="2"/>
      <c r="F101" s="19">
        <f t="shared" si="8"/>
        <v>0</v>
      </c>
      <c r="G101" s="2"/>
      <c r="H101" s="2"/>
      <c r="I101" s="2"/>
      <c r="J101" s="19">
        <f t="shared" si="9"/>
        <v>0</v>
      </c>
      <c r="K101" s="2"/>
      <c r="L101" s="2">
        <f t="shared" si="10"/>
        <v>0</v>
      </c>
      <c r="M101" s="2"/>
      <c r="N101" s="19">
        <f t="shared" si="11"/>
        <v>0</v>
      </c>
      <c r="O101" s="11"/>
      <c r="P101" s="2">
        <v>67.17</v>
      </c>
      <c r="Q101" s="2"/>
      <c r="R101" s="19">
        <f t="shared" si="12"/>
        <v>8.6314946320520301E-6</v>
      </c>
      <c r="S101" s="2"/>
      <c r="T101" s="2"/>
      <c r="U101" s="2"/>
      <c r="V101" s="19">
        <f t="shared" si="13"/>
        <v>0</v>
      </c>
      <c r="W101" s="2"/>
      <c r="X101" s="2">
        <f t="shared" si="14"/>
        <v>67.17</v>
      </c>
      <c r="Y101" s="2"/>
      <c r="Z101" s="19">
        <f t="shared" si="15"/>
        <v>0</v>
      </c>
    </row>
    <row r="102" spans="1:26" s="24" customFormat="1" hidden="1" outlineLevel="1" x14ac:dyDescent="0.25">
      <c r="A102" s="44"/>
      <c r="B102" s="11" t="str">
        <f>CONCATENATE("          ", "5013", " - ", "PURCHASES @ COST-TRADE BOOKS")</f>
        <v xml:space="preserve">          5013 - PURCHASES @ COST-TRADE BOOKS</v>
      </c>
      <c r="C102" s="11"/>
      <c r="D102" s="2"/>
      <c r="E102" s="2"/>
      <c r="F102" s="19">
        <f t="shared" si="8"/>
        <v>0</v>
      </c>
      <c r="G102" s="2"/>
      <c r="H102" s="2"/>
      <c r="I102" s="2"/>
      <c r="J102" s="19">
        <f t="shared" si="9"/>
        <v>0</v>
      </c>
      <c r="K102" s="2"/>
      <c r="L102" s="2">
        <f t="shared" si="10"/>
        <v>0</v>
      </c>
      <c r="M102" s="2"/>
      <c r="N102" s="19">
        <f t="shared" si="11"/>
        <v>0</v>
      </c>
      <c r="O102" s="11"/>
      <c r="P102" s="2">
        <v>9670.02</v>
      </c>
      <c r="Q102" s="2"/>
      <c r="R102" s="19">
        <f t="shared" si="12"/>
        <v>1.242619111535444E-3</v>
      </c>
      <c r="S102" s="2"/>
      <c r="T102" s="2"/>
      <c r="U102" s="2"/>
      <c r="V102" s="19">
        <f t="shared" si="13"/>
        <v>0</v>
      </c>
      <c r="W102" s="2"/>
      <c r="X102" s="2">
        <f t="shared" si="14"/>
        <v>9670.02</v>
      </c>
      <c r="Y102" s="2"/>
      <c r="Z102" s="19">
        <f t="shared" si="15"/>
        <v>0</v>
      </c>
    </row>
    <row r="103" spans="1:26" s="24" customFormat="1" hidden="1" outlineLevel="1" x14ac:dyDescent="0.25">
      <c r="A103" s="44"/>
      <c r="B103" s="11" t="str">
        <f>CONCATENATE("          ", "5014", " - ", "PURCHASES @ COST-REMAINDERS")</f>
        <v xml:space="preserve">          5014 - PURCHASES @ COST-REMAINDERS</v>
      </c>
      <c r="C103" s="11"/>
      <c r="D103" s="2"/>
      <c r="E103" s="2"/>
      <c r="F103" s="19">
        <f t="shared" si="8"/>
        <v>0</v>
      </c>
      <c r="G103" s="2"/>
      <c r="H103" s="2"/>
      <c r="I103" s="2"/>
      <c r="J103" s="19">
        <f t="shared" si="9"/>
        <v>0</v>
      </c>
      <c r="K103" s="2"/>
      <c r="L103" s="2">
        <f t="shared" si="10"/>
        <v>0</v>
      </c>
      <c r="M103" s="2"/>
      <c r="N103" s="19">
        <f t="shared" si="11"/>
        <v>0</v>
      </c>
      <c r="O103" s="11"/>
      <c r="P103" s="2">
        <v>111.57</v>
      </c>
      <c r="Q103" s="2"/>
      <c r="R103" s="19">
        <f t="shared" si="12"/>
        <v>1.4336993540241848E-5</v>
      </c>
      <c r="S103" s="2"/>
      <c r="T103" s="2"/>
      <c r="U103" s="2"/>
      <c r="V103" s="19">
        <f t="shared" si="13"/>
        <v>0</v>
      </c>
      <c r="W103" s="2"/>
      <c r="X103" s="2">
        <f t="shared" si="14"/>
        <v>111.57</v>
      </c>
      <c r="Y103" s="2"/>
      <c r="Z103" s="19">
        <f t="shared" si="15"/>
        <v>0</v>
      </c>
    </row>
    <row r="104" spans="1:26" s="24" customFormat="1" hidden="1" outlineLevel="1" x14ac:dyDescent="0.25">
      <c r="A104" s="44"/>
      <c r="B104" s="11" t="str">
        <f>CONCATENATE("          ", "5018", " - ", "PURCHASES @ COST-STUDY GUIDES")</f>
        <v xml:space="preserve">          5018 - PURCHASES @ COST-STUDY GUIDES</v>
      </c>
      <c r="C104" s="11"/>
      <c r="D104" s="2"/>
      <c r="E104" s="2"/>
      <c r="F104" s="19">
        <f t="shared" si="8"/>
        <v>0</v>
      </c>
      <c r="G104" s="2"/>
      <c r="H104" s="2"/>
      <c r="I104" s="2"/>
      <c r="J104" s="19">
        <f t="shared" si="9"/>
        <v>0</v>
      </c>
      <c r="K104" s="2"/>
      <c r="L104" s="2">
        <f t="shared" si="10"/>
        <v>0</v>
      </c>
      <c r="M104" s="2"/>
      <c r="N104" s="19">
        <f t="shared" si="11"/>
        <v>0</v>
      </c>
      <c r="O104" s="11"/>
      <c r="P104" s="2">
        <v>967.21</v>
      </c>
      <c r="Q104" s="2"/>
      <c r="R104" s="19">
        <f t="shared" si="12"/>
        <v>1.2428863961689809E-4</v>
      </c>
      <c r="S104" s="2"/>
      <c r="T104" s="2"/>
      <c r="U104" s="2"/>
      <c r="V104" s="19">
        <f t="shared" si="13"/>
        <v>0</v>
      </c>
      <c r="W104" s="2"/>
      <c r="X104" s="2">
        <f t="shared" si="14"/>
        <v>967.21</v>
      </c>
      <c r="Y104" s="2"/>
      <c r="Z104" s="19">
        <f t="shared" si="15"/>
        <v>0</v>
      </c>
    </row>
    <row r="105" spans="1:26" s="24" customFormat="1" hidden="1" outlineLevel="1" x14ac:dyDescent="0.25">
      <c r="A105" s="44"/>
      <c r="B105" s="11" t="str">
        <f>CONCATENATE("          ", "5025", " - ", "PURCHASES @ COST-TEST FORMS")</f>
        <v xml:space="preserve">          5025 - PURCHASES @ COST-TEST FORMS</v>
      </c>
      <c r="C105" s="11"/>
      <c r="D105" s="2"/>
      <c r="E105" s="2"/>
      <c r="F105" s="19">
        <f t="shared" si="8"/>
        <v>0</v>
      </c>
      <c r="G105" s="2"/>
      <c r="H105" s="2"/>
      <c r="I105" s="2"/>
      <c r="J105" s="19">
        <f t="shared" si="9"/>
        <v>0</v>
      </c>
      <c r="K105" s="2"/>
      <c r="L105" s="2">
        <f t="shared" si="10"/>
        <v>0</v>
      </c>
      <c r="M105" s="2"/>
      <c r="N105" s="19">
        <f t="shared" si="11"/>
        <v>0</v>
      </c>
      <c r="O105" s="11"/>
      <c r="P105" s="2">
        <v>599.29</v>
      </c>
      <c r="Q105" s="2"/>
      <c r="R105" s="19">
        <f t="shared" si="12"/>
        <v>7.7010100015519734E-5</v>
      </c>
      <c r="S105" s="2"/>
      <c r="T105" s="2"/>
      <c r="U105" s="2"/>
      <c r="V105" s="19">
        <f t="shared" si="13"/>
        <v>0</v>
      </c>
      <c r="W105" s="2"/>
      <c r="X105" s="2">
        <f t="shared" si="14"/>
        <v>599.29</v>
      </c>
      <c r="Y105" s="2"/>
      <c r="Z105" s="19">
        <f t="shared" si="15"/>
        <v>0</v>
      </c>
    </row>
    <row r="106" spans="1:26" s="24" customFormat="1" hidden="1" outlineLevel="1" x14ac:dyDescent="0.25">
      <c r="A106" s="44"/>
      <c r="B106" s="11" t="str">
        <f>CONCATENATE("          ", "5026", " - ", "PURCHASES @ COST-WRITING INSTR")</f>
        <v xml:space="preserve">          5026 - PURCHASES @ COST-WRITING INSTR</v>
      </c>
      <c r="C106" s="11"/>
      <c r="D106" s="2">
        <v>-2.0499999999999998</v>
      </c>
      <c r="E106" s="2"/>
      <c r="F106" s="19">
        <f t="shared" si="8"/>
        <v>-3.1224157250095487E-6</v>
      </c>
      <c r="G106" s="2"/>
      <c r="H106" s="2"/>
      <c r="I106" s="2"/>
      <c r="J106" s="19">
        <f t="shared" si="9"/>
        <v>0</v>
      </c>
      <c r="K106" s="2"/>
      <c r="L106" s="2">
        <f t="shared" si="10"/>
        <v>-2.0499999999999998</v>
      </c>
      <c r="M106" s="2"/>
      <c r="N106" s="19">
        <f t="shared" si="11"/>
        <v>0</v>
      </c>
      <c r="O106" s="11"/>
      <c r="P106" s="2">
        <v>582.5</v>
      </c>
      <c r="Q106" s="2"/>
      <c r="R106" s="19">
        <f t="shared" si="12"/>
        <v>7.4852547613075892E-5</v>
      </c>
      <c r="S106" s="2"/>
      <c r="T106" s="2"/>
      <c r="U106" s="2"/>
      <c r="V106" s="19">
        <f t="shared" si="13"/>
        <v>0</v>
      </c>
      <c r="W106" s="2"/>
      <c r="X106" s="2">
        <f t="shared" si="14"/>
        <v>582.5</v>
      </c>
      <c r="Y106" s="2"/>
      <c r="Z106" s="19">
        <f t="shared" si="15"/>
        <v>0</v>
      </c>
    </row>
    <row r="107" spans="1:26" s="24" customFormat="1" hidden="1" outlineLevel="1" x14ac:dyDescent="0.25">
      <c r="A107" s="44"/>
      <c r="B107" s="11" t="str">
        <f>CONCATENATE("          ", "5027", " - ", "PURCHASES @ COST-SCHOOL SUPPLI")</f>
        <v xml:space="preserve">          5027 - PURCHASES @ COST-SCHOOL SUPPLI</v>
      </c>
      <c r="C107" s="11"/>
      <c r="D107" s="2">
        <v>0.39</v>
      </c>
      <c r="E107" s="2"/>
      <c r="F107" s="19">
        <f t="shared" si="8"/>
        <v>5.9402055256279226E-7</v>
      </c>
      <c r="G107" s="2"/>
      <c r="H107" s="2"/>
      <c r="I107" s="2"/>
      <c r="J107" s="19">
        <f t="shared" si="9"/>
        <v>0</v>
      </c>
      <c r="K107" s="2"/>
      <c r="L107" s="2">
        <f t="shared" si="10"/>
        <v>0.39</v>
      </c>
      <c r="M107" s="2"/>
      <c r="N107" s="19">
        <f t="shared" si="11"/>
        <v>0</v>
      </c>
      <c r="O107" s="11"/>
      <c r="P107" s="2">
        <v>23734.99</v>
      </c>
      <c r="Q107" s="2"/>
      <c r="R107" s="19">
        <f t="shared" si="12"/>
        <v>3.0499990885336998E-3</v>
      </c>
      <c r="S107" s="2"/>
      <c r="T107" s="2"/>
      <c r="U107" s="2"/>
      <c r="V107" s="19">
        <f t="shared" si="13"/>
        <v>0</v>
      </c>
      <c r="W107" s="2"/>
      <c r="X107" s="2">
        <f t="shared" si="14"/>
        <v>23734.99</v>
      </c>
      <c r="Y107" s="2"/>
      <c r="Z107" s="19">
        <f t="shared" si="15"/>
        <v>0</v>
      </c>
    </row>
    <row r="108" spans="1:26" s="24" customFormat="1" hidden="1" outlineLevel="1" x14ac:dyDescent="0.25">
      <c r="A108" s="44"/>
      <c r="B108" s="11" t="str">
        <f>CONCATENATE("          ", "5028", " - ", "PURCHASES @ COST-ART/TECH")</f>
        <v xml:space="preserve">          5028 - PURCHASES @ COST-ART/TECH</v>
      </c>
      <c r="C108" s="11"/>
      <c r="D108" s="2">
        <v>674.12</v>
      </c>
      <c r="E108" s="2"/>
      <c r="F108" s="19">
        <f t="shared" si="8"/>
        <v>1.0267721407528963E-3</v>
      </c>
      <c r="G108" s="2"/>
      <c r="H108" s="2"/>
      <c r="I108" s="2"/>
      <c r="J108" s="19">
        <f t="shared" si="9"/>
        <v>0</v>
      </c>
      <c r="K108" s="2"/>
      <c r="L108" s="2">
        <f t="shared" si="10"/>
        <v>674.12</v>
      </c>
      <c r="M108" s="2"/>
      <c r="N108" s="19">
        <f t="shared" si="11"/>
        <v>0</v>
      </c>
      <c r="O108" s="11"/>
      <c r="P108" s="2">
        <v>47680.74</v>
      </c>
      <c r="Q108" s="2"/>
      <c r="R108" s="19">
        <f t="shared" si="12"/>
        <v>6.1270813065694282E-3</v>
      </c>
      <c r="S108" s="2"/>
      <c r="T108" s="2"/>
      <c r="U108" s="2"/>
      <c r="V108" s="19">
        <f t="shared" si="13"/>
        <v>0</v>
      </c>
      <c r="W108" s="2"/>
      <c r="X108" s="2">
        <f t="shared" si="14"/>
        <v>47680.74</v>
      </c>
      <c r="Y108" s="2"/>
      <c r="Z108" s="19">
        <f t="shared" si="15"/>
        <v>0</v>
      </c>
    </row>
    <row r="109" spans="1:26" s="24" customFormat="1" hidden="1" outlineLevel="1" x14ac:dyDescent="0.25">
      <c r="A109" s="44"/>
      <c r="B109" s="11" t="str">
        <f>CONCATENATE("          ", "5031", " - ", "PURCHASES @ COST-FOOD")</f>
        <v xml:space="preserve">          5031 - PURCHASES @ COST-FOOD</v>
      </c>
      <c r="C109" s="11"/>
      <c r="D109" s="2">
        <v>280.37</v>
      </c>
      <c r="E109" s="2"/>
      <c r="F109" s="19">
        <f t="shared" si="8"/>
        <v>4.2703985210776942E-4</v>
      </c>
      <c r="G109" s="2"/>
      <c r="H109" s="2"/>
      <c r="I109" s="2"/>
      <c r="J109" s="19">
        <f t="shared" si="9"/>
        <v>0</v>
      </c>
      <c r="K109" s="2"/>
      <c r="L109" s="2">
        <f t="shared" si="10"/>
        <v>280.37</v>
      </c>
      <c r="M109" s="2"/>
      <c r="N109" s="19">
        <f t="shared" si="11"/>
        <v>0</v>
      </c>
      <c r="O109" s="11"/>
      <c r="P109" s="2">
        <v>8066.09</v>
      </c>
      <c r="Q109" s="2"/>
      <c r="R109" s="19">
        <f t="shared" si="12"/>
        <v>1.0365105335216399E-3</v>
      </c>
      <c r="S109" s="2"/>
      <c r="T109" s="2"/>
      <c r="U109" s="2"/>
      <c r="V109" s="19">
        <f t="shared" si="13"/>
        <v>0</v>
      </c>
      <c r="W109" s="2"/>
      <c r="X109" s="2">
        <f t="shared" si="14"/>
        <v>8066.09</v>
      </c>
      <c r="Y109" s="2"/>
      <c r="Z109" s="19">
        <f t="shared" si="15"/>
        <v>0</v>
      </c>
    </row>
    <row r="110" spans="1:26" s="24" customFormat="1" hidden="1" outlineLevel="1" x14ac:dyDescent="0.25">
      <c r="A110" s="44"/>
      <c r="B110" s="11" t="str">
        <f>CONCATENATE("          ", "5040", " - ", "PURCHASES @ COST-LOGO CLOTHING")</f>
        <v xml:space="preserve">          5040 - PURCHASES @ COST-LOGO CLOTHING</v>
      </c>
      <c r="C110" s="11"/>
      <c r="D110" s="2">
        <v>48288.73</v>
      </c>
      <c r="E110" s="2"/>
      <c r="F110" s="19">
        <f t="shared" si="8"/>
        <v>7.3549995069629448E-2</v>
      </c>
      <c r="G110" s="2"/>
      <c r="H110" s="2"/>
      <c r="I110" s="2"/>
      <c r="J110" s="19">
        <f t="shared" si="9"/>
        <v>0</v>
      </c>
      <c r="K110" s="2"/>
      <c r="L110" s="2">
        <f t="shared" si="10"/>
        <v>48288.73</v>
      </c>
      <c r="M110" s="2"/>
      <c r="N110" s="19">
        <f t="shared" si="11"/>
        <v>0</v>
      </c>
      <c r="O110" s="11"/>
      <c r="P110" s="2">
        <v>327378.98</v>
      </c>
      <c r="Q110" s="2"/>
      <c r="R110" s="19">
        <f t="shared" si="12"/>
        <v>4.2068928219691361E-2</v>
      </c>
      <c r="S110" s="2"/>
      <c r="T110" s="2"/>
      <c r="U110" s="2"/>
      <c r="V110" s="19">
        <f t="shared" si="13"/>
        <v>0</v>
      </c>
      <c r="W110" s="2"/>
      <c r="X110" s="2">
        <f t="shared" si="14"/>
        <v>327378.98</v>
      </c>
      <c r="Y110" s="2"/>
      <c r="Z110" s="19">
        <f t="shared" si="15"/>
        <v>0</v>
      </c>
    </row>
    <row r="111" spans="1:26" s="24" customFormat="1" hidden="1" outlineLevel="1" x14ac:dyDescent="0.25">
      <c r="A111" s="44"/>
      <c r="B111" s="11" t="str">
        <f>CONCATENATE("          ", "5041", " - ", "PURCHASES @ COST-LOGO GIFTS")</f>
        <v xml:space="preserve">          5041 - PURCHASES @ COST-LOGO GIFTS</v>
      </c>
      <c r="C111" s="11"/>
      <c r="D111" s="2">
        <v>22136.9</v>
      </c>
      <c r="E111" s="2"/>
      <c r="F111" s="19">
        <f t="shared" si="8"/>
        <v>3.3717368128275069E-2</v>
      </c>
      <c r="G111" s="2"/>
      <c r="H111" s="2"/>
      <c r="I111" s="2"/>
      <c r="J111" s="19">
        <f t="shared" si="9"/>
        <v>0</v>
      </c>
      <c r="K111" s="2"/>
      <c r="L111" s="2">
        <f t="shared" si="10"/>
        <v>22136.9</v>
      </c>
      <c r="M111" s="2"/>
      <c r="N111" s="19">
        <f t="shared" si="11"/>
        <v>0</v>
      </c>
      <c r="O111" s="11"/>
      <c r="P111" s="2">
        <v>106398.85</v>
      </c>
      <c r="Q111" s="2"/>
      <c r="R111" s="19">
        <f t="shared" si="12"/>
        <v>1.3672489245667845E-2</v>
      </c>
      <c r="S111" s="2"/>
      <c r="T111" s="2"/>
      <c r="U111" s="2"/>
      <c r="V111" s="19">
        <f t="shared" si="13"/>
        <v>0</v>
      </c>
      <c r="W111" s="2"/>
      <c r="X111" s="2">
        <f t="shared" si="14"/>
        <v>106398.85</v>
      </c>
      <c r="Y111" s="2"/>
      <c r="Z111" s="19">
        <f t="shared" si="15"/>
        <v>0</v>
      </c>
    </row>
    <row r="112" spans="1:26" s="24" customFormat="1" hidden="1" outlineLevel="1" x14ac:dyDescent="0.25">
      <c r="A112" s="44"/>
      <c r="B112" s="11" t="str">
        <f>CONCATENATE("          ", "5042", " - ", "PURCHASES @ COST-EVERYDAY GIFT")</f>
        <v xml:space="preserve">          5042 - PURCHASES @ COST-EVERYDAY GIFT</v>
      </c>
      <c r="C112" s="11"/>
      <c r="D112" s="2">
        <v>-0.11</v>
      </c>
      <c r="E112" s="2"/>
      <c r="F112" s="19">
        <f t="shared" si="8"/>
        <v>-1.6754425841514653E-7</v>
      </c>
      <c r="G112" s="2"/>
      <c r="H112" s="2"/>
      <c r="I112" s="2"/>
      <c r="J112" s="19">
        <f t="shared" si="9"/>
        <v>0</v>
      </c>
      <c r="K112" s="2"/>
      <c r="L112" s="2">
        <f t="shared" si="10"/>
        <v>-0.11</v>
      </c>
      <c r="M112" s="2"/>
      <c r="N112" s="19">
        <f t="shared" si="11"/>
        <v>0</v>
      </c>
      <c r="O112" s="11"/>
      <c r="P112" s="2">
        <v>18748.07</v>
      </c>
      <c r="Q112" s="2"/>
      <c r="R112" s="19">
        <f t="shared" si="12"/>
        <v>2.4091687593618535E-3</v>
      </c>
      <c r="S112" s="2"/>
      <c r="T112" s="2"/>
      <c r="U112" s="2"/>
      <c r="V112" s="19">
        <f t="shared" si="13"/>
        <v>0</v>
      </c>
      <c r="W112" s="2"/>
      <c r="X112" s="2">
        <f t="shared" si="14"/>
        <v>18748.07</v>
      </c>
      <c r="Y112" s="2"/>
      <c r="Z112" s="19">
        <f t="shared" si="15"/>
        <v>0</v>
      </c>
    </row>
    <row r="113" spans="1:26" s="24" customFormat="1" hidden="1" outlineLevel="1" x14ac:dyDescent="0.25">
      <c r="A113" s="44"/>
      <c r="B113" s="11" t="str">
        <f>CONCATENATE("          ", "5043", " - ", "PURCHASES @ COST-CARDS")</f>
        <v xml:space="preserve">          5043 - PURCHASES @ COST-CARDS</v>
      </c>
      <c r="C113" s="11"/>
      <c r="D113" s="2">
        <v>178</v>
      </c>
      <c r="E113" s="2"/>
      <c r="F113" s="19">
        <f t="shared" si="8"/>
        <v>2.7111707270814623E-4</v>
      </c>
      <c r="G113" s="2"/>
      <c r="H113" s="2"/>
      <c r="I113" s="2"/>
      <c r="J113" s="19">
        <f t="shared" si="9"/>
        <v>0</v>
      </c>
      <c r="K113" s="2"/>
      <c r="L113" s="2">
        <f t="shared" si="10"/>
        <v>178</v>
      </c>
      <c r="M113" s="2"/>
      <c r="N113" s="19">
        <f t="shared" si="11"/>
        <v>0</v>
      </c>
      <c r="O113" s="11"/>
      <c r="P113" s="2">
        <v>55583.33</v>
      </c>
      <c r="Q113" s="2"/>
      <c r="R113" s="19">
        <f t="shared" si="12"/>
        <v>7.1425817258683423E-3</v>
      </c>
      <c r="S113" s="2"/>
      <c r="T113" s="2"/>
      <c r="U113" s="2"/>
      <c r="V113" s="19">
        <f t="shared" si="13"/>
        <v>0</v>
      </c>
      <c r="W113" s="2"/>
      <c r="X113" s="2">
        <f t="shared" si="14"/>
        <v>55583.33</v>
      </c>
      <c r="Y113" s="2"/>
      <c r="Z113" s="19">
        <f t="shared" si="15"/>
        <v>0</v>
      </c>
    </row>
    <row r="114" spans="1:26" s="24" customFormat="1" hidden="1" outlineLevel="1" x14ac:dyDescent="0.25">
      <c r="A114" s="44"/>
      <c r="B114" s="11" t="str">
        <f>CONCATENATE("          ", "5044", " - ", "PURCHASES @ COST-ACCESSORIES")</f>
        <v xml:space="preserve">          5044 - PURCHASES @ COST-ACCESSORIES</v>
      </c>
      <c r="C114" s="11"/>
      <c r="D114" s="2"/>
      <c r="E114" s="2"/>
      <c r="F114" s="19">
        <f t="shared" si="8"/>
        <v>0</v>
      </c>
      <c r="G114" s="2"/>
      <c r="H114" s="2"/>
      <c r="I114" s="2"/>
      <c r="J114" s="19">
        <f t="shared" si="9"/>
        <v>0</v>
      </c>
      <c r="K114" s="2"/>
      <c r="L114" s="2">
        <f t="shared" si="10"/>
        <v>0</v>
      </c>
      <c r="M114" s="2"/>
      <c r="N114" s="19">
        <f t="shared" si="11"/>
        <v>0</v>
      </c>
      <c r="O114" s="11"/>
      <c r="P114" s="2">
        <v>2555.71</v>
      </c>
      <c r="Q114" s="2"/>
      <c r="R114" s="19">
        <f t="shared" si="12"/>
        <v>3.284144282578784E-4</v>
      </c>
      <c r="S114" s="2"/>
      <c r="T114" s="2"/>
      <c r="U114" s="2"/>
      <c r="V114" s="19">
        <f t="shared" si="13"/>
        <v>0</v>
      </c>
      <c r="W114" s="2"/>
      <c r="X114" s="2">
        <f t="shared" si="14"/>
        <v>2555.71</v>
      </c>
      <c r="Y114" s="2"/>
      <c r="Z114" s="19">
        <f t="shared" si="15"/>
        <v>0</v>
      </c>
    </row>
    <row r="115" spans="1:26" s="24" customFormat="1" hidden="1" outlineLevel="1" x14ac:dyDescent="0.25">
      <c r="A115" s="44"/>
      <c r="B115" s="11" t="str">
        <f>CONCATENATE("          ", "5045", " - ", "PURCHASES @ COST-SPECIAL ORDER")</f>
        <v xml:space="preserve">          5045 - PURCHASES @ COST-SPECIAL ORDER</v>
      </c>
      <c r="C115" s="11"/>
      <c r="D115" s="2">
        <v>24141.17</v>
      </c>
      <c r="E115" s="2"/>
      <c r="F115" s="19">
        <f t="shared" si="8"/>
        <v>3.6770131135672568E-2</v>
      </c>
      <c r="G115" s="2"/>
      <c r="H115" s="2"/>
      <c r="I115" s="2"/>
      <c r="J115" s="19">
        <f t="shared" si="9"/>
        <v>0</v>
      </c>
      <c r="K115" s="2"/>
      <c r="L115" s="2">
        <f t="shared" si="10"/>
        <v>24141.17</v>
      </c>
      <c r="M115" s="2"/>
      <c r="N115" s="19">
        <f t="shared" si="11"/>
        <v>0</v>
      </c>
      <c r="O115" s="11"/>
      <c r="P115" s="2">
        <v>139139.24</v>
      </c>
      <c r="Q115" s="2"/>
      <c r="R115" s="19">
        <f t="shared" si="12"/>
        <v>1.7879702295188312E-2</v>
      </c>
      <c r="S115" s="2"/>
      <c r="T115" s="2"/>
      <c r="U115" s="2"/>
      <c r="V115" s="19">
        <f t="shared" si="13"/>
        <v>0</v>
      </c>
      <c r="W115" s="2"/>
      <c r="X115" s="2">
        <f t="shared" si="14"/>
        <v>139139.24</v>
      </c>
      <c r="Y115" s="2"/>
      <c r="Z115" s="19">
        <f t="shared" si="15"/>
        <v>0</v>
      </c>
    </row>
    <row r="116" spans="1:26" s="24" customFormat="1" hidden="1" outlineLevel="1" x14ac:dyDescent="0.25">
      <c r="A116" s="44"/>
      <c r="B116" s="11" t="str">
        <f>CONCATENATE("          ", "5081", " - ", "PURCHASES @ COST-ELECTRONICS")</f>
        <v xml:space="preserve">          5081 - PURCHASES @ COST-ELECTRONICS</v>
      </c>
      <c r="C116" s="11"/>
      <c r="D116" s="2">
        <v>-28.91</v>
      </c>
      <c r="E116" s="2"/>
      <c r="F116" s="19">
        <f t="shared" si="8"/>
        <v>-4.4033677370744419E-5</v>
      </c>
      <c r="G116" s="2"/>
      <c r="H116" s="2"/>
      <c r="I116" s="2"/>
      <c r="J116" s="19">
        <f t="shared" si="9"/>
        <v>0</v>
      </c>
      <c r="K116" s="2"/>
      <c r="L116" s="2">
        <f t="shared" si="10"/>
        <v>-28.91</v>
      </c>
      <c r="M116" s="2"/>
      <c r="N116" s="19">
        <f t="shared" si="11"/>
        <v>0</v>
      </c>
      <c r="O116" s="11"/>
      <c r="P116" s="2">
        <v>32419.46</v>
      </c>
      <c r="Q116" s="2"/>
      <c r="R116" s="19">
        <f t="shared" si="12"/>
        <v>4.1659728295969254E-3</v>
      </c>
      <c r="S116" s="2"/>
      <c r="T116" s="2"/>
      <c r="U116" s="2"/>
      <c r="V116" s="19">
        <f t="shared" si="13"/>
        <v>0</v>
      </c>
      <c r="W116" s="2"/>
      <c r="X116" s="2">
        <f t="shared" si="14"/>
        <v>32419.46</v>
      </c>
      <c r="Y116" s="2"/>
      <c r="Z116" s="19">
        <f t="shared" si="15"/>
        <v>0</v>
      </c>
    </row>
    <row r="117" spans="1:26" s="24" customFormat="1" hidden="1" outlineLevel="1" x14ac:dyDescent="0.25">
      <c r="A117" s="44"/>
      <c r="B117" s="11" t="str">
        <f>CONCATENATE("          ", "5082", " - ", "PURCHASES @ COST-COMPUTER HARD")</f>
        <v xml:space="preserve">          5082 - PURCHASES @ COST-COMPUTER HARD</v>
      </c>
      <c r="C117" s="11"/>
      <c r="D117" s="2">
        <v>129194.07</v>
      </c>
      <c r="E117" s="2"/>
      <c r="F117" s="19">
        <f t="shared" si="8"/>
        <v>0.19677931499804119</v>
      </c>
      <c r="G117" s="2"/>
      <c r="H117" s="2"/>
      <c r="I117" s="2"/>
      <c r="J117" s="19">
        <f t="shared" si="9"/>
        <v>0</v>
      </c>
      <c r="K117" s="2"/>
      <c r="L117" s="2">
        <f t="shared" si="10"/>
        <v>129194.07</v>
      </c>
      <c r="M117" s="2"/>
      <c r="N117" s="19">
        <f t="shared" si="11"/>
        <v>0</v>
      </c>
      <c r="O117" s="11"/>
      <c r="P117" s="2">
        <v>1802534.87</v>
      </c>
      <c r="Q117" s="2"/>
      <c r="R117" s="19">
        <f t="shared" si="12"/>
        <v>0.23162974623331256</v>
      </c>
      <c r="S117" s="2"/>
      <c r="T117" s="2"/>
      <c r="U117" s="2"/>
      <c r="V117" s="19">
        <f t="shared" si="13"/>
        <v>0</v>
      </c>
      <c r="W117" s="2"/>
      <c r="X117" s="2">
        <f t="shared" si="14"/>
        <v>1802534.87</v>
      </c>
      <c r="Y117" s="2"/>
      <c r="Z117" s="19">
        <f t="shared" si="15"/>
        <v>0</v>
      </c>
    </row>
    <row r="118" spans="1:26" s="24" customFormat="1" hidden="1" outlineLevel="1" x14ac:dyDescent="0.25">
      <c r="A118" s="44"/>
      <c r="B118" s="11" t="str">
        <f>CONCATENATE("          ", "5083", " - ", "PURCHASES @ COST-COMPUTER EQUI")</f>
        <v xml:space="preserve">          5083 - PURCHASES @ COST-COMPUTER EQUI</v>
      </c>
      <c r="C118" s="11"/>
      <c r="D118" s="2">
        <v>7514.45</v>
      </c>
      <c r="E118" s="2"/>
      <c r="F118" s="19">
        <f t="shared" si="8"/>
        <v>1.1445481387706345E-2</v>
      </c>
      <c r="G118" s="2"/>
      <c r="H118" s="2"/>
      <c r="I118" s="2"/>
      <c r="J118" s="19">
        <f t="shared" si="9"/>
        <v>0</v>
      </c>
      <c r="K118" s="2"/>
      <c r="L118" s="2">
        <f t="shared" si="10"/>
        <v>7514.45</v>
      </c>
      <c r="M118" s="2"/>
      <c r="N118" s="19">
        <f t="shared" si="11"/>
        <v>0</v>
      </c>
      <c r="O118" s="11"/>
      <c r="P118" s="2">
        <v>127029.94</v>
      </c>
      <c r="Q118" s="2"/>
      <c r="R118" s="19">
        <f t="shared" si="12"/>
        <v>1.632363026976167E-2</v>
      </c>
      <c r="S118" s="2"/>
      <c r="T118" s="2"/>
      <c r="U118" s="2"/>
      <c r="V118" s="19">
        <f t="shared" si="13"/>
        <v>0</v>
      </c>
      <c r="W118" s="2"/>
      <c r="X118" s="2">
        <f t="shared" si="14"/>
        <v>127029.94</v>
      </c>
      <c r="Y118" s="2"/>
      <c r="Z118" s="19">
        <f t="shared" si="15"/>
        <v>0</v>
      </c>
    </row>
    <row r="119" spans="1:26" s="24" customFormat="1" hidden="1" outlineLevel="1" x14ac:dyDescent="0.25">
      <c r="A119" s="44"/>
      <c r="B119" s="11" t="str">
        <f>CONCATENATE("          ", "5085", " - ", "PURCHASES @ COST-SOFTWARE")</f>
        <v xml:space="preserve">          5085 - PURCHASES @ COST-SOFTWARE</v>
      </c>
      <c r="C119" s="11"/>
      <c r="D119" s="2">
        <v>8375.49</v>
      </c>
      <c r="E119" s="2"/>
      <c r="F119" s="19">
        <f t="shared" si="8"/>
        <v>1.2756956917395233E-2</v>
      </c>
      <c r="G119" s="2"/>
      <c r="H119" s="2"/>
      <c r="I119" s="2"/>
      <c r="J119" s="19">
        <f t="shared" si="9"/>
        <v>0</v>
      </c>
      <c r="K119" s="2"/>
      <c r="L119" s="2">
        <f t="shared" si="10"/>
        <v>8375.49</v>
      </c>
      <c r="M119" s="2"/>
      <c r="N119" s="19">
        <f t="shared" si="11"/>
        <v>0</v>
      </c>
      <c r="O119" s="11"/>
      <c r="P119" s="2">
        <v>46286.37</v>
      </c>
      <c r="Q119" s="2"/>
      <c r="R119" s="19">
        <f t="shared" si="12"/>
        <v>5.9479016553844596E-3</v>
      </c>
      <c r="S119" s="2"/>
      <c r="T119" s="2"/>
      <c r="U119" s="2"/>
      <c r="V119" s="19">
        <f t="shared" si="13"/>
        <v>0</v>
      </c>
      <c r="W119" s="2"/>
      <c r="X119" s="2">
        <f t="shared" si="14"/>
        <v>46286.37</v>
      </c>
      <c r="Y119" s="2"/>
      <c r="Z119" s="19">
        <f t="shared" si="15"/>
        <v>0</v>
      </c>
    </row>
    <row r="120" spans="1:26" s="24" customFormat="1" hidden="1" outlineLevel="1" x14ac:dyDescent="0.25">
      <c r="A120" s="44"/>
      <c r="B120" s="11" t="str">
        <f>CONCATENATE("          ", "5086", " - ", "PURCHASES @ COST-COMPUTER SUPP")</f>
        <v xml:space="preserve">          5086 - PURCHASES @ COST-COMPUTER SUPP</v>
      </c>
      <c r="C120" s="11"/>
      <c r="D120" s="2">
        <v>83.62</v>
      </c>
      <c r="E120" s="2"/>
      <c r="F120" s="19">
        <f t="shared" si="8"/>
        <v>1.273640989879505E-4</v>
      </c>
      <c r="G120" s="2"/>
      <c r="H120" s="2"/>
      <c r="I120" s="2"/>
      <c r="J120" s="19">
        <f t="shared" si="9"/>
        <v>0</v>
      </c>
      <c r="K120" s="2"/>
      <c r="L120" s="2">
        <f t="shared" si="10"/>
        <v>83.62</v>
      </c>
      <c r="M120" s="2"/>
      <c r="N120" s="19">
        <f t="shared" si="11"/>
        <v>0</v>
      </c>
      <c r="O120" s="11"/>
      <c r="P120" s="2">
        <v>23776.22</v>
      </c>
      <c r="Q120" s="2"/>
      <c r="R120" s="19">
        <f t="shared" si="12"/>
        <v>3.0552972353802012E-3</v>
      </c>
      <c r="S120" s="2"/>
      <c r="T120" s="2"/>
      <c r="U120" s="2"/>
      <c r="V120" s="19">
        <f t="shared" si="13"/>
        <v>0</v>
      </c>
      <c r="W120" s="2"/>
      <c r="X120" s="2">
        <f t="shared" si="14"/>
        <v>23776.22</v>
      </c>
      <c r="Y120" s="2"/>
      <c r="Z120" s="19">
        <f t="shared" si="15"/>
        <v>0</v>
      </c>
    </row>
    <row r="121" spans="1:26" s="24" customFormat="1" hidden="1" outlineLevel="1" x14ac:dyDescent="0.25">
      <c r="A121" s="44"/>
      <c r="B121" s="11" t="str">
        <f>CONCATENATE("          ", "5092", " - ", "PURCHASES @ COST-GRAD MERCH")</f>
        <v xml:space="preserve">          5092 - PURCHASES @ COST-GRAD MERCH</v>
      </c>
      <c r="C121" s="11"/>
      <c r="D121" s="2"/>
      <c r="E121" s="2"/>
      <c r="F121" s="19">
        <f t="shared" si="8"/>
        <v>0</v>
      </c>
      <c r="G121" s="2"/>
      <c r="H121" s="2"/>
      <c r="I121" s="2"/>
      <c r="J121" s="19">
        <f t="shared" si="9"/>
        <v>0</v>
      </c>
      <c r="K121" s="2"/>
      <c r="L121" s="2">
        <f t="shared" si="10"/>
        <v>0</v>
      </c>
      <c r="M121" s="2"/>
      <c r="N121" s="19">
        <f t="shared" si="11"/>
        <v>0</v>
      </c>
      <c r="O121" s="11"/>
      <c r="P121" s="2">
        <v>0</v>
      </c>
      <c r="Q121" s="2"/>
      <c r="R121" s="19">
        <f t="shared" si="12"/>
        <v>0</v>
      </c>
      <c r="S121" s="2"/>
      <c r="T121" s="2"/>
      <c r="U121" s="2"/>
      <c r="V121" s="19">
        <f t="shared" si="13"/>
        <v>0</v>
      </c>
      <c r="W121" s="2"/>
      <c r="X121" s="2">
        <f t="shared" si="14"/>
        <v>0</v>
      </c>
      <c r="Y121" s="2"/>
      <c r="Z121" s="19">
        <f t="shared" si="15"/>
        <v>0</v>
      </c>
    </row>
    <row r="122" spans="1:26" s="24" customFormat="1" hidden="1" outlineLevel="1" x14ac:dyDescent="0.25">
      <c r="A122" s="44"/>
      <c r="B122" s="11" t="str">
        <f>CONCATENATE("          ", "5200", " - ", "PURCHASES OFFSET")</f>
        <v xml:space="preserve">          5200 - PURCHASES OFFSET</v>
      </c>
      <c r="C122" s="11"/>
      <c r="D122" s="2">
        <v>-307740.75</v>
      </c>
      <c r="E122" s="2"/>
      <c r="F122" s="19">
        <f t="shared" si="8"/>
        <v>-0.46872905220791822</v>
      </c>
      <c r="G122" s="2"/>
      <c r="H122" s="2"/>
      <c r="I122" s="2"/>
      <c r="J122" s="19">
        <f t="shared" si="9"/>
        <v>0</v>
      </c>
      <c r="K122" s="2"/>
      <c r="L122" s="2">
        <f t="shared" si="10"/>
        <v>-307740.75</v>
      </c>
      <c r="M122" s="2"/>
      <c r="N122" s="19">
        <f t="shared" si="11"/>
        <v>0</v>
      </c>
      <c r="O122" s="11"/>
      <c r="P122" s="2">
        <v>-3876506.96</v>
      </c>
      <c r="Q122" s="2"/>
      <c r="R122" s="19">
        <f t="shared" si="12"/>
        <v>-0.49813977990698721</v>
      </c>
      <c r="S122" s="2"/>
      <c r="T122" s="2"/>
      <c r="U122" s="2"/>
      <c r="V122" s="19">
        <f t="shared" si="13"/>
        <v>0</v>
      </c>
      <c r="W122" s="2"/>
      <c r="X122" s="2">
        <f t="shared" si="14"/>
        <v>-3876506.96</v>
      </c>
      <c r="Y122" s="2"/>
      <c r="Z122" s="19">
        <f t="shared" si="15"/>
        <v>0</v>
      </c>
    </row>
    <row r="123" spans="1:26" s="24" customFormat="1" hidden="1" outlineLevel="1" x14ac:dyDescent="0.25">
      <c r="A123" s="44"/>
      <c r="B123" s="11" t="str">
        <f>CONCATENATE("          ", "5300", " - ", "COG$ OFFSET")</f>
        <v xml:space="preserve">          5300 - COG$ OFFSET</v>
      </c>
      <c r="C123" s="11"/>
      <c r="D123" s="2">
        <v>297791</v>
      </c>
      <c r="E123" s="2"/>
      <c r="F123" s="19">
        <f t="shared" si="8"/>
        <v>0.45357429325186277</v>
      </c>
      <c r="G123" s="2"/>
      <c r="H123" s="2"/>
      <c r="I123" s="2"/>
      <c r="J123" s="19">
        <f t="shared" si="9"/>
        <v>0</v>
      </c>
      <c r="K123" s="2"/>
      <c r="L123" s="2">
        <f t="shared" si="10"/>
        <v>297791</v>
      </c>
      <c r="M123" s="2"/>
      <c r="N123" s="19">
        <f t="shared" si="11"/>
        <v>0</v>
      </c>
      <c r="O123" s="11"/>
      <c r="P123" s="2">
        <v>4928176</v>
      </c>
      <c r="Q123" s="2"/>
      <c r="R123" s="19">
        <f t="shared" si="12"/>
        <v>0.63328159431007358</v>
      </c>
      <c r="S123" s="2"/>
      <c r="T123" s="2"/>
      <c r="U123" s="2"/>
      <c r="V123" s="19">
        <f t="shared" si="13"/>
        <v>0</v>
      </c>
      <c r="W123" s="2"/>
      <c r="X123" s="2">
        <f t="shared" si="14"/>
        <v>4928176</v>
      </c>
      <c r="Y123" s="2"/>
      <c r="Z123" s="19">
        <f t="shared" si="15"/>
        <v>0</v>
      </c>
    </row>
    <row r="124" spans="1:26" s="24" customFormat="1" hidden="1" outlineLevel="1" x14ac:dyDescent="0.25">
      <c r="A124" s="44"/>
      <c r="B124" s="11" t="str">
        <f>CONCATENATE("          ", "5500", " - ", "FREIGHT-IN")</f>
        <v xml:space="preserve">          5500 - FREIGHT-IN</v>
      </c>
      <c r="C124" s="11"/>
      <c r="D124" s="2">
        <v>0</v>
      </c>
      <c r="E124" s="2"/>
      <c r="F124" s="19">
        <f t="shared" si="8"/>
        <v>0</v>
      </c>
      <c r="G124" s="2"/>
      <c r="H124" s="2"/>
      <c r="I124" s="2"/>
      <c r="J124" s="19">
        <f t="shared" si="9"/>
        <v>0</v>
      </c>
      <c r="K124" s="2"/>
      <c r="L124" s="2">
        <f t="shared" si="10"/>
        <v>0</v>
      </c>
      <c r="M124" s="2"/>
      <c r="N124" s="19">
        <f t="shared" si="11"/>
        <v>0</v>
      </c>
      <c r="O124" s="11"/>
      <c r="P124" s="2">
        <v>0</v>
      </c>
      <c r="Q124" s="2"/>
      <c r="R124" s="19">
        <f t="shared" si="12"/>
        <v>0</v>
      </c>
      <c r="S124" s="2"/>
      <c r="T124" s="2"/>
      <c r="U124" s="2"/>
      <c r="V124" s="19">
        <f t="shared" si="13"/>
        <v>0</v>
      </c>
      <c r="W124" s="2"/>
      <c r="X124" s="2">
        <f t="shared" si="14"/>
        <v>0</v>
      </c>
      <c r="Y124" s="2"/>
      <c r="Z124" s="19">
        <f t="shared" si="15"/>
        <v>0</v>
      </c>
    </row>
    <row r="125" spans="1:26" s="24" customFormat="1" hidden="1" outlineLevel="1" x14ac:dyDescent="0.25">
      <c r="A125" s="44"/>
      <c r="B125" s="11" t="str">
        <f>CONCATENATE("          ", "5501", " - ", "FREIGHT-IN-NEW TEXT")</f>
        <v xml:space="preserve">          5501 - FREIGHT-IN-NEW TEXT</v>
      </c>
      <c r="C125" s="11"/>
      <c r="D125" s="2">
        <v>1522.41</v>
      </c>
      <c r="E125" s="2"/>
      <c r="F125" s="19">
        <f t="shared" si="8"/>
        <v>2.3188277677618479E-3</v>
      </c>
      <c r="G125" s="2"/>
      <c r="H125" s="2"/>
      <c r="I125" s="2"/>
      <c r="J125" s="19">
        <f t="shared" si="9"/>
        <v>0</v>
      </c>
      <c r="K125" s="2"/>
      <c r="L125" s="2">
        <f t="shared" si="10"/>
        <v>1522.41</v>
      </c>
      <c r="M125" s="2"/>
      <c r="N125" s="19">
        <f t="shared" si="11"/>
        <v>0</v>
      </c>
      <c r="O125" s="11"/>
      <c r="P125" s="2">
        <v>51836.14</v>
      </c>
      <c r="Q125" s="2"/>
      <c r="R125" s="19">
        <f t="shared" si="12"/>
        <v>6.6610594633958239E-3</v>
      </c>
      <c r="S125" s="2"/>
      <c r="T125" s="2"/>
      <c r="U125" s="2"/>
      <c r="V125" s="19">
        <f t="shared" si="13"/>
        <v>0</v>
      </c>
      <c r="W125" s="2"/>
      <c r="X125" s="2">
        <f t="shared" si="14"/>
        <v>51836.14</v>
      </c>
      <c r="Y125" s="2"/>
      <c r="Z125" s="19">
        <f t="shared" si="15"/>
        <v>0</v>
      </c>
    </row>
    <row r="126" spans="1:26" s="24" customFormat="1" hidden="1" outlineLevel="1" x14ac:dyDescent="0.25">
      <c r="A126" s="44"/>
      <c r="B126" s="11" t="str">
        <f>CONCATENATE("          ", "5502", " - ", "FREIGHT-IN-USED TEXT")</f>
        <v xml:space="preserve">          5502 - FREIGHT-IN-USED TEXT</v>
      </c>
      <c r="C126" s="11"/>
      <c r="D126" s="2">
        <v>133.97</v>
      </c>
      <c r="E126" s="2"/>
      <c r="F126" s="19">
        <f t="shared" si="8"/>
        <v>2.0405367545342891E-4</v>
      </c>
      <c r="G126" s="2"/>
      <c r="H126" s="2"/>
      <c r="I126" s="2"/>
      <c r="J126" s="19">
        <f t="shared" si="9"/>
        <v>0</v>
      </c>
      <c r="K126" s="2"/>
      <c r="L126" s="2">
        <f t="shared" si="10"/>
        <v>133.97</v>
      </c>
      <c r="M126" s="2"/>
      <c r="N126" s="19">
        <f t="shared" si="11"/>
        <v>0</v>
      </c>
      <c r="O126" s="11"/>
      <c r="P126" s="2">
        <v>17992.87</v>
      </c>
      <c r="Q126" s="2"/>
      <c r="R126" s="19">
        <f t="shared" si="12"/>
        <v>2.3121238770315617E-3</v>
      </c>
      <c r="S126" s="2"/>
      <c r="T126" s="2"/>
      <c r="U126" s="2"/>
      <c r="V126" s="19">
        <f t="shared" si="13"/>
        <v>0</v>
      </c>
      <c r="W126" s="2"/>
      <c r="X126" s="2">
        <f t="shared" si="14"/>
        <v>17992.87</v>
      </c>
      <c r="Y126" s="2"/>
      <c r="Z126" s="19">
        <f t="shared" si="15"/>
        <v>0</v>
      </c>
    </row>
    <row r="127" spans="1:26" s="24" customFormat="1" hidden="1" outlineLevel="1" x14ac:dyDescent="0.25">
      <c r="A127" s="44"/>
      <c r="B127" s="11" t="str">
        <f>CONCATENATE("          ", "5504", " - ", "FREIGHT-IN-DIGITAL TEXT")</f>
        <v xml:space="preserve">          5504 - FREIGHT-IN-DIGITAL TEXT</v>
      </c>
      <c r="C127" s="11"/>
      <c r="D127" s="2"/>
      <c r="E127" s="2"/>
      <c r="F127" s="19">
        <f t="shared" si="8"/>
        <v>0</v>
      </c>
      <c r="G127" s="2"/>
      <c r="H127" s="2"/>
      <c r="I127" s="2"/>
      <c r="J127" s="19">
        <f t="shared" si="9"/>
        <v>0</v>
      </c>
      <c r="K127" s="2"/>
      <c r="L127" s="2">
        <f t="shared" si="10"/>
        <v>0</v>
      </c>
      <c r="M127" s="2"/>
      <c r="N127" s="19">
        <f t="shared" si="11"/>
        <v>0</v>
      </c>
      <c r="O127" s="11"/>
      <c r="P127" s="2">
        <v>28.92</v>
      </c>
      <c r="Q127" s="2"/>
      <c r="R127" s="19">
        <f t="shared" si="12"/>
        <v>3.7162844239830984E-6</v>
      </c>
      <c r="S127" s="2"/>
      <c r="T127" s="2"/>
      <c r="U127" s="2"/>
      <c r="V127" s="19">
        <f t="shared" si="13"/>
        <v>0</v>
      </c>
      <c r="W127" s="2"/>
      <c r="X127" s="2">
        <f t="shared" si="14"/>
        <v>28.92</v>
      </c>
      <c r="Y127" s="2"/>
      <c r="Z127" s="19">
        <f t="shared" si="15"/>
        <v>0</v>
      </c>
    </row>
    <row r="128" spans="1:26" s="24" customFormat="1" hidden="1" outlineLevel="1" x14ac:dyDescent="0.25">
      <c r="A128" s="44"/>
      <c r="B128" s="11" t="str">
        <f>CONCATENATE("          ", "5513", " - ", "FREIGHT-IN-TRADE BOOKS")</f>
        <v xml:space="preserve">          5513 - FREIGHT-IN-TRADE BOOKS</v>
      </c>
      <c r="C128" s="11"/>
      <c r="D128" s="2"/>
      <c r="E128" s="2"/>
      <c r="F128" s="19">
        <f t="shared" si="8"/>
        <v>0</v>
      </c>
      <c r="G128" s="2"/>
      <c r="H128" s="2"/>
      <c r="I128" s="2"/>
      <c r="J128" s="19">
        <f t="shared" si="9"/>
        <v>0</v>
      </c>
      <c r="K128" s="2"/>
      <c r="L128" s="2">
        <f t="shared" si="10"/>
        <v>0</v>
      </c>
      <c r="M128" s="2"/>
      <c r="N128" s="19">
        <f t="shared" si="11"/>
        <v>0</v>
      </c>
      <c r="O128" s="11"/>
      <c r="P128" s="2">
        <v>85.28</v>
      </c>
      <c r="Q128" s="2"/>
      <c r="R128" s="19">
        <f t="shared" si="12"/>
        <v>1.0958669975009633E-5</v>
      </c>
      <c r="S128" s="2"/>
      <c r="T128" s="2"/>
      <c r="U128" s="2"/>
      <c r="V128" s="19">
        <f t="shared" si="13"/>
        <v>0</v>
      </c>
      <c r="W128" s="2"/>
      <c r="X128" s="2">
        <f t="shared" si="14"/>
        <v>85.28</v>
      </c>
      <c r="Y128" s="2"/>
      <c r="Z128" s="19">
        <f t="shared" si="15"/>
        <v>0</v>
      </c>
    </row>
    <row r="129" spans="1:26" s="24" customFormat="1" hidden="1" outlineLevel="1" x14ac:dyDescent="0.25">
      <c r="A129" s="44"/>
      <c r="B129" s="11" t="str">
        <f>CONCATENATE("          ", "5525", " - ", "FREIGHT-IN-TEST FORMS")</f>
        <v xml:space="preserve">          5525 - FREIGHT-IN-TEST FORMS</v>
      </c>
      <c r="C129" s="11"/>
      <c r="D129" s="2"/>
      <c r="E129" s="2"/>
      <c r="F129" s="19">
        <f t="shared" si="8"/>
        <v>0</v>
      </c>
      <c r="G129" s="2"/>
      <c r="H129" s="2"/>
      <c r="I129" s="2"/>
      <c r="J129" s="19">
        <f t="shared" si="9"/>
        <v>0</v>
      </c>
      <c r="K129" s="2"/>
      <c r="L129" s="2">
        <f t="shared" si="10"/>
        <v>0</v>
      </c>
      <c r="M129" s="2"/>
      <c r="N129" s="19">
        <f t="shared" si="11"/>
        <v>0</v>
      </c>
      <c r="O129" s="11"/>
      <c r="P129" s="2">
        <v>48.14</v>
      </c>
      <c r="Q129" s="2"/>
      <c r="R129" s="19">
        <f t="shared" si="12"/>
        <v>6.1860972396454474E-6</v>
      </c>
      <c r="S129" s="2"/>
      <c r="T129" s="2"/>
      <c r="U129" s="2"/>
      <c r="V129" s="19">
        <f t="shared" si="13"/>
        <v>0</v>
      </c>
      <c r="W129" s="2"/>
      <c r="X129" s="2">
        <f t="shared" si="14"/>
        <v>48.14</v>
      </c>
      <c r="Y129" s="2"/>
      <c r="Z129" s="19">
        <f t="shared" si="15"/>
        <v>0</v>
      </c>
    </row>
    <row r="130" spans="1:26" s="24" customFormat="1" hidden="1" outlineLevel="1" x14ac:dyDescent="0.25">
      <c r="A130" s="44"/>
      <c r="B130" s="11" t="str">
        <f>CONCATENATE("          ", "5526", " - ", "FREIGHT-IN-WRITING INSTRUMENTS")</f>
        <v xml:space="preserve">          5526 - FREIGHT-IN-WRITING INSTRUMENTS</v>
      </c>
      <c r="C130" s="11"/>
      <c r="D130" s="2"/>
      <c r="E130" s="2"/>
      <c r="F130" s="19">
        <f t="shared" si="8"/>
        <v>0</v>
      </c>
      <c r="G130" s="2"/>
      <c r="H130" s="2"/>
      <c r="I130" s="2"/>
      <c r="J130" s="19">
        <f t="shared" si="9"/>
        <v>0</v>
      </c>
      <c r="K130" s="2"/>
      <c r="L130" s="2">
        <f t="shared" si="10"/>
        <v>0</v>
      </c>
      <c r="M130" s="2"/>
      <c r="N130" s="19">
        <f t="shared" si="11"/>
        <v>0</v>
      </c>
      <c r="O130" s="11"/>
      <c r="P130" s="2">
        <v>0</v>
      </c>
      <c r="Q130" s="2"/>
      <c r="R130" s="19">
        <f t="shared" si="12"/>
        <v>0</v>
      </c>
      <c r="S130" s="2"/>
      <c r="T130" s="2"/>
      <c r="U130" s="2"/>
      <c r="V130" s="19">
        <f t="shared" si="13"/>
        <v>0</v>
      </c>
      <c r="W130" s="2"/>
      <c r="X130" s="2">
        <f t="shared" si="14"/>
        <v>0</v>
      </c>
      <c r="Y130" s="2"/>
      <c r="Z130" s="19">
        <f t="shared" si="15"/>
        <v>0</v>
      </c>
    </row>
    <row r="131" spans="1:26" s="24" customFormat="1" hidden="1" outlineLevel="1" x14ac:dyDescent="0.25">
      <c r="A131" s="44"/>
      <c r="B131" s="11" t="str">
        <f>CONCATENATE("          ", "5527", " - ", "FREIGHT-IN-SCHOOL SUPPLIES")</f>
        <v xml:space="preserve">          5527 - FREIGHT-IN-SCHOOL SUPPLIES</v>
      </c>
      <c r="C131" s="11"/>
      <c r="D131" s="2"/>
      <c r="E131" s="2"/>
      <c r="F131" s="19">
        <f t="shared" si="8"/>
        <v>0</v>
      </c>
      <c r="G131" s="2"/>
      <c r="H131" s="2"/>
      <c r="I131" s="2"/>
      <c r="J131" s="19">
        <f t="shared" si="9"/>
        <v>0</v>
      </c>
      <c r="K131" s="2"/>
      <c r="L131" s="2">
        <f t="shared" si="10"/>
        <v>0</v>
      </c>
      <c r="M131" s="2"/>
      <c r="N131" s="19">
        <f t="shared" si="11"/>
        <v>0</v>
      </c>
      <c r="O131" s="11"/>
      <c r="P131" s="2">
        <v>218.62</v>
      </c>
      <c r="Q131" s="2"/>
      <c r="R131" s="19">
        <f t="shared" si="12"/>
        <v>2.809315701145176E-5</v>
      </c>
      <c r="S131" s="2"/>
      <c r="T131" s="2"/>
      <c r="U131" s="2"/>
      <c r="V131" s="19">
        <f t="shared" si="13"/>
        <v>0</v>
      </c>
      <c r="W131" s="2"/>
      <c r="X131" s="2">
        <f t="shared" si="14"/>
        <v>218.62</v>
      </c>
      <c r="Y131" s="2"/>
      <c r="Z131" s="19">
        <f t="shared" si="15"/>
        <v>0</v>
      </c>
    </row>
    <row r="132" spans="1:26" s="24" customFormat="1" hidden="1" outlineLevel="1" x14ac:dyDescent="0.25">
      <c r="A132" s="44"/>
      <c r="B132" s="11" t="str">
        <f>CONCATENATE("          ", "5528", " - ", "FREIGHT-IN-ART/TECH")</f>
        <v xml:space="preserve">          5528 - FREIGHT-IN-ART/TECH</v>
      </c>
      <c r="C132" s="11"/>
      <c r="D132" s="2">
        <v>28.53</v>
      </c>
      <c r="E132" s="2"/>
      <c r="F132" s="19">
        <f t="shared" si="8"/>
        <v>4.3454888114401188E-5</v>
      </c>
      <c r="G132" s="2"/>
      <c r="H132" s="2"/>
      <c r="I132" s="2"/>
      <c r="J132" s="19">
        <f t="shared" si="9"/>
        <v>0</v>
      </c>
      <c r="K132" s="2"/>
      <c r="L132" s="2">
        <f t="shared" si="10"/>
        <v>28.53</v>
      </c>
      <c r="M132" s="2"/>
      <c r="N132" s="19">
        <f t="shared" si="11"/>
        <v>0</v>
      </c>
      <c r="O132" s="11"/>
      <c r="P132" s="2">
        <v>572.96</v>
      </c>
      <c r="Q132" s="2"/>
      <c r="R132" s="19">
        <f t="shared" si="12"/>
        <v>7.3626636361181052E-5</v>
      </c>
      <c r="S132" s="2"/>
      <c r="T132" s="2"/>
      <c r="U132" s="2"/>
      <c r="V132" s="19">
        <f t="shared" si="13"/>
        <v>0</v>
      </c>
      <c r="W132" s="2"/>
      <c r="X132" s="2">
        <f t="shared" si="14"/>
        <v>572.96</v>
      </c>
      <c r="Y132" s="2"/>
      <c r="Z132" s="19">
        <f t="shared" si="15"/>
        <v>0</v>
      </c>
    </row>
    <row r="133" spans="1:26" s="24" customFormat="1" hidden="1" outlineLevel="1" x14ac:dyDescent="0.25">
      <c r="A133" s="44"/>
      <c r="B133" s="11" t="str">
        <f>CONCATENATE("          ", "5540", " - ", "FREIGHT-IN-LOGO CLOTHING")</f>
        <v xml:space="preserve">          5540 - FREIGHT-IN-LOGO CLOTHING</v>
      </c>
      <c r="C133" s="11"/>
      <c r="D133" s="2">
        <v>1283.68</v>
      </c>
      <c r="E133" s="2"/>
      <c r="F133" s="19">
        <f t="shared" si="8"/>
        <v>1.9552110331123211E-3</v>
      </c>
      <c r="G133" s="2"/>
      <c r="H133" s="2"/>
      <c r="I133" s="2"/>
      <c r="J133" s="19">
        <f t="shared" si="9"/>
        <v>0</v>
      </c>
      <c r="K133" s="2"/>
      <c r="L133" s="2">
        <f t="shared" si="10"/>
        <v>1283.68</v>
      </c>
      <c r="M133" s="2"/>
      <c r="N133" s="19">
        <f t="shared" si="11"/>
        <v>0</v>
      </c>
      <c r="O133" s="11"/>
      <c r="P133" s="2">
        <v>10499.7</v>
      </c>
      <c r="Q133" s="2"/>
      <c r="R133" s="19">
        <f t="shared" si="12"/>
        <v>1.3492348397819965E-3</v>
      </c>
      <c r="S133" s="2"/>
      <c r="T133" s="2"/>
      <c r="U133" s="2"/>
      <c r="V133" s="19">
        <f t="shared" si="13"/>
        <v>0</v>
      </c>
      <c r="W133" s="2"/>
      <c r="X133" s="2">
        <f t="shared" si="14"/>
        <v>10499.7</v>
      </c>
      <c r="Y133" s="2"/>
      <c r="Z133" s="19">
        <f t="shared" si="15"/>
        <v>0</v>
      </c>
    </row>
    <row r="134" spans="1:26" s="24" customFormat="1" hidden="1" outlineLevel="1" x14ac:dyDescent="0.25">
      <c r="A134" s="44"/>
      <c r="B134" s="11" t="str">
        <f>CONCATENATE("          ", "5541", " - ", "FREIGHT-IN-LOGO GIFTS")</f>
        <v xml:space="preserve">          5541 - FREIGHT-IN-LOGO GIFTS</v>
      </c>
      <c r="C134" s="11"/>
      <c r="D134" s="2">
        <v>961.21</v>
      </c>
      <c r="E134" s="2"/>
      <c r="F134" s="19">
        <f t="shared" si="8"/>
        <v>1.4640474239202093E-3</v>
      </c>
      <c r="G134" s="2"/>
      <c r="H134" s="2"/>
      <c r="I134" s="2"/>
      <c r="J134" s="19">
        <f t="shared" si="9"/>
        <v>0</v>
      </c>
      <c r="K134" s="2"/>
      <c r="L134" s="2">
        <f t="shared" si="10"/>
        <v>961.21</v>
      </c>
      <c r="M134" s="2"/>
      <c r="N134" s="19">
        <f t="shared" si="11"/>
        <v>0</v>
      </c>
      <c r="O134" s="11"/>
      <c r="P134" s="2">
        <v>5977.2</v>
      </c>
      <c r="Q134" s="2"/>
      <c r="R134" s="19">
        <f t="shared" si="12"/>
        <v>7.6808351518090501E-4</v>
      </c>
      <c r="S134" s="2"/>
      <c r="T134" s="2"/>
      <c r="U134" s="2"/>
      <c r="V134" s="19">
        <f t="shared" si="13"/>
        <v>0</v>
      </c>
      <c r="W134" s="2"/>
      <c r="X134" s="2">
        <f t="shared" si="14"/>
        <v>5977.2</v>
      </c>
      <c r="Y134" s="2"/>
      <c r="Z134" s="19">
        <f t="shared" si="15"/>
        <v>0</v>
      </c>
    </row>
    <row r="135" spans="1:26" s="24" customFormat="1" hidden="1" outlineLevel="1" x14ac:dyDescent="0.25">
      <c r="A135" s="44"/>
      <c r="B135" s="11" t="str">
        <f>CONCATENATE("          ", "5542", " - ", "FREIGHT-IN-EVERYDAY GIFTS")</f>
        <v xml:space="preserve">          5542 - FREIGHT-IN-EVERYDAY GIFTS</v>
      </c>
      <c r="C135" s="11"/>
      <c r="D135" s="2"/>
      <c r="E135" s="2"/>
      <c r="F135" s="19">
        <f t="shared" si="8"/>
        <v>0</v>
      </c>
      <c r="G135" s="2"/>
      <c r="H135" s="2"/>
      <c r="I135" s="2"/>
      <c r="J135" s="19">
        <f t="shared" si="9"/>
        <v>0</v>
      </c>
      <c r="K135" s="2"/>
      <c r="L135" s="2">
        <f t="shared" si="10"/>
        <v>0</v>
      </c>
      <c r="M135" s="2"/>
      <c r="N135" s="19">
        <f t="shared" si="11"/>
        <v>0</v>
      </c>
      <c r="O135" s="11"/>
      <c r="P135" s="2">
        <v>681.72</v>
      </c>
      <c r="Q135" s="2"/>
      <c r="R135" s="19">
        <f t="shared" si="12"/>
        <v>8.7602538641692873E-5</v>
      </c>
      <c r="S135" s="2"/>
      <c r="T135" s="2"/>
      <c r="U135" s="2"/>
      <c r="V135" s="19">
        <f t="shared" si="13"/>
        <v>0</v>
      </c>
      <c r="W135" s="2"/>
      <c r="X135" s="2">
        <f t="shared" si="14"/>
        <v>681.72</v>
      </c>
      <c r="Y135" s="2"/>
      <c r="Z135" s="19">
        <f t="shared" si="15"/>
        <v>0</v>
      </c>
    </row>
    <row r="136" spans="1:26" s="24" customFormat="1" hidden="1" outlineLevel="1" x14ac:dyDescent="0.25">
      <c r="A136" s="44"/>
      <c r="B136" s="11" t="str">
        <f>CONCATENATE("          ", "5543", " - ", "FREIGHT-IN-CARDS")</f>
        <v xml:space="preserve">          5543 - FREIGHT-IN-CARDS</v>
      </c>
      <c r="C136" s="11"/>
      <c r="D136" s="2"/>
      <c r="E136" s="2"/>
      <c r="F136" s="19">
        <f t="shared" si="8"/>
        <v>0</v>
      </c>
      <c r="G136" s="2"/>
      <c r="H136" s="2"/>
      <c r="I136" s="2"/>
      <c r="J136" s="19">
        <f t="shared" si="9"/>
        <v>0</v>
      </c>
      <c r="K136" s="2"/>
      <c r="L136" s="2">
        <f t="shared" si="10"/>
        <v>0</v>
      </c>
      <c r="M136" s="2"/>
      <c r="N136" s="19">
        <f t="shared" si="11"/>
        <v>0</v>
      </c>
      <c r="O136" s="11"/>
      <c r="P136" s="2">
        <v>9110.5300000000007</v>
      </c>
      <c r="Q136" s="2"/>
      <c r="R136" s="19">
        <f t="shared" si="12"/>
        <v>1.1707234001808692E-3</v>
      </c>
      <c r="S136" s="2"/>
      <c r="T136" s="2"/>
      <c r="U136" s="2"/>
      <c r="V136" s="19">
        <f t="shared" si="13"/>
        <v>0</v>
      </c>
      <c r="W136" s="2"/>
      <c r="X136" s="2">
        <f t="shared" si="14"/>
        <v>9110.5300000000007</v>
      </c>
      <c r="Y136" s="2"/>
      <c r="Z136" s="19">
        <f t="shared" si="15"/>
        <v>0</v>
      </c>
    </row>
    <row r="137" spans="1:26" s="24" customFormat="1" hidden="1" outlineLevel="1" x14ac:dyDescent="0.25">
      <c r="A137" s="44"/>
      <c r="B137" s="11" t="str">
        <f>CONCATENATE("          ", "5545", " - ", "FREIGHT-IN-SPECIAL ORDERS")</f>
        <v xml:space="preserve">          5545 - FREIGHT-IN-SPECIAL ORDERS</v>
      </c>
      <c r="C137" s="11"/>
      <c r="D137" s="2">
        <v>1033.9000000000001</v>
      </c>
      <c r="E137" s="2"/>
      <c r="F137" s="19">
        <f t="shared" si="8"/>
        <v>1.574763716140182E-3</v>
      </c>
      <c r="G137" s="2"/>
      <c r="H137" s="2"/>
      <c r="I137" s="2"/>
      <c r="J137" s="19">
        <f t="shared" si="9"/>
        <v>0</v>
      </c>
      <c r="K137" s="2"/>
      <c r="L137" s="2">
        <f t="shared" si="10"/>
        <v>1033.9000000000001</v>
      </c>
      <c r="M137" s="2"/>
      <c r="N137" s="19">
        <f t="shared" si="11"/>
        <v>0</v>
      </c>
      <c r="O137" s="11"/>
      <c r="P137" s="2">
        <v>2468.66</v>
      </c>
      <c r="Q137" s="2"/>
      <c r="R137" s="19">
        <f t="shared" si="12"/>
        <v>3.1722830933990712E-4</v>
      </c>
      <c r="S137" s="2"/>
      <c r="T137" s="2"/>
      <c r="U137" s="2"/>
      <c r="V137" s="19">
        <f t="shared" si="13"/>
        <v>0</v>
      </c>
      <c r="W137" s="2"/>
      <c r="X137" s="2">
        <f t="shared" si="14"/>
        <v>2468.66</v>
      </c>
      <c r="Y137" s="2"/>
      <c r="Z137" s="19">
        <f t="shared" si="15"/>
        <v>0</v>
      </c>
    </row>
    <row r="138" spans="1:26" s="24" customFormat="1" hidden="1" outlineLevel="1" x14ac:dyDescent="0.25">
      <c r="A138" s="44"/>
      <c r="B138" s="11" t="str">
        <f>CONCATENATE("          ", "5581", " - ", "FREIGHT-IN-ELECTRONICS")</f>
        <v xml:space="preserve">          5581 - FREIGHT-IN-ELECTRONICS</v>
      </c>
      <c r="C138" s="11"/>
      <c r="D138" s="2"/>
      <c r="E138" s="2"/>
      <c r="F138" s="19">
        <f t="shared" si="8"/>
        <v>0</v>
      </c>
      <c r="G138" s="2"/>
      <c r="H138" s="2"/>
      <c r="I138" s="2"/>
      <c r="J138" s="19">
        <f t="shared" si="9"/>
        <v>0</v>
      </c>
      <c r="K138" s="2"/>
      <c r="L138" s="2">
        <f t="shared" si="10"/>
        <v>0</v>
      </c>
      <c r="M138" s="2"/>
      <c r="N138" s="19">
        <f t="shared" si="11"/>
        <v>0</v>
      </c>
      <c r="O138" s="11"/>
      <c r="P138" s="2">
        <v>31</v>
      </c>
      <c r="Q138" s="2"/>
      <c r="R138" s="19">
        <f t="shared" si="12"/>
        <v>3.9835690575199183E-6</v>
      </c>
      <c r="S138" s="2"/>
      <c r="T138" s="2"/>
      <c r="U138" s="2"/>
      <c r="V138" s="19">
        <f t="shared" si="13"/>
        <v>0</v>
      </c>
      <c r="W138" s="2"/>
      <c r="X138" s="2">
        <f t="shared" si="14"/>
        <v>31</v>
      </c>
      <c r="Y138" s="2"/>
      <c r="Z138" s="19">
        <f t="shared" si="15"/>
        <v>0</v>
      </c>
    </row>
    <row r="139" spans="1:26" s="24" customFormat="1" hidden="1" outlineLevel="1" x14ac:dyDescent="0.25">
      <c r="A139" s="44"/>
      <c r="B139" s="11" t="str">
        <f>CONCATENATE("          ", "5582", " - ", "FREIGHT-IN-COMPUTER HARDWARE")</f>
        <v xml:space="preserve">          5582 - FREIGHT-IN-COMPUTER HARDWARE</v>
      </c>
      <c r="C139" s="11"/>
      <c r="D139" s="2">
        <v>20</v>
      </c>
      <c r="E139" s="2"/>
      <c r="F139" s="19">
        <f t="shared" si="8"/>
        <v>3.0462592439117553E-5</v>
      </c>
      <c r="G139" s="2"/>
      <c r="H139" s="2"/>
      <c r="I139" s="2"/>
      <c r="J139" s="19">
        <f t="shared" si="9"/>
        <v>0</v>
      </c>
      <c r="K139" s="2"/>
      <c r="L139" s="2">
        <f t="shared" si="10"/>
        <v>20</v>
      </c>
      <c r="M139" s="2"/>
      <c r="N139" s="19">
        <f t="shared" si="11"/>
        <v>0</v>
      </c>
      <c r="O139" s="11"/>
      <c r="P139" s="2">
        <v>145</v>
      </c>
      <c r="Q139" s="2"/>
      <c r="R139" s="19">
        <f t="shared" si="12"/>
        <v>1.8632823010980263E-5</v>
      </c>
      <c r="S139" s="2"/>
      <c r="T139" s="2"/>
      <c r="U139" s="2"/>
      <c r="V139" s="19">
        <f t="shared" si="13"/>
        <v>0</v>
      </c>
      <c r="W139" s="2"/>
      <c r="X139" s="2">
        <f t="shared" si="14"/>
        <v>145</v>
      </c>
      <c r="Y139" s="2"/>
      <c r="Z139" s="19">
        <f t="shared" si="15"/>
        <v>0</v>
      </c>
    </row>
    <row r="140" spans="1:26" s="24" customFormat="1" hidden="1" outlineLevel="1" x14ac:dyDescent="0.25">
      <c r="A140" s="44"/>
      <c r="B140" s="11" t="str">
        <f>CONCATENATE("          ", "5583", " - ", "FREIGHT-IN-COMPUTER EQUIPMENT")</f>
        <v xml:space="preserve">          5583 - FREIGHT-IN-COMPUTER EQUIPMENT</v>
      </c>
      <c r="C140" s="11"/>
      <c r="D140" s="2"/>
      <c r="E140" s="2"/>
      <c r="F140" s="19">
        <f t="shared" si="8"/>
        <v>0</v>
      </c>
      <c r="G140" s="2"/>
      <c r="H140" s="2"/>
      <c r="I140" s="2"/>
      <c r="J140" s="19">
        <f t="shared" si="9"/>
        <v>0</v>
      </c>
      <c r="K140" s="2"/>
      <c r="L140" s="2">
        <f t="shared" si="10"/>
        <v>0</v>
      </c>
      <c r="M140" s="2"/>
      <c r="N140" s="19">
        <f t="shared" si="11"/>
        <v>0</v>
      </c>
      <c r="O140" s="11"/>
      <c r="P140" s="2">
        <v>242.46</v>
      </c>
      <c r="Q140" s="2"/>
      <c r="R140" s="19">
        <f t="shared" si="12"/>
        <v>3.1156650118912241E-5</v>
      </c>
      <c r="S140" s="2"/>
      <c r="T140" s="2"/>
      <c r="U140" s="2"/>
      <c r="V140" s="19">
        <f t="shared" si="13"/>
        <v>0</v>
      </c>
      <c r="W140" s="2"/>
      <c r="X140" s="2">
        <f t="shared" si="14"/>
        <v>242.46</v>
      </c>
      <c r="Y140" s="2"/>
      <c r="Z140" s="19">
        <f t="shared" si="15"/>
        <v>0</v>
      </c>
    </row>
    <row r="141" spans="1:26" s="24" customFormat="1" hidden="1" outlineLevel="1" x14ac:dyDescent="0.25">
      <c r="A141" s="44"/>
      <c r="B141" s="11" t="str">
        <f>CONCATENATE("          ", "5585", " - ", "FREIGHT-IN-SOFTWARE")</f>
        <v xml:space="preserve">          5585 - FREIGHT-IN-SOFTWARE</v>
      </c>
      <c r="C141" s="11"/>
      <c r="D141" s="2"/>
      <c r="E141" s="2"/>
      <c r="F141" s="19">
        <f t="shared" si="8"/>
        <v>0</v>
      </c>
      <c r="G141" s="2"/>
      <c r="H141" s="2"/>
      <c r="I141" s="2"/>
      <c r="J141" s="19">
        <f t="shared" si="9"/>
        <v>0</v>
      </c>
      <c r="K141" s="2"/>
      <c r="L141" s="2">
        <f t="shared" si="10"/>
        <v>0</v>
      </c>
      <c r="M141" s="2"/>
      <c r="N141" s="19">
        <f t="shared" si="11"/>
        <v>0</v>
      </c>
      <c r="O141" s="11"/>
      <c r="P141" s="2">
        <v>9.41</v>
      </c>
      <c r="Q141" s="2"/>
      <c r="R141" s="19">
        <f t="shared" si="12"/>
        <v>1.2092059622987881E-6</v>
      </c>
      <c r="S141" s="2"/>
      <c r="T141" s="2"/>
      <c r="U141" s="2"/>
      <c r="V141" s="19">
        <f t="shared" si="13"/>
        <v>0</v>
      </c>
      <c r="W141" s="2"/>
      <c r="X141" s="2">
        <f t="shared" si="14"/>
        <v>9.41</v>
      </c>
      <c r="Y141" s="2"/>
      <c r="Z141" s="19">
        <f t="shared" si="15"/>
        <v>0</v>
      </c>
    </row>
    <row r="142" spans="1:26" s="24" customFormat="1" hidden="1" outlineLevel="1" x14ac:dyDescent="0.25">
      <c r="A142" s="44"/>
      <c r="B142" s="11" t="str">
        <f>CONCATENATE("          ", "5586", " - ", "FREIGHT-IN-COMPUTER SUPPLIES")</f>
        <v xml:space="preserve">          5586 - FREIGHT-IN-COMPUTER SUPPLIES</v>
      </c>
      <c r="C142" s="11"/>
      <c r="D142" s="2"/>
      <c r="E142" s="2"/>
      <c r="F142" s="19">
        <f t="shared" si="8"/>
        <v>0</v>
      </c>
      <c r="G142" s="2"/>
      <c r="H142" s="2"/>
      <c r="I142" s="2"/>
      <c r="J142" s="19">
        <f t="shared" si="9"/>
        <v>0</v>
      </c>
      <c r="K142" s="2"/>
      <c r="L142" s="2">
        <f t="shared" si="10"/>
        <v>0</v>
      </c>
      <c r="M142" s="2"/>
      <c r="N142" s="19">
        <f t="shared" si="11"/>
        <v>0</v>
      </c>
      <c r="O142" s="11"/>
      <c r="P142" s="2">
        <v>24.12</v>
      </c>
      <c r="Q142" s="2"/>
      <c r="R142" s="19">
        <f t="shared" si="12"/>
        <v>3.0994737312058204E-6</v>
      </c>
      <c r="S142" s="2"/>
      <c r="T142" s="2"/>
      <c r="U142" s="2"/>
      <c r="V142" s="19">
        <f t="shared" si="13"/>
        <v>0</v>
      </c>
      <c r="W142" s="2"/>
      <c r="X142" s="2">
        <f t="shared" si="14"/>
        <v>24.12</v>
      </c>
      <c r="Y142" s="2"/>
      <c r="Z142" s="19">
        <f t="shared" si="15"/>
        <v>0</v>
      </c>
    </row>
    <row r="143" spans="1:26" s="24" customFormat="1" hidden="1" outlineLevel="1" x14ac:dyDescent="0.25">
      <c r="A143" s="44"/>
      <c r="B143" s="11" t="str">
        <f>CONCATENATE("          ", "5592", " - ", "FREIGHT-IN-GRAD MERCH")</f>
        <v xml:space="preserve">          5592 - FREIGHT-IN-GRAD MERCH</v>
      </c>
      <c r="C143" s="11"/>
      <c r="D143" s="2"/>
      <c r="E143" s="2"/>
      <c r="F143" s="19">
        <f t="shared" si="8"/>
        <v>0</v>
      </c>
      <c r="G143" s="2"/>
      <c r="H143" s="2"/>
      <c r="I143" s="2"/>
      <c r="J143" s="19">
        <f t="shared" si="9"/>
        <v>0</v>
      </c>
      <c r="K143" s="2"/>
      <c r="L143" s="2">
        <f t="shared" si="10"/>
        <v>0</v>
      </c>
      <c r="M143" s="2"/>
      <c r="N143" s="19">
        <f t="shared" si="11"/>
        <v>0</v>
      </c>
      <c r="O143" s="11"/>
      <c r="P143" s="2">
        <v>0</v>
      </c>
      <c r="Q143" s="2"/>
      <c r="R143" s="19">
        <f t="shared" si="12"/>
        <v>0</v>
      </c>
      <c r="S143" s="2"/>
      <c r="T143" s="2"/>
      <c r="U143" s="2"/>
      <c r="V143" s="19">
        <f t="shared" si="13"/>
        <v>0</v>
      </c>
      <c r="W143" s="2"/>
      <c r="X143" s="2">
        <f t="shared" si="14"/>
        <v>0</v>
      </c>
      <c r="Y143" s="2"/>
      <c r="Z143" s="19">
        <f t="shared" si="15"/>
        <v>0</v>
      </c>
    </row>
    <row r="144" spans="1:26" x14ac:dyDescent="0.25">
      <c r="A144" s="9"/>
      <c r="B144" s="10"/>
      <c r="C144" s="10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O144" s="10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x14ac:dyDescent="0.25">
      <c r="A145" s="10"/>
      <c r="B145" s="28" t="s">
        <v>108</v>
      </c>
      <c r="C145" s="28"/>
      <c r="D145" s="20">
        <f>D12-D95</f>
        <v>351364.86999999965</v>
      </c>
      <c r="E145" s="14"/>
      <c r="F145" s="21">
        <f>IF(D$12=0,0,D145/D$12)</f>
        <v>0.53517424161167559</v>
      </c>
      <c r="G145" s="14"/>
      <c r="H145" s="20">
        <f>H12-H95</f>
        <v>300492</v>
      </c>
      <c r="I145" s="14"/>
      <c r="J145" s="21">
        <f>IF(H$12=0,0,H145/H$12)</f>
        <v>0.4372497206183647</v>
      </c>
      <c r="K145" s="15"/>
      <c r="L145" s="20">
        <f>+D145-H145</f>
        <v>50872.869999999646</v>
      </c>
      <c r="M145" s="15"/>
      <c r="N145" s="21">
        <f>IF(H145=0,0,L145/H145)</f>
        <v>0.16929858365613609</v>
      </c>
      <c r="O145" s="29"/>
      <c r="P145" s="20">
        <f>P12-P95</f>
        <v>2298695.5999999978</v>
      </c>
      <c r="Q145" s="14"/>
      <c r="R145" s="21">
        <f>IF(P$12=0,0,P145/P$12)</f>
        <v>0.29538750531668306</v>
      </c>
      <c r="S145" s="14"/>
      <c r="T145" s="20">
        <f>T12-T95</f>
        <v>4102317</v>
      </c>
      <c r="U145" s="14"/>
      <c r="V145" s="21">
        <f>IF(T$12=0,0,T145/T$12)</f>
        <v>0.37342057215408059</v>
      </c>
      <c r="W145" s="15"/>
      <c r="X145" s="20">
        <f>+P145-T145</f>
        <v>-1803621.4000000022</v>
      </c>
      <c r="Y145" s="15"/>
      <c r="Z145" s="21">
        <f>IF(T145=0,0,X145/T145)</f>
        <v>-0.43965919747303833</v>
      </c>
    </row>
    <row r="146" spans="1:26" x14ac:dyDescent="0.25">
      <c r="A146" s="9"/>
      <c r="B146" s="10"/>
      <c r="C146" s="9"/>
      <c r="D146" s="1"/>
      <c r="E146" s="1"/>
      <c r="F146" s="5"/>
      <c r="G146" s="1"/>
      <c r="H146" s="1"/>
      <c r="I146" s="1"/>
      <c r="J146" s="5"/>
      <c r="K146" s="1"/>
      <c r="L146" s="1"/>
      <c r="M146" s="1"/>
      <c r="N146" s="5"/>
      <c r="O146" s="36"/>
      <c r="P146" s="1"/>
      <c r="Q146" s="1"/>
      <c r="R146" s="5"/>
      <c r="S146" s="1"/>
      <c r="T146" s="1"/>
      <c r="U146" s="1"/>
      <c r="V146" s="5"/>
      <c r="W146" s="1"/>
      <c r="X146" s="1"/>
      <c r="Y146" s="1"/>
      <c r="Z146" s="5"/>
    </row>
    <row r="147" spans="1:26" s="23" customFormat="1" x14ac:dyDescent="0.25">
      <c r="A147" s="10"/>
      <c r="B147" s="29" t="s">
        <v>295</v>
      </c>
      <c r="C147" s="10"/>
      <c r="D147" s="22">
        <f>SUM(OSRRefD22x_0)</f>
        <v>244482.82999999993</v>
      </c>
      <c r="E147" s="22"/>
      <c r="F147" s="31">
        <f t="shared" ref="F147:F158" si="16">IF(D$12=0,0,D147/D$12)</f>
        <v>0.372379040432603</v>
      </c>
      <c r="G147" s="22"/>
      <c r="H147" s="22">
        <f>SUM(OSRRefH22x_0)</f>
        <v>359973.90613937465</v>
      </c>
      <c r="I147" s="22"/>
      <c r="J147" s="31">
        <f t="shared" ref="J147:J158" si="17">IF(H$12=0,0,H147/H$12)</f>
        <v>0.52380259670587903</v>
      </c>
      <c r="K147" s="4"/>
      <c r="L147" s="22">
        <f t="shared" ref="L147:L158" si="18">+D147-H147</f>
        <v>-115491.07613937472</v>
      </c>
      <c r="M147" s="4"/>
      <c r="N147" s="31">
        <f t="shared" ref="N147:N158" si="19">IF(H147=0,0,L147/H147)</f>
        <v>-0.32083179966566494</v>
      </c>
      <c r="O147" s="10"/>
      <c r="P147" s="22">
        <f>SUM(OSRRefP22x_0)</f>
        <v>3020510.2600000007</v>
      </c>
      <c r="Q147" s="22"/>
      <c r="R147" s="31">
        <f t="shared" ref="R147:R158" si="20">IF(P$12=0,0,P147/P$12)</f>
        <v>0.38814229708572406</v>
      </c>
      <c r="S147" s="22"/>
      <c r="T147" s="22">
        <f>SUM(OSRRefT22x_0)</f>
        <v>4297710.0856644353</v>
      </c>
      <c r="U147" s="22"/>
      <c r="V147" s="31">
        <f t="shared" ref="V147:V158" si="21">IF(T$12=0,0,T147/T$12)</f>
        <v>0.3912065691513299</v>
      </c>
      <c r="W147" s="4"/>
      <c r="X147" s="22">
        <f t="shared" ref="X147:X158" si="22">+P147-T147</f>
        <v>-1277199.8256644346</v>
      </c>
      <c r="Y147" s="4"/>
      <c r="Z147" s="31">
        <f t="shared" ref="Z147:Z158" si="23">IF(T147=0,0,X147/T147)</f>
        <v>-0.29718147576419796</v>
      </c>
    </row>
    <row r="148" spans="1:26" s="27" customFormat="1" outlineLevel="1" collapsed="1" x14ac:dyDescent="0.25">
      <c r="A148" s="26"/>
      <c r="B148" s="13" t="str">
        <f>CONCATENATE("     ","*Benefits                                         ")</f>
        <v xml:space="preserve">     *Benefits                                         </v>
      </c>
      <c r="C148" s="13"/>
      <c r="D148" s="1">
        <f>SUM(OSRRefD22_0x_0)</f>
        <v>50551.65</v>
      </c>
      <c r="E148" s="1"/>
      <c r="F148" s="5">
        <f t="shared" si="16"/>
        <v>7.6996715553745848E-2</v>
      </c>
      <c r="G148" s="1"/>
      <c r="H148" s="1">
        <f>SUM(OSRRefH22_0x_0)</f>
        <v>43867.500735682355</v>
      </c>
      <c r="I148" s="1"/>
      <c r="J148" s="5">
        <f t="shared" si="17"/>
        <v>6.3832156732635204E-2</v>
      </c>
      <c r="K148" s="1"/>
      <c r="L148" s="1">
        <f t="shared" si="18"/>
        <v>6684.1492643176462</v>
      </c>
      <c r="M148" s="1"/>
      <c r="N148" s="5">
        <f t="shared" si="19"/>
        <v>0.15237132620324273</v>
      </c>
      <c r="O148" s="13"/>
      <c r="P148" s="1">
        <f>SUM(OSRRefP22_0x_0)</f>
        <v>543992.03999999992</v>
      </c>
      <c r="Q148" s="1"/>
      <c r="R148" s="5">
        <f t="shared" si="20"/>
        <v>6.9904188970359271E-2</v>
      </c>
      <c r="S148" s="1"/>
      <c r="T148" s="1">
        <f>SUM(OSRRefT22_0x_0)</f>
        <v>524847.41151012783</v>
      </c>
      <c r="U148" s="1"/>
      <c r="V148" s="5">
        <f t="shared" si="21"/>
        <v>4.7775152602712111E-2</v>
      </c>
      <c r="W148" s="1"/>
      <c r="X148" s="1">
        <f t="shared" si="22"/>
        <v>19144.628489872091</v>
      </c>
      <c r="Y148" s="1"/>
      <c r="Z148" s="5">
        <f t="shared" si="23"/>
        <v>3.6476560748938097E-2</v>
      </c>
    </row>
    <row r="149" spans="1:26" s="24" customFormat="1" hidden="1" outlineLevel="2" x14ac:dyDescent="0.25">
      <c r="A149" s="25"/>
      <c r="B149" s="11" t="str">
        <f>CONCATENATE("          ", "6111", " - ", "F.I.C.A.")</f>
        <v xml:space="preserve">          6111 - F.I.C.A.</v>
      </c>
      <c r="C149" s="11"/>
      <c r="D149" s="7">
        <v>8783.1299999999992</v>
      </c>
      <c r="E149" s="2"/>
      <c r="F149" s="6">
        <f t="shared" si="16"/>
        <v>1.3377845476489326E-2</v>
      </c>
      <c r="G149" s="2"/>
      <c r="H149" s="7">
        <v>6940.8496081592302</v>
      </c>
      <c r="I149" s="2"/>
      <c r="J149" s="6">
        <f t="shared" si="17"/>
        <v>1.0099718302056991E-2</v>
      </c>
      <c r="K149" s="2"/>
      <c r="L149" s="7">
        <f t="shared" si="18"/>
        <v>1842.280391840769</v>
      </c>
      <c r="M149" s="2"/>
      <c r="N149" s="6">
        <f t="shared" si="19"/>
        <v>0.26542577578328436</v>
      </c>
      <c r="O149" s="11"/>
      <c r="P149" s="7">
        <v>103415.14</v>
      </c>
      <c r="Q149" s="2"/>
      <c r="R149" s="6">
        <f t="shared" si="20"/>
        <v>1.3289075863970658E-2</v>
      </c>
      <c r="S149" s="2"/>
      <c r="T149" s="7">
        <v>94080.882479375796</v>
      </c>
      <c r="U149" s="2"/>
      <c r="V149" s="6">
        <f t="shared" si="21"/>
        <v>8.5638766980243915E-3</v>
      </c>
      <c r="W149" s="2"/>
      <c r="X149" s="7">
        <f t="shared" si="22"/>
        <v>9334.2575206242036</v>
      </c>
      <c r="Y149" s="2"/>
      <c r="Z149" s="6">
        <f t="shared" si="23"/>
        <v>9.921524197724696E-2</v>
      </c>
    </row>
    <row r="150" spans="1:26" s="24" customFormat="1" hidden="1" outlineLevel="2" x14ac:dyDescent="0.25">
      <c r="A150" s="25"/>
      <c r="B150" s="11" t="str">
        <f>CONCATENATE("          ", "6112", " - ", "COMPENSATION INSURANCE")</f>
        <v xml:space="preserve">          6112 - COMPENSATION INSURANCE</v>
      </c>
      <c r="C150" s="11"/>
      <c r="D150" s="7">
        <v>2914.54</v>
      </c>
      <c r="E150" s="2"/>
      <c r="F150" s="6">
        <f t="shared" si="16"/>
        <v>4.4392222083752837E-3</v>
      </c>
      <c r="G150" s="2"/>
      <c r="H150" s="7">
        <v>2975.7504702307701</v>
      </c>
      <c r="I150" s="2"/>
      <c r="J150" s="6">
        <f t="shared" si="17"/>
        <v>4.3300522534322761E-3</v>
      </c>
      <c r="K150" s="2"/>
      <c r="L150" s="7">
        <f t="shared" si="18"/>
        <v>-61.21047023077017</v>
      </c>
      <c r="M150" s="2"/>
      <c r="N150" s="6">
        <f t="shared" si="19"/>
        <v>-2.0569759071910113E-2</v>
      </c>
      <c r="O150" s="11"/>
      <c r="P150" s="7">
        <v>26027.3</v>
      </c>
      <c r="Q150" s="2"/>
      <c r="R150" s="6">
        <f t="shared" si="20"/>
        <v>3.3445660300254251E-3</v>
      </c>
      <c r="S150" s="2"/>
      <c r="T150" s="7">
        <v>37909.5422968942</v>
      </c>
      <c r="U150" s="2"/>
      <c r="V150" s="6">
        <f t="shared" si="21"/>
        <v>3.4507823199927141E-3</v>
      </c>
      <c r="W150" s="2"/>
      <c r="X150" s="7">
        <f t="shared" si="22"/>
        <v>-11882.242296894201</v>
      </c>
      <c r="Y150" s="2"/>
      <c r="Z150" s="6">
        <f t="shared" si="23"/>
        <v>-0.31343671215644492</v>
      </c>
    </row>
    <row r="151" spans="1:26" s="24" customFormat="1" hidden="1" outlineLevel="2" x14ac:dyDescent="0.25">
      <c r="A151" s="25"/>
      <c r="B151" s="11" t="str">
        <f>CONCATENATE("          ", "6113", " - ", "GROUP INSURANCE")</f>
        <v xml:space="preserve">          6113 - GROUP INSURANCE</v>
      </c>
      <c r="C151" s="11"/>
      <c r="D151" s="7">
        <v>19337.900000000001</v>
      </c>
      <c r="E151" s="2"/>
      <c r="F151" s="6">
        <f t="shared" si="16"/>
        <v>2.9454128316420566E-2</v>
      </c>
      <c r="G151" s="2"/>
      <c r="H151" s="7">
        <v>18233.8461538462</v>
      </c>
      <c r="I151" s="2"/>
      <c r="J151" s="6">
        <f t="shared" si="17"/>
        <v>2.653230081522135E-2</v>
      </c>
      <c r="K151" s="2"/>
      <c r="L151" s="7">
        <f t="shared" si="18"/>
        <v>1104.0538461538017</v>
      </c>
      <c r="M151" s="2"/>
      <c r="N151" s="6">
        <f t="shared" si="19"/>
        <v>6.0549696253794236E-2</v>
      </c>
      <c r="O151" s="11"/>
      <c r="P151" s="7">
        <v>194638.22</v>
      </c>
      <c r="Q151" s="2"/>
      <c r="R151" s="6">
        <f t="shared" si="20"/>
        <v>2.5011444858153372E-2</v>
      </c>
      <c r="S151" s="2"/>
      <c r="T151" s="7">
        <v>204306.15384615399</v>
      </c>
      <c r="U151" s="2"/>
      <c r="V151" s="6">
        <f t="shared" si="21"/>
        <v>1.8597324600666022E-2</v>
      </c>
      <c r="W151" s="2"/>
      <c r="X151" s="7">
        <f t="shared" si="22"/>
        <v>-9667.9338461539883</v>
      </c>
      <c r="Y151" s="2"/>
      <c r="Z151" s="6">
        <f t="shared" si="23"/>
        <v>-4.7320815668793349E-2</v>
      </c>
    </row>
    <row r="152" spans="1:26" s="24" customFormat="1" hidden="1" outlineLevel="2" x14ac:dyDescent="0.25">
      <c r="A152" s="25"/>
      <c r="B152" s="11" t="str">
        <f>CONCATENATE("          ", "6114", " - ", "STATE UNEMPLOYMENT INSURANCE")</f>
        <v xml:space="preserve">          6114 - STATE UNEMPLOYMENT INSURANCE</v>
      </c>
      <c r="C152" s="11"/>
      <c r="D152" s="7">
        <v>509.8</v>
      </c>
      <c r="E152" s="2"/>
      <c r="F152" s="6">
        <f t="shared" si="16"/>
        <v>7.7649148127310647E-4</v>
      </c>
      <c r="G152" s="2"/>
      <c r="H152" s="7">
        <v>422.88609159999999</v>
      </c>
      <c r="I152" s="2"/>
      <c r="J152" s="6">
        <f t="shared" si="17"/>
        <v>6.1534691574315515E-4</v>
      </c>
      <c r="K152" s="2"/>
      <c r="L152" s="7">
        <f t="shared" si="18"/>
        <v>86.913908400000025</v>
      </c>
      <c r="M152" s="2"/>
      <c r="N152" s="6">
        <f t="shared" si="19"/>
        <v>0.20552557798994783</v>
      </c>
      <c r="O152" s="11"/>
      <c r="P152" s="7">
        <v>4273.58</v>
      </c>
      <c r="Q152" s="2"/>
      <c r="R152" s="6">
        <f t="shared" si="20"/>
        <v>5.4916455009148299E-4</v>
      </c>
      <c r="S152" s="2"/>
      <c r="T152" s="7">
        <v>5373.0817100499999</v>
      </c>
      <c r="U152" s="2"/>
      <c r="V152" s="6">
        <f t="shared" si="21"/>
        <v>4.8909415006141569E-4</v>
      </c>
      <c r="W152" s="2"/>
      <c r="X152" s="7">
        <f t="shared" si="22"/>
        <v>-1099.5017100499999</v>
      </c>
      <c r="Y152" s="2"/>
      <c r="Z152" s="6">
        <f t="shared" si="23"/>
        <v>-0.20463148885181728</v>
      </c>
    </row>
    <row r="153" spans="1:26" s="24" customFormat="1" hidden="1" outlineLevel="2" x14ac:dyDescent="0.25">
      <c r="A153" s="25"/>
      <c r="B153" s="11" t="str">
        <f>CONCATENATE("          ", "6115", " - ", "P.E.R.S.")</f>
        <v xml:space="preserve">          6115 - P.E.R.S.</v>
      </c>
      <c r="C153" s="11"/>
      <c r="D153" s="7">
        <v>6531.81</v>
      </c>
      <c r="E153" s="2"/>
      <c r="F153" s="6">
        <f t="shared" si="16"/>
        <v>9.9487932959876207E-3</v>
      </c>
      <c r="G153" s="2"/>
      <c r="H153" s="7">
        <v>4936.0490141538503</v>
      </c>
      <c r="I153" s="2"/>
      <c r="J153" s="6">
        <f t="shared" si="17"/>
        <v>7.1825075289768964E-3</v>
      </c>
      <c r="K153" s="2"/>
      <c r="L153" s="7">
        <f t="shared" si="18"/>
        <v>1595.7609858461501</v>
      </c>
      <c r="M153" s="2"/>
      <c r="N153" s="6">
        <f t="shared" si="19"/>
        <v>0.32328710295833629</v>
      </c>
      <c r="O153" s="11"/>
      <c r="P153" s="7">
        <v>76817.48</v>
      </c>
      <c r="Q153" s="2"/>
      <c r="R153" s="6">
        <f t="shared" si="20"/>
        <v>9.8712173033759735E-3</v>
      </c>
      <c r="S153" s="2"/>
      <c r="T153" s="7">
        <v>58926.987427846201</v>
      </c>
      <c r="U153" s="2"/>
      <c r="V153" s="6">
        <f t="shared" si="21"/>
        <v>5.3639319829800192E-3</v>
      </c>
      <c r="W153" s="2"/>
      <c r="X153" s="7">
        <f t="shared" si="22"/>
        <v>17890.492572153795</v>
      </c>
      <c r="Y153" s="2"/>
      <c r="Z153" s="6">
        <f t="shared" si="23"/>
        <v>0.30360439847803189</v>
      </c>
    </row>
    <row r="154" spans="1:26" s="24" customFormat="1" hidden="1" outlineLevel="2" x14ac:dyDescent="0.25">
      <c r="A154" s="25"/>
      <c r="B154" s="11" t="str">
        <f>CONCATENATE("          ", "6116", " - ", "EDUCATIONAL BENEFITS")</f>
        <v xml:space="preserve">          6116 - EDUCATIONAL BENEFITS</v>
      </c>
      <c r="C154" s="11"/>
      <c r="D154" s="7"/>
      <c r="E154" s="2"/>
      <c r="F154" s="6">
        <f t="shared" si="16"/>
        <v>0</v>
      </c>
      <c r="G154" s="2"/>
      <c r="H154" s="7">
        <v>0</v>
      </c>
      <c r="I154" s="2"/>
      <c r="J154" s="6">
        <f t="shared" si="17"/>
        <v>0</v>
      </c>
      <c r="K154" s="2"/>
      <c r="L154" s="7">
        <f t="shared" si="18"/>
        <v>0</v>
      </c>
      <c r="M154" s="2"/>
      <c r="N154" s="6">
        <f t="shared" si="19"/>
        <v>0</v>
      </c>
      <c r="O154" s="11"/>
      <c r="P154" s="7">
        <v>0</v>
      </c>
      <c r="Q154" s="2"/>
      <c r="R154" s="6">
        <f t="shared" si="20"/>
        <v>0</v>
      </c>
      <c r="S154" s="2"/>
      <c r="T154" s="7">
        <v>0</v>
      </c>
      <c r="U154" s="2"/>
      <c r="V154" s="6">
        <f t="shared" si="21"/>
        <v>0</v>
      </c>
      <c r="W154" s="2"/>
      <c r="X154" s="7">
        <f t="shared" si="22"/>
        <v>0</v>
      </c>
      <c r="Y154" s="2"/>
      <c r="Z154" s="6">
        <f t="shared" si="23"/>
        <v>0</v>
      </c>
    </row>
    <row r="155" spans="1:26" s="24" customFormat="1" hidden="1" outlineLevel="2" x14ac:dyDescent="0.25">
      <c r="A155" s="25"/>
      <c r="B155" s="11" t="str">
        <f>CONCATENATE("          ", "6117", " - ", "RETIREMENT STAFF HOURLY")</f>
        <v xml:space="preserve">          6117 - RETIREMENT STAFF HOURLY</v>
      </c>
      <c r="C155" s="11"/>
      <c r="D155" s="7">
        <v>654.14</v>
      </c>
      <c r="E155" s="2"/>
      <c r="F155" s="6">
        <f t="shared" si="16"/>
        <v>9.9634001090621784E-4</v>
      </c>
      <c r="G155" s="2"/>
      <c r="H155" s="7"/>
      <c r="I155" s="2"/>
      <c r="J155" s="6">
        <f t="shared" si="17"/>
        <v>0</v>
      </c>
      <c r="K155" s="2"/>
      <c r="L155" s="7">
        <f t="shared" si="18"/>
        <v>654.14</v>
      </c>
      <c r="M155" s="2"/>
      <c r="N155" s="6">
        <f t="shared" si="19"/>
        <v>0</v>
      </c>
      <c r="O155" s="11"/>
      <c r="P155" s="7">
        <v>6311.05</v>
      </c>
      <c r="Q155" s="2"/>
      <c r="R155" s="6">
        <f t="shared" si="20"/>
        <v>8.1098398388584133E-4</v>
      </c>
      <c r="S155" s="2"/>
      <c r="T155" s="7"/>
      <c r="U155" s="2"/>
      <c r="V155" s="6">
        <f t="shared" si="21"/>
        <v>0</v>
      </c>
      <c r="W155" s="2"/>
      <c r="X155" s="7">
        <f t="shared" si="22"/>
        <v>6311.05</v>
      </c>
      <c r="Y155" s="2"/>
      <c r="Z155" s="6">
        <f t="shared" si="23"/>
        <v>0</v>
      </c>
    </row>
    <row r="156" spans="1:26" s="24" customFormat="1" hidden="1" outlineLevel="2" x14ac:dyDescent="0.25">
      <c r="A156" s="25"/>
      <c r="B156" s="11" t="str">
        <f>CONCATENATE("          ", "6118", " - ", "VACATION")</f>
        <v xml:space="preserve">          6118 - VACATION</v>
      </c>
      <c r="C156" s="11"/>
      <c r="D156" s="7">
        <v>5837.16</v>
      </c>
      <c r="E156" s="2"/>
      <c r="F156" s="6">
        <f t="shared" si="16"/>
        <v>8.8907513040959712E-3</v>
      </c>
      <c r="G156" s="2"/>
      <c r="H156" s="7">
        <v>4173.5870123076902</v>
      </c>
      <c r="I156" s="2"/>
      <c r="J156" s="6">
        <f t="shared" si="17"/>
        <v>6.0730393990787541E-3</v>
      </c>
      <c r="K156" s="2"/>
      <c r="L156" s="7">
        <f t="shared" si="18"/>
        <v>1663.5729876923097</v>
      </c>
      <c r="M156" s="2"/>
      <c r="N156" s="6">
        <f t="shared" si="19"/>
        <v>0.39859549658040427</v>
      </c>
      <c r="O156" s="11"/>
      <c r="P156" s="7">
        <v>66282.990000000005</v>
      </c>
      <c r="Q156" s="2"/>
      <c r="R156" s="6">
        <f t="shared" si="20"/>
        <v>8.5175118710936193E-3</v>
      </c>
      <c r="S156" s="2"/>
      <c r="T156" s="7">
        <v>49867.929297692302</v>
      </c>
      <c r="U156" s="2"/>
      <c r="V156" s="6">
        <f t="shared" si="21"/>
        <v>4.5393153894454034E-3</v>
      </c>
      <c r="W156" s="2"/>
      <c r="X156" s="7">
        <f t="shared" si="22"/>
        <v>16415.060702307703</v>
      </c>
      <c r="Y156" s="2"/>
      <c r="Z156" s="6">
        <f t="shared" si="23"/>
        <v>0.32917069013064731</v>
      </c>
    </row>
    <row r="157" spans="1:26" s="24" customFormat="1" hidden="1" outlineLevel="2" x14ac:dyDescent="0.25">
      <c r="A157" s="25"/>
      <c r="B157" s="11" t="str">
        <f>CONCATENATE("          ", "6119", " - ", "SICK LEAVE")</f>
        <v xml:space="preserve">          6119 - SICK LEAVE</v>
      </c>
      <c r="C157" s="11"/>
      <c r="D157" s="7">
        <v>4091.66</v>
      </c>
      <c r="E157" s="2"/>
      <c r="F157" s="6">
        <f t="shared" si="16"/>
        <v>6.2321285489719859E-3</v>
      </c>
      <c r="G157" s="2"/>
      <c r="H157" s="7">
        <v>4384.5323853846103</v>
      </c>
      <c r="I157" s="2"/>
      <c r="J157" s="6">
        <f t="shared" si="17"/>
        <v>6.3799886870585338E-3</v>
      </c>
      <c r="K157" s="2"/>
      <c r="L157" s="7">
        <f t="shared" si="18"/>
        <v>-292.87238538461042</v>
      </c>
      <c r="M157" s="2"/>
      <c r="N157" s="6">
        <f t="shared" si="19"/>
        <v>-6.6796720754274855E-2</v>
      </c>
      <c r="O157" s="11"/>
      <c r="P157" s="7">
        <v>47684.84</v>
      </c>
      <c r="Q157" s="2"/>
      <c r="R157" s="6">
        <f t="shared" si="20"/>
        <v>6.1276081657028417E-3</v>
      </c>
      <c r="S157" s="2"/>
      <c r="T157" s="7">
        <v>54582.834452115399</v>
      </c>
      <c r="U157" s="2"/>
      <c r="V157" s="6">
        <f t="shared" si="21"/>
        <v>4.9684978686192205E-3</v>
      </c>
      <c r="W157" s="2"/>
      <c r="X157" s="7">
        <f t="shared" si="22"/>
        <v>-6897.994452115403</v>
      </c>
      <c r="Y157" s="2"/>
      <c r="Z157" s="6">
        <f t="shared" si="23"/>
        <v>-0.12637662593661927</v>
      </c>
    </row>
    <row r="158" spans="1:26" s="24" customFormat="1" hidden="1" outlineLevel="2" x14ac:dyDescent="0.25">
      <c r="A158" s="25"/>
      <c r="B158" s="11" t="str">
        <f>CONCATENATE("          ", "6156", " - ", "EMPLOYEE MEALS")</f>
        <v xml:space="preserve">          6156 - EMPLOYEE MEALS</v>
      </c>
      <c r="C158" s="11"/>
      <c r="D158" s="7">
        <v>1891.51</v>
      </c>
      <c r="E158" s="2"/>
      <c r="F158" s="6">
        <f t="shared" si="16"/>
        <v>2.8810149112257623E-3</v>
      </c>
      <c r="G158" s="2"/>
      <c r="H158" s="7">
        <v>1800</v>
      </c>
      <c r="I158" s="2"/>
      <c r="J158" s="6">
        <f t="shared" si="17"/>
        <v>2.6192028310672378E-3</v>
      </c>
      <c r="K158" s="2"/>
      <c r="L158" s="7">
        <f t="shared" si="18"/>
        <v>91.509999999999991</v>
      </c>
      <c r="M158" s="2"/>
      <c r="N158" s="6">
        <f t="shared" si="19"/>
        <v>5.0838888888888885E-2</v>
      </c>
      <c r="O158" s="11"/>
      <c r="P158" s="7">
        <v>18541.439999999999</v>
      </c>
      <c r="Q158" s="2"/>
      <c r="R158" s="6">
        <f t="shared" si="20"/>
        <v>2.3826163440600679E-3</v>
      </c>
      <c r="S158" s="2"/>
      <c r="T158" s="7">
        <v>19800</v>
      </c>
      <c r="U158" s="2"/>
      <c r="V158" s="6">
        <f t="shared" si="21"/>
        <v>1.8023295929229253E-3</v>
      </c>
      <c r="W158" s="2"/>
      <c r="X158" s="7">
        <f t="shared" si="22"/>
        <v>-1258.5600000000013</v>
      </c>
      <c r="Y158" s="2"/>
      <c r="Z158" s="6">
        <f t="shared" si="23"/>
        <v>-6.3563636363636433E-2</v>
      </c>
    </row>
    <row r="159" spans="1:26" s="27" customFormat="1" outlineLevel="1" collapsed="1" x14ac:dyDescent="0.25">
      <c r="A159" s="26"/>
      <c r="B159" s="13" t="str">
        <f>CONCATENATE("     ","*Payroll                                          ")</f>
        <v xml:space="preserve">     *Payroll                                          </v>
      </c>
      <c r="C159" s="13"/>
      <c r="D159" s="1">
        <f>SUM(OSRRefD22_1x_0)</f>
        <v>129825.17000000003</v>
      </c>
      <c r="E159" s="1"/>
      <c r="F159" s="5">
        <f t="shared" ref="F159:F169" si="24">IF(D$12=0,0,D159/D$12)</f>
        <v>0.19774056210245758</v>
      </c>
      <c r="G159" s="1"/>
      <c r="H159" s="1">
        <f>SUM(OSRRefH22_1x_0)</f>
        <v>149993.4054036923</v>
      </c>
      <c r="I159" s="1"/>
      <c r="J159" s="5">
        <f t="shared" ref="J159:J169" si="25">IF(H$12=0,0,H159/H$12)</f>
        <v>0.21825730670820379</v>
      </c>
      <c r="K159" s="1"/>
      <c r="L159" s="1">
        <f t="shared" ref="L159:L169" si="26">+D159-H159</f>
        <v>-20168.235403692277</v>
      </c>
      <c r="M159" s="1"/>
      <c r="N159" s="5">
        <f t="shared" ref="N159:N169" si="27">IF(H159=0,0,L159/H159)</f>
        <v>-0.13446081412320415</v>
      </c>
      <c r="O159" s="13"/>
      <c r="P159" s="1">
        <f>SUM(OSRRefP22_1x_0)</f>
        <v>1460759.89</v>
      </c>
      <c r="Q159" s="1"/>
      <c r="R159" s="5">
        <f t="shared" ref="R159:R169" si="28">IF(P$12=0,0,P159/P$12)</f>
        <v>0.18771089994419998</v>
      </c>
      <c r="S159" s="1"/>
      <c r="T159" s="1">
        <f>SUM(OSRRefT22_1x_0)</f>
        <v>1922750.6741543077</v>
      </c>
      <c r="U159" s="1"/>
      <c r="V159" s="5">
        <f t="shared" ref="V159:V169" si="29">IF(T$12=0,0,T159/T$12)</f>
        <v>0.17502173938589968</v>
      </c>
      <c r="W159" s="1"/>
      <c r="X159" s="1">
        <f t="shared" ref="X159:X169" si="30">+P159-T159</f>
        <v>-461990.7841543078</v>
      </c>
      <c r="Y159" s="1"/>
      <c r="Z159" s="5">
        <f t="shared" ref="Z159:Z169" si="31">IF(T159=0,0,X159/T159)</f>
        <v>-0.24027597044401366</v>
      </c>
    </row>
    <row r="160" spans="1:26" s="24" customFormat="1" hidden="1" outlineLevel="2" x14ac:dyDescent="0.25">
      <c r="A160" s="25"/>
      <c r="B160" s="11" t="str">
        <f>CONCATENATE("          ", "6001", " - ", "ADMINISTRATIVE SALARIES")</f>
        <v xml:space="preserve">          6001 - ADMINISTRATIVE SALARIES</v>
      </c>
      <c r="C160" s="11"/>
      <c r="D160" s="7">
        <v>4205.74</v>
      </c>
      <c r="E160" s="2"/>
      <c r="F160" s="6">
        <f t="shared" si="24"/>
        <v>6.4058871762447123E-3</v>
      </c>
      <c r="G160" s="2"/>
      <c r="H160" s="7">
        <v>7759.6923076923104</v>
      </c>
      <c r="I160" s="2"/>
      <c r="J160" s="6">
        <f t="shared" si="25"/>
        <v>1.1291226700287982E-2</v>
      </c>
      <c r="K160" s="2"/>
      <c r="L160" s="7">
        <f t="shared" si="26"/>
        <v>-3553.9523076923106</v>
      </c>
      <c r="M160" s="2"/>
      <c r="N160" s="6">
        <f t="shared" si="27"/>
        <v>-0.45800170506364268</v>
      </c>
      <c r="O160" s="11"/>
      <c r="P160" s="7">
        <v>47398.53</v>
      </c>
      <c r="Q160" s="2"/>
      <c r="R160" s="6">
        <f t="shared" si="28"/>
        <v>6.0908166929009543E-3</v>
      </c>
      <c r="S160" s="2"/>
      <c r="T160" s="7">
        <v>93116.307692307702</v>
      </c>
      <c r="U160" s="2"/>
      <c r="V160" s="6">
        <f t="shared" si="29"/>
        <v>8.4760745928062018E-3</v>
      </c>
      <c r="W160" s="2"/>
      <c r="X160" s="7">
        <f t="shared" si="30"/>
        <v>-45717.777692307704</v>
      </c>
      <c r="Y160" s="2"/>
      <c r="Z160" s="6">
        <f t="shared" si="31"/>
        <v>-0.49097498413894292</v>
      </c>
    </row>
    <row r="161" spans="1:26" s="24" customFormat="1" hidden="1" outlineLevel="2" x14ac:dyDescent="0.25">
      <c r="A161" s="25"/>
      <c r="B161" s="11" t="str">
        <f>CONCATENATE("          ", "6002", " - ", "STAFF SALARIES")</f>
        <v xml:space="preserve">          6002 - STAFF SALARIES</v>
      </c>
      <c r="C161" s="11"/>
      <c r="D161" s="7">
        <v>65838.14</v>
      </c>
      <c r="E161" s="2"/>
      <c r="F161" s="6">
        <f t="shared" si="24"/>
        <v>0.10028002128847814</v>
      </c>
      <c r="G161" s="2"/>
      <c r="H161" s="7">
        <v>43867.483055999997</v>
      </c>
      <c r="I161" s="2"/>
      <c r="J161" s="6">
        <f t="shared" si="25"/>
        <v>6.3832131006705151E-2</v>
      </c>
      <c r="K161" s="2"/>
      <c r="L161" s="7">
        <f t="shared" si="26"/>
        <v>21970.656944000002</v>
      </c>
      <c r="M161" s="2"/>
      <c r="N161" s="6">
        <f t="shared" si="27"/>
        <v>0.5008415211776085</v>
      </c>
      <c r="O161" s="11"/>
      <c r="P161" s="7">
        <v>692289.26</v>
      </c>
      <c r="Q161" s="2"/>
      <c r="R161" s="6">
        <f t="shared" si="28"/>
        <v>8.8960712096431027E-2</v>
      </c>
      <c r="S161" s="2"/>
      <c r="T161" s="7">
        <v>523211.64937200001</v>
      </c>
      <c r="U161" s="2"/>
      <c r="V161" s="6">
        <f t="shared" si="29"/>
        <v>4.7626254496220662E-2</v>
      </c>
      <c r="W161" s="2"/>
      <c r="X161" s="7">
        <f t="shared" si="30"/>
        <v>169077.61062799999</v>
      </c>
      <c r="Y161" s="2"/>
      <c r="Z161" s="6">
        <f t="shared" si="31"/>
        <v>0.32315337556214641</v>
      </c>
    </row>
    <row r="162" spans="1:26" s="24" customFormat="1" hidden="1" outlineLevel="2" x14ac:dyDescent="0.25">
      <c r="A162" s="25"/>
      <c r="B162" s="11" t="str">
        <f>CONCATENATE("          ", "6003", " - ", "STAFF HOURLY-9 MONTH")</f>
        <v xml:space="preserve">          6003 - STAFF HOURLY-9 MONTH</v>
      </c>
      <c r="C162" s="11"/>
      <c r="D162" s="7"/>
      <c r="E162" s="2"/>
      <c r="F162" s="6">
        <f t="shared" si="24"/>
        <v>0</v>
      </c>
      <c r="G162" s="2"/>
      <c r="H162" s="7">
        <v>0</v>
      </c>
      <c r="I162" s="2"/>
      <c r="J162" s="6">
        <f t="shared" si="25"/>
        <v>0</v>
      </c>
      <c r="K162" s="2"/>
      <c r="L162" s="7">
        <f t="shared" si="26"/>
        <v>0</v>
      </c>
      <c r="M162" s="2"/>
      <c r="N162" s="6">
        <f t="shared" si="27"/>
        <v>0</v>
      </c>
      <c r="O162" s="11"/>
      <c r="P162" s="7"/>
      <c r="Q162" s="2"/>
      <c r="R162" s="6">
        <f t="shared" si="28"/>
        <v>0</v>
      </c>
      <c r="S162" s="2"/>
      <c r="T162" s="7">
        <v>0</v>
      </c>
      <c r="U162" s="2"/>
      <c r="V162" s="6">
        <f t="shared" si="29"/>
        <v>0</v>
      </c>
      <c r="W162" s="2"/>
      <c r="X162" s="7">
        <f t="shared" si="30"/>
        <v>0</v>
      </c>
      <c r="Y162" s="2"/>
      <c r="Z162" s="6">
        <f t="shared" si="31"/>
        <v>0</v>
      </c>
    </row>
    <row r="163" spans="1:26" s="24" customFormat="1" hidden="1" outlineLevel="2" x14ac:dyDescent="0.25">
      <c r="A163" s="25"/>
      <c r="B163" s="11" t="str">
        <f>CONCATENATE("          ", "6004", " - ", "STAFF HOURLY")</f>
        <v xml:space="preserve">          6004 - STAFF HOURLY</v>
      </c>
      <c r="C163" s="11"/>
      <c r="D163" s="7">
        <v>16277.07</v>
      </c>
      <c r="E163" s="2"/>
      <c r="F163" s="6">
        <f t="shared" si="24"/>
        <v>2.4792087475649358E-2</v>
      </c>
      <c r="G163" s="2"/>
      <c r="H163" s="7">
        <v>28668.680079999998</v>
      </c>
      <c r="I163" s="2"/>
      <c r="J163" s="6">
        <f t="shared" si="25"/>
        <v>4.1716160015831623E-2</v>
      </c>
      <c r="K163" s="2"/>
      <c r="L163" s="7">
        <f t="shared" si="26"/>
        <v>-12391.610079999999</v>
      </c>
      <c r="M163" s="2"/>
      <c r="N163" s="6">
        <f t="shared" si="27"/>
        <v>-0.43223510972326562</v>
      </c>
      <c r="O163" s="11"/>
      <c r="P163" s="7">
        <v>208079.7</v>
      </c>
      <c r="Q163" s="2"/>
      <c r="R163" s="6">
        <f t="shared" si="28"/>
        <v>2.6738704981226692E-2</v>
      </c>
      <c r="S163" s="2"/>
      <c r="T163" s="7">
        <v>344080.54596000002</v>
      </c>
      <c r="U163" s="2"/>
      <c r="V163" s="6">
        <f t="shared" si="29"/>
        <v>3.1320532845090135E-2</v>
      </c>
      <c r="W163" s="2"/>
      <c r="X163" s="7">
        <f t="shared" si="30"/>
        <v>-136000.84596000001</v>
      </c>
      <c r="Y163" s="2"/>
      <c r="Z163" s="6">
        <f t="shared" si="31"/>
        <v>-0.39525874844377384</v>
      </c>
    </row>
    <row r="164" spans="1:26" s="24" customFormat="1" hidden="1" outlineLevel="2" x14ac:dyDescent="0.25">
      <c r="A164" s="25"/>
      <c r="B164" s="11" t="str">
        <f>CONCATENATE("          ", "6005", " - ", "TEMPORARY WAGES-HOURLY")</f>
        <v xml:space="preserve">          6005 - TEMPORARY WAGES-HOURLY</v>
      </c>
      <c r="C164" s="11"/>
      <c r="D164" s="7">
        <v>7607.71</v>
      </c>
      <c r="E164" s="2"/>
      <c r="F164" s="6">
        <f t="shared" si="24"/>
        <v>1.1587528456249949E-2</v>
      </c>
      <c r="G164" s="2"/>
      <c r="H164" s="7">
        <v>4931.2</v>
      </c>
      <c r="I164" s="2"/>
      <c r="J164" s="6">
        <f t="shared" si="25"/>
        <v>7.1754516669770901E-3</v>
      </c>
      <c r="K164" s="2"/>
      <c r="L164" s="7">
        <f t="shared" si="26"/>
        <v>2676.51</v>
      </c>
      <c r="M164" s="2"/>
      <c r="N164" s="6">
        <f t="shared" si="27"/>
        <v>0.54277052238805978</v>
      </c>
      <c r="O164" s="11"/>
      <c r="P164" s="7">
        <v>159839.76</v>
      </c>
      <c r="Q164" s="2"/>
      <c r="R164" s="6">
        <f t="shared" si="28"/>
        <v>2.0539765228948709E-2</v>
      </c>
      <c r="S164" s="2"/>
      <c r="T164" s="7">
        <v>51177.64</v>
      </c>
      <c r="U164" s="2"/>
      <c r="V164" s="6">
        <f t="shared" si="29"/>
        <v>4.6585340943412126E-3</v>
      </c>
      <c r="W164" s="2"/>
      <c r="X164" s="7">
        <f t="shared" si="30"/>
        <v>108662.12000000001</v>
      </c>
      <c r="Y164" s="2"/>
      <c r="Z164" s="6">
        <f t="shared" si="31"/>
        <v>2.1232342874739829</v>
      </c>
    </row>
    <row r="165" spans="1:26" s="24" customFormat="1" hidden="1" outlineLevel="2" x14ac:dyDescent="0.25">
      <c r="A165" s="25"/>
      <c r="B165" s="11" t="str">
        <f>CONCATENATE("          ", "6006", " - ", "TEMPORARY PART TIME")</f>
        <v xml:space="preserve">          6006 - TEMPORARY PART TIME</v>
      </c>
      <c r="C165" s="11"/>
      <c r="D165" s="7">
        <v>2769.97</v>
      </c>
      <c r="E165" s="2"/>
      <c r="F165" s="6">
        <f t="shared" si="24"/>
        <v>4.2190233589291222E-3</v>
      </c>
      <c r="G165" s="2"/>
      <c r="H165" s="7">
        <v>0</v>
      </c>
      <c r="I165" s="2"/>
      <c r="J165" s="6">
        <f t="shared" si="25"/>
        <v>0</v>
      </c>
      <c r="K165" s="2"/>
      <c r="L165" s="7">
        <f t="shared" si="26"/>
        <v>2769.97</v>
      </c>
      <c r="M165" s="2"/>
      <c r="N165" s="6">
        <f t="shared" si="27"/>
        <v>0</v>
      </c>
      <c r="O165" s="11"/>
      <c r="P165" s="7">
        <v>19716.73</v>
      </c>
      <c r="Q165" s="2"/>
      <c r="R165" s="6">
        <f t="shared" si="28"/>
        <v>2.5336437272088612E-3</v>
      </c>
      <c r="S165" s="2"/>
      <c r="T165" s="7">
        <v>0</v>
      </c>
      <c r="U165" s="2"/>
      <c r="V165" s="6">
        <f t="shared" si="29"/>
        <v>0</v>
      </c>
      <c r="W165" s="2"/>
      <c r="X165" s="7">
        <f t="shared" si="30"/>
        <v>19716.73</v>
      </c>
      <c r="Y165" s="2"/>
      <c r="Z165" s="6">
        <f t="shared" si="31"/>
        <v>0</v>
      </c>
    </row>
    <row r="166" spans="1:26" s="24" customFormat="1" hidden="1" outlineLevel="2" x14ac:dyDescent="0.25">
      <c r="A166" s="25"/>
      <c r="B166" s="11" t="str">
        <f>CONCATENATE("          ", "6007", " - ", "STUDENT HOURLY")</f>
        <v xml:space="preserve">          6007 - STUDENT HOURLY</v>
      </c>
      <c r="C166" s="11"/>
      <c r="D166" s="7">
        <v>30587.08</v>
      </c>
      <c r="E166" s="2"/>
      <c r="F166" s="6">
        <f t="shared" si="24"/>
        <v>4.658808759713419E-2</v>
      </c>
      <c r="G166" s="2"/>
      <c r="H166" s="7">
        <v>853.875</v>
      </c>
      <c r="I166" s="2"/>
      <c r="J166" s="6">
        <f t="shared" si="25"/>
        <v>1.2424843429875211E-3</v>
      </c>
      <c r="K166" s="2"/>
      <c r="L166" s="7">
        <f t="shared" si="26"/>
        <v>29733.205000000002</v>
      </c>
      <c r="M166" s="2"/>
      <c r="N166" s="6">
        <f t="shared" si="27"/>
        <v>34.821496120626556</v>
      </c>
      <c r="O166" s="11"/>
      <c r="P166" s="7">
        <v>320894.5</v>
      </c>
      <c r="Q166" s="2"/>
      <c r="R166" s="6">
        <f t="shared" si="28"/>
        <v>4.1235658094462113E-2</v>
      </c>
      <c r="S166" s="2"/>
      <c r="T166" s="7">
        <v>158168.7175</v>
      </c>
      <c r="U166" s="2"/>
      <c r="V166" s="6">
        <f t="shared" si="29"/>
        <v>1.4397583849743241E-2</v>
      </c>
      <c r="W166" s="2"/>
      <c r="X166" s="7">
        <f t="shared" si="30"/>
        <v>162725.7825</v>
      </c>
      <c r="Y166" s="2"/>
      <c r="Z166" s="6">
        <f t="shared" si="31"/>
        <v>1.028811417782407</v>
      </c>
    </row>
    <row r="167" spans="1:26" s="24" customFormat="1" hidden="1" outlineLevel="2" x14ac:dyDescent="0.25">
      <c r="A167" s="25"/>
      <c r="B167" s="11" t="str">
        <f>CONCATENATE("          ", "6008", " - ", "STUDENT HOURLY-FICA EXEMPT")</f>
        <v xml:space="preserve">          6008 - STUDENT HOURLY-FICA EXEMPT</v>
      </c>
      <c r="C167" s="11"/>
      <c r="D167" s="7">
        <v>2539.46</v>
      </c>
      <c r="E167" s="2"/>
      <c r="F167" s="6">
        <f t="shared" si="24"/>
        <v>3.8679267497720728E-3</v>
      </c>
      <c r="G167" s="2"/>
      <c r="H167" s="7">
        <v>63912.47496</v>
      </c>
      <c r="I167" s="2"/>
      <c r="J167" s="6">
        <f t="shared" si="25"/>
        <v>9.299985297541441E-2</v>
      </c>
      <c r="K167" s="2"/>
      <c r="L167" s="7">
        <f t="shared" si="26"/>
        <v>-61373.01496</v>
      </c>
      <c r="M167" s="2"/>
      <c r="N167" s="6">
        <f t="shared" si="27"/>
        <v>-0.96026659894505206</v>
      </c>
      <c r="O167" s="11"/>
      <c r="P167" s="7">
        <v>12541.41</v>
      </c>
      <c r="Q167" s="2"/>
      <c r="R167" s="6">
        <f t="shared" si="28"/>
        <v>1.6115991230216413E-3</v>
      </c>
      <c r="S167" s="2"/>
      <c r="T167" s="7">
        <v>752995.81362999999</v>
      </c>
      <c r="U167" s="2"/>
      <c r="V167" s="6">
        <f t="shared" si="29"/>
        <v>6.8542759507698225E-2</v>
      </c>
      <c r="W167" s="2"/>
      <c r="X167" s="7">
        <f t="shared" si="30"/>
        <v>-740454.40362999996</v>
      </c>
      <c r="Y167" s="2"/>
      <c r="Z167" s="6">
        <f t="shared" si="31"/>
        <v>-0.98334464843895864</v>
      </c>
    </row>
    <row r="168" spans="1:26" s="24" customFormat="1" hidden="1" outlineLevel="2" x14ac:dyDescent="0.25">
      <c r="A168" s="25"/>
      <c r="B168" s="11" t="str">
        <f>CONCATENATE("          ", "6009", " - ", "TEMPORARY-SEASONAL")</f>
        <v xml:space="preserve">          6009 - TEMPORARY-SEASONAL</v>
      </c>
      <c r="C168" s="11"/>
      <c r="D168" s="7"/>
      <c r="E168" s="2"/>
      <c r="F168" s="6">
        <f t="shared" si="24"/>
        <v>0</v>
      </c>
      <c r="G168" s="2"/>
      <c r="H168" s="7">
        <v>0</v>
      </c>
      <c r="I168" s="2"/>
      <c r="J168" s="6">
        <f t="shared" si="25"/>
        <v>0</v>
      </c>
      <c r="K168" s="2"/>
      <c r="L168" s="7">
        <f t="shared" si="26"/>
        <v>0</v>
      </c>
      <c r="M168" s="2"/>
      <c r="N168" s="6">
        <f t="shared" si="27"/>
        <v>0</v>
      </c>
      <c r="O168" s="11"/>
      <c r="P168" s="7"/>
      <c r="Q168" s="2"/>
      <c r="R168" s="6">
        <f t="shared" si="28"/>
        <v>0</v>
      </c>
      <c r="S168" s="2"/>
      <c r="T168" s="7">
        <v>0</v>
      </c>
      <c r="U168" s="2"/>
      <c r="V168" s="6">
        <f t="shared" si="29"/>
        <v>0</v>
      </c>
      <c r="W168" s="2"/>
      <c r="X168" s="7">
        <f t="shared" si="30"/>
        <v>0</v>
      </c>
      <c r="Y168" s="2"/>
      <c r="Z168" s="6">
        <f t="shared" si="31"/>
        <v>0</v>
      </c>
    </row>
    <row r="169" spans="1:26" s="24" customFormat="1" hidden="1" outlineLevel="2" x14ac:dyDescent="0.25">
      <c r="A169" s="25"/>
      <c r="B169" s="11" t="str">
        <f>CONCATENATE("          ", "6010", " - ", "GRATUITY")</f>
        <v xml:space="preserve">          6010 - GRATUITY</v>
      </c>
      <c r="C169" s="11"/>
      <c r="D169" s="7"/>
      <c r="E169" s="2"/>
      <c r="F169" s="6">
        <f t="shared" si="24"/>
        <v>0</v>
      </c>
      <c r="G169" s="2"/>
      <c r="H169" s="7">
        <v>0</v>
      </c>
      <c r="I169" s="2"/>
      <c r="J169" s="6">
        <f t="shared" si="25"/>
        <v>0</v>
      </c>
      <c r="K169" s="2"/>
      <c r="L169" s="7">
        <f t="shared" si="26"/>
        <v>0</v>
      </c>
      <c r="M169" s="2"/>
      <c r="N169" s="6">
        <f t="shared" si="27"/>
        <v>0</v>
      </c>
      <c r="O169" s="11"/>
      <c r="P169" s="7"/>
      <c r="Q169" s="2"/>
      <c r="R169" s="6">
        <f t="shared" si="28"/>
        <v>0</v>
      </c>
      <c r="S169" s="2"/>
      <c r="T169" s="7">
        <v>0</v>
      </c>
      <c r="U169" s="2"/>
      <c r="V169" s="6">
        <f t="shared" si="29"/>
        <v>0</v>
      </c>
      <c r="W169" s="2"/>
      <c r="X169" s="7">
        <f t="shared" si="30"/>
        <v>0</v>
      </c>
      <c r="Y169" s="2"/>
      <c r="Z169" s="6">
        <f t="shared" si="31"/>
        <v>0</v>
      </c>
    </row>
    <row r="170" spans="1:26" s="27" customFormat="1" outlineLevel="1" collapsed="1" x14ac:dyDescent="0.25">
      <c r="A170" s="26"/>
      <c r="B170" s="13" t="str">
        <f>CONCATENATE("     ","Advertising/Promo                                 ")</f>
        <v xml:space="preserve">     Advertising/Promo                                 </v>
      </c>
      <c r="C170" s="13"/>
      <c r="D170" s="1">
        <f>SUM(OSRRefD22_2x_0)</f>
        <v>74.709999999999994</v>
      </c>
      <c r="E170" s="1"/>
      <c r="F170" s="5">
        <f t="shared" ref="F170:F174" si="32">IF(D$12=0,0,D170/D$12)</f>
        <v>1.1379301405632361E-4</v>
      </c>
      <c r="G170" s="1"/>
      <c r="H170" s="1">
        <f>SUM(OSRRefH22_2x_0)</f>
        <v>1980</v>
      </c>
      <c r="I170" s="1"/>
      <c r="J170" s="5">
        <f t="shared" ref="J170:J174" si="33">IF(H$12=0,0,H170/H$12)</f>
        <v>2.8811231141739617E-3</v>
      </c>
      <c r="K170" s="1"/>
      <c r="L170" s="1">
        <f t="shared" ref="L170:L174" si="34">+D170-H170</f>
        <v>-1905.29</v>
      </c>
      <c r="M170" s="1"/>
      <c r="N170" s="5">
        <f t="shared" ref="N170:N174" si="35">IF(H170=0,0,L170/H170)</f>
        <v>-0.96226767676767677</v>
      </c>
      <c r="O170" s="13"/>
      <c r="P170" s="1">
        <f>SUM(OSRRefP22_2x_0)</f>
        <v>18236.150000000001</v>
      </c>
      <c r="Q170" s="1"/>
      <c r="R170" s="5">
        <f t="shared" ref="R170:R174" si="36">IF(P$12=0,0,P170/P$12)</f>
        <v>2.343385898977157E-3</v>
      </c>
      <c r="S170" s="1"/>
      <c r="T170" s="1">
        <f>SUM(OSRRefT22_2x_0)</f>
        <v>16580</v>
      </c>
      <c r="U170" s="1"/>
      <c r="V170" s="5">
        <f t="shared" ref="V170:V174" si="37">IF(T$12=0,0,T170/T$12)</f>
        <v>1.5092234672051566E-3</v>
      </c>
      <c r="W170" s="1"/>
      <c r="X170" s="1">
        <f t="shared" ref="X170:X174" si="38">+P170-T170</f>
        <v>1656.1500000000015</v>
      </c>
      <c r="Y170" s="1"/>
      <c r="Z170" s="5">
        <f t="shared" ref="Z170:Z174" si="39">IF(T170=0,0,X170/T170)</f>
        <v>9.988841978287101E-2</v>
      </c>
    </row>
    <row r="171" spans="1:26" s="24" customFormat="1" hidden="1" outlineLevel="2" x14ac:dyDescent="0.25">
      <c r="A171" s="25"/>
      <c r="B171" s="11" t="str">
        <f>CONCATENATE("          ", "6362", " - ", "ADVERTISING EXPENSE")</f>
        <v xml:space="preserve">          6362 - ADVERTISING EXPENSE</v>
      </c>
      <c r="C171" s="11"/>
      <c r="D171" s="7">
        <v>74.709999999999994</v>
      </c>
      <c r="E171" s="2"/>
      <c r="F171" s="6">
        <f t="shared" si="32"/>
        <v>1.1379301405632361E-4</v>
      </c>
      <c r="G171" s="2"/>
      <c r="H171" s="7">
        <v>1980</v>
      </c>
      <c r="I171" s="2"/>
      <c r="J171" s="6">
        <f t="shared" si="33"/>
        <v>2.8811231141739617E-3</v>
      </c>
      <c r="K171" s="2"/>
      <c r="L171" s="7">
        <f t="shared" si="34"/>
        <v>-1905.29</v>
      </c>
      <c r="M171" s="2"/>
      <c r="N171" s="6">
        <f t="shared" si="35"/>
        <v>-0.96226767676767677</v>
      </c>
      <c r="O171" s="11"/>
      <c r="P171" s="7">
        <v>18236.150000000001</v>
      </c>
      <c r="Q171" s="2"/>
      <c r="R171" s="6">
        <f t="shared" si="36"/>
        <v>2.343385898977157E-3</v>
      </c>
      <c r="S171" s="2"/>
      <c r="T171" s="7">
        <v>16580</v>
      </c>
      <c r="U171" s="2"/>
      <c r="V171" s="6">
        <f t="shared" si="37"/>
        <v>1.5092234672051566E-3</v>
      </c>
      <c r="W171" s="2"/>
      <c r="X171" s="7">
        <f t="shared" si="38"/>
        <v>1656.1500000000015</v>
      </c>
      <c r="Y171" s="2"/>
      <c r="Z171" s="6">
        <f t="shared" si="39"/>
        <v>9.988841978287101E-2</v>
      </c>
    </row>
    <row r="172" spans="1:26" s="27" customFormat="1" outlineLevel="1" collapsed="1" x14ac:dyDescent="0.25">
      <c r="A172" s="26"/>
      <c r="B172" s="13" t="str">
        <f>CONCATENATE("     ","Bad Debts/Over/Short                              ")</f>
        <v xml:space="preserve">     Bad Debts/Over/Short                              </v>
      </c>
      <c r="C172" s="13"/>
      <c r="D172" s="1">
        <f>SUM(OSRRefD22_3x_0)</f>
        <v>21.56</v>
      </c>
      <c r="E172" s="1"/>
      <c r="F172" s="5">
        <f t="shared" si="32"/>
        <v>3.2838674649368719E-5</v>
      </c>
      <c r="G172" s="1"/>
      <c r="H172" s="1">
        <f>SUM(OSRRefH22_3x_0)</f>
        <v>110</v>
      </c>
      <c r="I172" s="1"/>
      <c r="J172" s="5">
        <f t="shared" si="33"/>
        <v>1.6006239523188676E-4</v>
      </c>
      <c r="K172" s="1"/>
      <c r="L172" s="1">
        <f t="shared" si="34"/>
        <v>-88.44</v>
      </c>
      <c r="M172" s="1"/>
      <c r="N172" s="5">
        <f t="shared" si="35"/>
        <v>-0.80399999999999994</v>
      </c>
      <c r="O172" s="13"/>
      <c r="P172" s="1">
        <f>SUM(OSRRefP22_3x_0)</f>
        <v>5204.26</v>
      </c>
      <c r="Q172" s="1"/>
      <c r="R172" s="5">
        <f t="shared" si="36"/>
        <v>6.6875900333189075E-4</v>
      </c>
      <c r="S172" s="1"/>
      <c r="T172" s="1">
        <f>SUM(OSRRefT22_3x_0)</f>
        <v>1210</v>
      </c>
      <c r="U172" s="1"/>
      <c r="V172" s="5">
        <f t="shared" si="37"/>
        <v>1.1014236401195654E-4</v>
      </c>
      <c r="W172" s="1"/>
      <c r="X172" s="1">
        <f t="shared" si="38"/>
        <v>3994.26</v>
      </c>
      <c r="Y172" s="1"/>
      <c r="Z172" s="5">
        <f t="shared" si="39"/>
        <v>3.3010413223140498</v>
      </c>
    </row>
    <row r="173" spans="1:26" s="24" customFormat="1" hidden="1" outlineLevel="2" x14ac:dyDescent="0.25">
      <c r="A173" s="25"/>
      <c r="B173" s="11" t="str">
        <f>CONCATENATE("          ", "6272", " - ", "CASH (OVER/SHORT)")</f>
        <v xml:space="preserve">          6272 - CASH (OVER/SHORT)</v>
      </c>
      <c r="C173" s="11"/>
      <c r="D173" s="7">
        <v>21.56</v>
      </c>
      <c r="E173" s="2"/>
      <c r="F173" s="6">
        <f t="shared" si="32"/>
        <v>3.2838674649368719E-5</v>
      </c>
      <c r="G173" s="2"/>
      <c r="H173" s="7">
        <v>60</v>
      </c>
      <c r="I173" s="2"/>
      <c r="J173" s="6">
        <f t="shared" si="33"/>
        <v>8.73067610355746E-5</v>
      </c>
      <c r="K173" s="2"/>
      <c r="L173" s="7">
        <f t="shared" si="34"/>
        <v>-38.44</v>
      </c>
      <c r="M173" s="2"/>
      <c r="N173" s="6">
        <f t="shared" si="35"/>
        <v>-0.64066666666666661</v>
      </c>
      <c r="O173" s="11"/>
      <c r="P173" s="7">
        <v>-145.16</v>
      </c>
      <c r="Q173" s="2"/>
      <c r="R173" s="6">
        <f t="shared" si="36"/>
        <v>-1.8653383367406172E-5</v>
      </c>
      <c r="S173" s="2"/>
      <c r="T173" s="7">
        <v>660</v>
      </c>
      <c r="U173" s="2"/>
      <c r="V173" s="6">
        <f t="shared" si="37"/>
        <v>6.0077653097430846E-5</v>
      </c>
      <c r="W173" s="2"/>
      <c r="X173" s="7">
        <f t="shared" si="38"/>
        <v>-805.16</v>
      </c>
      <c r="Y173" s="2"/>
      <c r="Z173" s="6">
        <f t="shared" si="39"/>
        <v>-1.2199393939393939</v>
      </c>
    </row>
    <row r="174" spans="1:26" s="24" customFormat="1" hidden="1" outlineLevel="2" x14ac:dyDescent="0.25">
      <c r="A174" s="25"/>
      <c r="B174" s="11" t="str">
        <f>CONCATENATE("          ", "6342", " - ", "BAD DEBT")</f>
        <v xml:space="preserve">          6342 - BAD DEBT</v>
      </c>
      <c r="C174" s="11"/>
      <c r="D174" s="7"/>
      <c r="E174" s="2"/>
      <c r="F174" s="6">
        <f t="shared" si="32"/>
        <v>0</v>
      </c>
      <c r="G174" s="2"/>
      <c r="H174" s="7">
        <v>50</v>
      </c>
      <c r="I174" s="2"/>
      <c r="J174" s="6">
        <f t="shared" si="33"/>
        <v>7.2755634196312169E-5</v>
      </c>
      <c r="K174" s="2"/>
      <c r="L174" s="7">
        <f t="shared" si="34"/>
        <v>-50</v>
      </c>
      <c r="M174" s="2"/>
      <c r="N174" s="6">
        <f t="shared" si="35"/>
        <v>-1</v>
      </c>
      <c r="O174" s="11"/>
      <c r="P174" s="7">
        <v>5349.42</v>
      </c>
      <c r="Q174" s="2"/>
      <c r="R174" s="6">
        <f t="shared" si="36"/>
        <v>6.8741238669929681E-4</v>
      </c>
      <c r="S174" s="2"/>
      <c r="T174" s="7">
        <v>550</v>
      </c>
      <c r="U174" s="2"/>
      <c r="V174" s="6">
        <f t="shared" si="37"/>
        <v>5.0064710914525701E-5</v>
      </c>
      <c r="W174" s="2"/>
      <c r="X174" s="7">
        <f t="shared" si="38"/>
        <v>4799.42</v>
      </c>
      <c r="Y174" s="2"/>
      <c r="Z174" s="6">
        <f t="shared" si="39"/>
        <v>8.7262181818181812</v>
      </c>
    </row>
    <row r="175" spans="1:26" s="27" customFormat="1" outlineLevel="1" collapsed="1" x14ac:dyDescent="0.25">
      <c r="A175" s="26"/>
      <c r="B175" s="13" t="str">
        <f>CONCATENATE("     ","Bank/card Fees                                    ")</f>
        <v xml:space="preserve">     Bank/card Fees                                    </v>
      </c>
      <c r="C175" s="13"/>
      <c r="D175" s="1">
        <f>SUM(OSRRefD22_4x_0)</f>
        <v>3967.68</v>
      </c>
      <c r="E175" s="1"/>
      <c r="F175" s="5">
        <f t="shared" ref="F175:F179" si="40">IF(D$12=0,0,D175/D$12)</f>
        <v>6.043290938441896E-3</v>
      </c>
      <c r="G175" s="1"/>
      <c r="H175" s="1">
        <f>SUM(OSRRefH22_4x_0)</f>
        <v>9564</v>
      </c>
      <c r="I175" s="1"/>
      <c r="J175" s="5">
        <f t="shared" ref="J175:J179" si="41">IF(H$12=0,0,H175/H$12)</f>
        <v>1.3916697709070591E-2</v>
      </c>
      <c r="K175" s="1"/>
      <c r="L175" s="1">
        <f t="shared" ref="L175:L179" si="42">+D175-H175</f>
        <v>-5596.32</v>
      </c>
      <c r="M175" s="1"/>
      <c r="N175" s="5">
        <f t="shared" ref="N175:N179" si="43">IF(H175=0,0,L175/H175)</f>
        <v>-0.58514429109159349</v>
      </c>
      <c r="O175" s="13"/>
      <c r="P175" s="1">
        <f>SUM(OSRRefP22_4x_0)</f>
        <v>78603.539999999994</v>
      </c>
      <c r="Q175" s="1"/>
      <c r="R175" s="5">
        <f t="shared" ref="R175:R179" si="44">IF(P$12=0,0,P175/P$12)</f>
        <v>1.0100729992113845E-2</v>
      </c>
      <c r="S175" s="1"/>
      <c r="T175" s="1">
        <f>SUM(OSRRefT22_4x_0)</f>
        <v>197547</v>
      </c>
      <c r="U175" s="1"/>
      <c r="V175" s="5">
        <f t="shared" ref="V175:V179" si="45">IF(T$12=0,0,T175/T$12)</f>
        <v>1.7982060812785108E-2</v>
      </c>
      <c r="W175" s="1"/>
      <c r="X175" s="1">
        <f t="shared" ref="X175:X179" si="46">+P175-T175</f>
        <v>-118943.46</v>
      </c>
      <c r="Y175" s="1"/>
      <c r="Z175" s="5">
        <f t="shared" ref="Z175:Z179" si="47">IF(T175=0,0,X175/T175)</f>
        <v>-0.60210208203617366</v>
      </c>
    </row>
    <row r="176" spans="1:26" s="24" customFormat="1" hidden="1" outlineLevel="2" x14ac:dyDescent="0.25">
      <c r="A176" s="25"/>
      <c r="B176" s="11" t="str">
        <f>CONCATENATE("          ", "6381", " - ", "BANK/CREDIT CARD FEES")</f>
        <v xml:space="preserve">          6381 - BANK/CREDIT CARD FEES</v>
      </c>
      <c r="C176" s="11"/>
      <c r="D176" s="7">
        <v>3967.68</v>
      </c>
      <c r="E176" s="2"/>
      <c r="F176" s="6">
        <f t="shared" si="40"/>
        <v>6.043290938441896E-3</v>
      </c>
      <c r="G176" s="2"/>
      <c r="H176" s="7">
        <v>9564</v>
      </c>
      <c r="I176" s="2"/>
      <c r="J176" s="6">
        <f t="shared" si="41"/>
        <v>1.3916697709070591E-2</v>
      </c>
      <c r="K176" s="2"/>
      <c r="L176" s="7">
        <f t="shared" si="42"/>
        <v>-5596.32</v>
      </c>
      <c r="M176" s="2"/>
      <c r="N176" s="6">
        <f t="shared" si="43"/>
        <v>-0.58514429109159349</v>
      </c>
      <c r="O176" s="11"/>
      <c r="P176" s="7">
        <v>78603.539999999994</v>
      </c>
      <c r="Q176" s="2"/>
      <c r="R176" s="6">
        <f t="shared" si="44"/>
        <v>1.0100729992113845E-2</v>
      </c>
      <c r="S176" s="2"/>
      <c r="T176" s="7">
        <v>197547</v>
      </c>
      <c r="U176" s="2"/>
      <c r="V176" s="6">
        <f t="shared" si="45"/>
        <v>1.7982060812785108E-2</v>
      </c>
      <c r="W176" s="2"/>
      <c r="X176" s="7">
        <f t="shared" si="46"/>
        <v>-118943.46</v>
      </c>
      <c r="Y176" s="2"/>
      <c r="Z176" s="6">
        <f t="shared" si="47"/>
        <v>-0.60210208203617366</v>
      </c>
    </row>
    <row r="177" spans="1:26" s="27" customFormat="1" outlineLevel="1" collapsed="1" x14ac:dyDescent="0.25">
      <c r="A177" s="26"/>
      <c r="B177" s="13" t="str">
        <f>CONCATENATE("     ","Depreciation                                      ")</f>
        <v xml:space="preserve">     Depreciation                                      </v>
      </c>
      <c r="C177" s="13"/>
      <c r="D177" s="1">
        <f>SUM(OSRRefD22_5x_0)</f>
        <v>31016.29</v>
      </c>
      <c r="E177" s="1"/>
      <c r="F177" s="5">
        <f t="shared" si="40"/>
        <v>4.7241830062173869E-2</v>
      </c>
      <c r="G177" s="1"/>
      <c r="H177" s="1">
        <f>SUM(OSRRefH22_5x_0)</f>
        <v>30594</v>
      </c>
      <c r="I177" s="1"/>
      <c r="J177" s="5">
        <f t="shared" si="41"/>
        <v>4.4517717452039487E-2</v>
      </c>
      <c r="K177" s="1"/>
      <c r="L177" s="1">
        <f t="shared" si="42"/>
        <v>422.29000000000087</v>
      </c>
      <c r="M177" s="1"/>
      <c r="N177" s="5">
        <f t="shared" si="43"/>
        <v>1.3803033274498297E-2</v>
      </c>
      <c r="O177" s="13"/>
      <c r="P177" s="1">
        <f>SUM(OSRRefP22_5x_0)</f>
        <v>341474.68</v>
      </c>
      <c r="Q177" s="1"/>
      <c r="R177" s="5">
        <f t="shared" si="44"/>
        <v>4.3880257070145666E-2</v>
      </c>
      <c r="S177" s="1"/>
      <c r="T177" s="1">
        <f>SUM(OSRRefT22_5x_0)</f>
        <v>337542</v>
      </c>
      <c r="U177" s="1"/>
      <c r="V177" s="5">
        <f t="shared" si="45"/>
        <v>3.0725350275474246E-2</v>
      </c>
      <c r="W177" s="1"/>
      <c r="X177" s="1">
        <f t="shared" si="46"/>
        <v>3932.679999999993</v>
      </c>
      <c r="Y177" s="1"/>
      <c r="Z177" s="5">
        <f t="shared" si="47"/>
        <v>1.1650935291015616E-2</v>
      </c>
    </row>
    <row r="178" spans="1:26" s="24" customFormat="1" hidden="1" outlineLevel="2" x14ac:dyDescent="0.25">
      <c r="A178" s="25"/>
      <c r="B178" s="11" t="str">
        <f>CONCATENATE("          ", "6321", " - ", "BUILDING DEPRECIATION")</f>
        <v xml:space="preserve">          6321 - BUILDING DEPRECIATION</v>
      </c>
      <c r="C178" s="11"/>
      <c r="D178" s="7">
        <v>16396.52</v>
      </c>
      <c r="E178" s="2"/>
      <c r="F178" s="6">
        <f t="shared" si="40"/>
        <v>2.4974025308991989E-2</v>
      </c>
      <c r="G178" s="2"/>
      <c r="H178" s="7"/>
      <c r="I178" s="2"/>
      <c r="J178" s="6">
        <f t="shared" si="41"/>
        <v>0</v>
      </c>
      <c r="K178" s="2"/>
      <c r="L178" s="7">
        <f t="shared" si="42"/>
        <v>16396.52</v>
      </c>
      <c r="M178" s="2"/>
      <c r="N178" s="6">
        <f t="shared" si="43"/>
        <v>0</v>
      </c>
      <c r="O178" s="11"/>
      <c r="P178" s="7">
        <v>180361.72</v>
      </c>
      <c r="Q178" s="2"/>
      <c r="R178" s="6">
        <f t="shared" si="44"/>
        <v>2.3176882804937789E-2</v>
      </c>
      <c r="S178" s="2"/>
      <c r="T178" s="7"/>
      <c r="U178" s="2"/>
      <c r="V178" s="6">
        <f t="shared" si="45"/>
        <v>0</v>
      </c>
      <c r="W178" s="2"/>
      <c r="X178" s="7">
        <f t="shared" si="46"/>
        <v>180361.72</v>
      </c>
      <c r="Y178" s="2"/>
      <c r="Z178" s="6">
        <f t="shared" si="47"/>
        <v>0</v>
      </c>
    </row>
    <row r="179" spans="1:26" s="24" customFormat="1" hidden="1" outlineLevel="2" x14ac:dyDescent="0.25">
      <c r="A179" s="25"/>
      <c r="B179" s="11" t="str">
        <f>CONCATENATE("          ", "6322", " - ", "EQUIPMENT DEPRECIATION EXPENSE")</f>
        <v xml:space="preserve">          6322 - EQUIPMENT DEPRECIATION EXPENSE</v>
      </c>
      <c r="C179" s="11"/>
      <c r="D179" s="7">
        <v>14619.77</v>
      </c>
      <c r="E179" s="2"/>
      <c r="F179" s="6">
        <f t="shared" si="40"/>
        <v>2.226780475318188E-2</v>
      </c>
      <c r="G179" s="2"/>
      <c r="H179" s="7">
        <v>30594</v>
      </c>
      <c r="I179" s="2"/>
      <c r="J179" s="6">
        <f t="shared" si="41"/>
        <v>4.4517717452039487E-2</v>
      </c>
      <c r="K179" s="2"/>
      <c r="L179" s="7">
        <f t="shared" si="42"/>
        <v>-15974.23</v>
      </c>
      <c r="M179" s="2"/>
      <c r="N179" s="6">
        <f t="shared" si="43"/>
        <v>-0.52213603974635547</v>
      </c>
      <c r="O179" s="11"/>
      <c r="P179" s="7">
        <v>161112.95999999999</v>
      </c>
      <c r="Q179" s="2"/>
      <c r="R179" s="6">
        <f t="shared" si="44"/>
        <v>2.070337426520788E-2</v>
      </c>
      <c r="S179" s="2"/>
      <c r="T179" s="7">
        <v>337542</v>
      </c>
      <c r="U179" s="2"/>
      <c r="V179" s="6">
        <f t="shared" si="45"/>
        <v>3.0725350275474246E-2</v>
      </c>
      <c r="W179" s="2"/>
      <c r="X179" s="7">
        <f t="shared" si="46"/>
        <v>-176429.04</v>
      </c>
      <c r="Y179" s="2"/>
      <c r="Z179" s="6">
        <f t="shared" si="47"/>
        <v>-0.52268766553495571</v>
      </c>
    </row>
    <row r="180" spans="1:26" s="27" customFormat="1" outlineLevel="1" collapsed="1" x14ac:dyDescent="0.25">
      <c r="A180" s="26"/>
      <c r="B180" s="13" t="str">
        <f>CONCATENATE("     ","Discounts and Markdowns                           ")</f>
        <v xml:space="preserve">     Discounts and Markdowns                           </v>
      </c>
      <c r="C180" s="13"/>
      <c r="D180" s="1">
        <f>SUM(OSRRefD22_6x_0)</f>
        <v>0</v>
      </c>
      <c r="E180" s="1"/>
      <c r="F180" s="5">
        <f t="shared" ref="F180:F182" si="48">IF(D$12=0,0,D180/D$12)</f>
        <v>0</v>
      </c>
      <c r="G180" s="1"/>
      <c r="H180" s="1">
        <f>SUM(OSRRefH22_6x_0)</f>
        <v>39890</v>
      </c>
      <c r="I180" s="1"/>
      <c r="J180" s="5">
        <f t="shared" ref="J180:J182" si="49">IF(H$12=0,0,H180/H$12)</f>
        <v>5.8044444961817841E-2</v>
      </c>
      <c r="K180" s="1"/>
      <c r="L180" s="1">
        <f t="shared" ref="L180:L182" si="50">+D180-H180</f>
        <v>-39890</v>
      </c>
      <c r="M180" s="1"/>
      <c r="N180" s="5">
        <f t="shared" ref="N180:N182" si="51">IF(H180=0,0,L180/H180)</f>
        <v>-1</v>
      </c>
      <c r="O180" s="13"/>
      <c r="P180" s="1">
        <f>SUM(OSRRefP22_6x_0)</f>
        <v>-15.43</v>
      </c>
      <c r="Q180" s="1"/>
      <c r="R180" s="5">
        <f t="shared" ref="R180:R182" si="52">IF(P$12=0,0,P180/P$12)</f>
        <v>-1.9827893728236238E-6</v>
      </c>
      <c r="S180" s="1"/>
      <c r="T180" s="1">
        <f>SUM(OSRRefT22_6x_0)</f>
        <v>354184</v>
      </c>
      <c r="U180" s="1"/>
      <c r="V180" s="5">
        <f t="shared" ref="V180:V182" si="53">IF(T$12=0,0,T180/T$12)</f>
        <v>3.2240217401000679E-2</v>
      </c>
      <c r="W180" s="1"/>
      <c r="X180" s="1">
        <f t="shared" ref="X180:X182" si="54">+P180-T180</f>
        <v>-354199.43</v>
      </c>
      <c r="Y180" s="1"/>
      <c r="Z180" s="5">
        <f t="shared" ref="Z180:Z182" si="55">IF(T180=0,0,X180/T180)</f>
        <v>-1.0000435649267048</v>
      </c>
    </row>
    <row r="181" spans="1:26" s="24" customFormat="1" hidden="1" outlineLevel="2" x14ac:dyDescent="0.25">
      <c r="A181" s="25"/>
      <c r="B181" s="11" t="str">
        <f>CONCATENATE("          ", "6382", " - ", "DISCOUNTS/MARK DOWNS")</f>
        <v xml:space="preserve">          6382 - DISCOUNTS/MARK DOWNS</v>
      </c>
      <c r="C181" s="11"/>
      <c r="D181" s="7">
        <v>0</v>
      </c>
      <c r="E181" s="2"/>
      <c r="F181" s="6">
        <f t="shared" si="48"/>
        <v>0</v>
      </c>
      <c r="G181" s="2"/>
      <c r="H181" s="7">
        <v>39890</v>
      </c>
      <c r="I181" s="2"/>
      <c r="J181" s="6">
        <f t="shared" si="49"/>
        <v>5.8044444961817841E-2</v>
      </c>
      <c r="K181" s="2"/>
      <c r="L181" s="7">
        <f t="shared" si="50"/>
        <v>-39890</v>
      </c>
      <c r="M181" s="2"/>
      <c r="N181" s="6">
        <f t="shared" si="51"/>
        <v>-1</v>
      </c>
      <c r="O181" s="11"/>
      <c r="P181" s="7">
        <v>0</v>
      </c>
      <c r="Q181" s="2"/>
      <c r="R181" s="6">
        <f t="shared" si="52"/>
        <v>0</v>
      </c>
      <c r="S181" s="2"/>
      <c r="T181" s="7">
        <v>354184</v>
      </c>
      <c r="U181" s="2"/>
      <c r="V181" s="6">
        <f t="shared" si="53"/>
        <v>3.2240217401000679E-2</v>
      </c>
      <c r="W181" s="2"/>
      <c r="X181" s="7">
        <f t="shared" si="54"/>
        <v>-354184</v>
      </c>
      <c r="Y181" s="2"/>
      <c r="Z181" s="6">
        <f t="shared" si="55"/>
        <v>-1</v>
      </c>
    </row>
    <row r="182" spans="1:26" s="24" customFormat="1" hidden="1" outlineLevel="2" x14ac:dyDescent="0.25">
      <c r="A182" s="25"/>
      <c r="B182" s="11" t="str">
        <f>CONCATENATE("          ", "9175", " - ", "EARNED DISCOUNTS")</f>
        <v xml:space="preserve">          9175 - EARNED DISCOUNTS</v>
      </c>
      <c r="C182" s="11"/>
      <c r="D182" s="7">
        <v>0</v>
      </c>
      <c r="E182" s="2"/>
      <c r="F182" s="6">
        <f t="shared" si="48"/>
        <v>0</v>
      </c>
      <c r="G182" s="2"/>
      <c r="H182" s="7"/>
      <c r="I182" s="2"/>
      <c r="J182" s="6">
        <f t="shared" si="49"/>
        <v>0</v>
      </c>
      <c r="K182" s="2"/>
      <c r="L182" s="7">
        <f t="shared" si="50"/>
        <v>0</v>
      </c>
      <c r="M182" s="2"/>
      <c r="N182" s="6">
        <f t="shared" si="51"/>
        <v>0</v>
      </c>
      <c r="O182" s="11"/>
      <c r="P182" s="7">
        <v>-15.43</v>
      </c>
      <c r="Q182" s="2"/>
      <c r="R182" s="6">
        <f t="shared" si="52"/>
        <v>-1.9827893728236238E-6</v>
      </c>
      <c r="S182" s="2"/>
      <c r="T182" s="7"/>
      <c r="U182" s="2"/>
      <c r="V182" s="6">
        <f t="shared" si="53"/>
        <v>0</v>
      </c>
      <c r="W182" s="2"/>
      <c r="X182" s="7">
        <f t="shared" si="54"/>
        <v>-15.43</v>
      </c>
      <c r="Y182" s="2"/>
      <c r="Z182" s="6">
        <f t="shared" si="55"/>
        <v>0</v>
      </c>
    </row>
    <row r="183" spans="1:26" s="27" customFormat="1" outlineLevel="1" collapsed="1" x14ac:dyDescent="0.25">
      <c r="A183" s="26"/>
      <c r="B183" s="13" t="str">
        <f>CONCATENATE("     ","Donations                                         ")</f>
        <v xml:space="preserve">     Donations                                         </v>
      </c>
      <c r="C183" s="13"/>
      <c r="D183" s="1">
        <f>SUM(OSRRefD22_7x_0)</f>
        <v>0</v>
      </c>
      <c r="E183" s="1"/>
      <c r="F183" s="5">
        <f t="shared" ref="F183:F185" si="56">IF(D$12=0,0,D183/D$12)</f>
        <v>0</v>
      </c>
      <c r="G183" s="1"/>
      <c r="H183" s="1">
        <f>SUM(OSRRefH22_7x_0)</f>
        <v>1000</v>
      </c>
      <c r="I183" s="1"/>
      <c r="J183" s="5">
        <f t="shared" ref="J183:J185" si="57">IF(H$12=0,0,H183/H$12)</f>
        <v>1.4551126839262433E-3</v>
      </c>
      <c r="K183" s="1"/>
      <c r="L183" s="1">
        <f t="shared" ref="L183:L185" si="58">+D183-H183</f>
        <v>-1000</v>
      </c>
      <c r="M183" s="1"/>
      <c r="N183" s="5">
        <f t="shared" ref="N183:N185" si="59">IF(H183=0,0,L183/H183)</f>
        <v>-1</v>
      </c>
      <c r="O183" s="13"/>
      <c r="P183" s="1">
        <f>SUM(OSRRefP22_7x_0)</f>
        <v>360.9</v>
      </c>
      <c r="Q183" s="1"/>
      <c r="R183" s="5">
        <f t="shared" ref="R183:R185" si="60">IF(P$12=0,0,P183/P$12)</f>
        <v>4.6376453963191566E-5</v>
      </c>
      <c r="S183" s="1"/>
      <c r="T183" s="1">
        <f>SUM(OSRRefT22_7x_0)</f>
        <v>11000</v>
      </c>
      <c r="U183" s="1"/>
      <c r="V183" s="5">
        <f t="shared" ref="V183:V185" si="61">IF(T$12=0,0,T183/T$12)</f>
        <v>1.0012942182905141E-3</v>
      </c>
      <c r="W183" s="1"/>
      <c r="X183" s="1">
        <f t="shared" ref="X183:X185" si="62">+P183-T183</f>
        <v>-10639.1</v>
      </c>
      <c r="Y183" s="1"/>
      <c r="Z183" s="5">
        <f t="shared" ref="Z183:Z185" si="63">IF(T183=0,0,X183/T183)</f>
        <v>-0.9671909090909091</v>
      </c>
    </row>
    <row r="184" spans="1:26" s="24" customFormat="1" hidden="1" outlineLevel="2" x14ac:dyDescent="0.25">
      <c r="A184" s="25"/>
      <c r="B184" s="11" t="str">
        <f>CONCATENATE("          ", "6395", " - ", "DONATION-OFF CAMPUS")</f>
        <v xml:space="preserve">          6395 - DONATION-OFF CAMPUS</v>
      </c>
      <c r="C184" s="11"/>
      <c r="D184" s="7"/>
      <c r="E184" s="2"/>
      <c r="F184" s="6">
        <f t="shared" si="56"/>
        <v>0</v>
      </c>
      <c r="G184" s="2"/>
      <c r="H184" s="7"/>
      <c r="I184" s="2"/>
      <c r="J184" s="6">
        <f t="shared" si="57"/>
        <v>0</v>
      </c>
      <c r="K184" s="2"/>
      <c r="L184" s="7">
        <f t="shared" si="58"/>
        <v>0</v>
      </c>
      <c r="M184" s="2"/>
      <c r="N184" s="6">
        <f t="shared" si="59"/>
        <v>0</v>
      </c>
      <c r="O184" s="11"/>
      <c r="P184" s="7"/>
      <c r="Q184" s="2"/>
      <c r="R184" s="6">
        <f t="shared" si="60"/>
        <v>0</v>
      </c>
      <c r="S184" s="2"/>
      <c r="T184" s="7">
        <v>0</v>
      </c>
      <c r="U184" s="2"/>
      <c r="V184" s="6">
        <f t="shared" si="61"/>
        <v>0</v>
      </c>
      <c r="W184" s="2"/>
      <c r="X184" s="7">
        <f t="shared" si="62"/>
        <v>0</v>
      </c>
      <c r="Y184" s="2"/>
      <c r="Z184" s="6">
        <f t="shared" si="63"/>
        <v>0</v>
      </c>
    </row>
    <row r="185" spans="1:26" s="24" customFormat="1" hidden="1" outlineLevel="2" x14ac:dyDescent="0.25">
      <c r="A185" s="25"/>
      <c r="B185" s="11" t="str">
        <f>CONCATENATE("          ", "6399", " - ", "DONATION-ON CAMPUS")</f>
        <v xml:space="preserve">          6399 - DONATION-ON CAMPUS</v>
      </c>
      <c r="C185" s="11"/>
      <c r="D185" s="7"/>
      <c r="E185" s="2"/>
      <c r="F185" s="6">
        <f t="shared" si="56"/>
        <v>0</v>
      </c>
      <c r="G185" s="2"/>
      <c r="H185" s="7">
        <v>1000</v>
      </c>
      <c r="I185" s="2"/>
      <c r="J185" s="6">
        <f t="shared" si="57"/>
        <v>1.4551126839262433E-3</v>
      </c>
      <c r="K185" s="2"/>
      <c r="L185" s="7">
        <f t="shared" si="58"/>
        <v>-1000</v>
      </c>
      <c r="M185" s="2"/>
      <c r="N185" s="6">
        <f t="shared" si="59"/>
        <v>-1</v>
      </c>
      <c r="O185" s="11"/>
      <c r="P185" s="7">
        <v>360.9</v>
      </c>
      <c r="Q185" s="2"/>
      <c r="R185" s="6">
        <f t="shared" si="60"/>
        <v>4.6376453963191566E-5</v>
      </c>
      <c r="S185" s="2"/>
      <c r="T185" s="7">
        <v>11000</v>
      </c>
      <c r="U185" s="2"/>
      <c r="V185" s="6">
        <f t="shared" si="61"/>
        <v>1.0012942182905141E-3</v>
      </c>
      <c r="W185" s="2"/>
      <c r="X185" s="7">
        <f t="shared" si="62"/>
        <v>-10639.1</v>
      </c>
      <c r="Y185" s="2"/>
      <c r="Z185" s="6">
        <f t="shared" si="63"/>
        <v>-0.9671909090909091</v>
      </c>
    </row>
    <row r="186" spans="1:26" s="27" customFormat="1" outlineLevel="1" collapsed="1" x14ac:dyDescent="0.25">
      <c r="A186" s="26"/>
      <c r="B186" s="13" t="str">
        <f>CONCATENATE("     ","Employees' Appreciation                           ")</f>
        <v xml:space="preserve">     Employees' Appreciation                           </v>
      </c>
      <c r="C186" s="13"/>
      <c r="D186" s="1">
        <f>SUM(OSRRefD22_8x_0)</f>
        <v>0</v>
      </c>
      <c r="E186" s="1"/>
      <c r="F186" s="5">
        <f t="shared" ref="F186:F192" si="64">IF(D$12=0,0,D186/D$12)</f>
        <v>0</v>
      </c>
      <c r="G186" s="1"/>
      <c r="H186" s="1">
        <f>SUM(OSRRefH22_8x_0)</f>
        <v>420</v>
      </c>
      <c r="I186" s="1"/>
      <c r="J186" s="5">
        <f t="shared" ref="J186:J192" si="65">IF(H$12=0,0,H186/H$12)</f>
        <v>6.1114732724902219E-4</v>
      </c>
      <c r="K186" s="1"/>
      <c r="L186" s="1">
        <f t="shared" ref="L186:L192" si="66">+D186-H186</f>
        <v>-420</v>
      </c>
      <c r="M186" s="1"/>
      <c r="N186" s="5">
        <f t="shared" ref="N186:N192" si="67">IF(H186=0,0,L186/H186)</f>
        <v>-1</v>
      </c>
      <c r="O186" s="13"/>
      <c r="P186" s="1">
        <f>SUM(OSRRefP22_8x_0)</f>
        <v>186.03</v>
      </c>
      <c r="Q186" s="1"/>
      <c r="R186" s="5">
        <f t="shared" ref="R186:R192" si="68">IF(P$12=0,0,P186/P$12)</f>
        <v>2.390526941194937E-5</v>
      </c>
      <c r="S186" s="1"/>
      <c r="T186" s="1">
        <f>SUM(OSRRefT22_8x_0)</f>
        <v>4720</v>
      </c>
      <c r="U186" s="1"/>
      <c r="V186" s="5">
        <f t="shared" ref="V186:V192" si="69">IF(T$12=0,0,T186/T$12)</f>
        <v>4.2964624639374785E-4</v>
      </c>
      <c r="W186" s="1"/>
      <c r="X186" s="1">
        <f t="shared" ref="X186:X192" si="70">+P186-T186</f>
        <v>-4533.97</v>
      </c>
      <c r="Y186" s="1"/>
      <c r="Z186" s="5">
        <f t="shared" ref="Z186:Z192" si="71">IF(T186=0,0,X186/T186)</f>
        <v>-0.96058686440677976</v>
      </c>
    </row>
    <row r="187" spans="1:26" s="24" customFormat="1" hidden="1" outlineLevel="2" x14ac:dyDescent="0.25">
      <c r="A187" s="25"/>
      <c r="B187" s="11" t="str">
        <f>CONCATENATE("          ", "6277", " - ", "EMPLOYEE APPRECIATION")</f>
        <v xml:space="preserve">          6277 - EMPLOYEE APPRECIATION</v>
      </c>
      <c r="C187" s="11"/>
      <c r="D187" s="7"/>
      <c r="E187" s="2"/>
      <c r="F187" s="6">
        <f t="shared" si="64"/>
        <v>0</v>
      </c>
      <c r="G187" s="2"/>
      <c r="H187" s="7">
        <v>420</v>
      </c>
      <c r="I187" s="2"/>
      <c r="J187" s="6">
        <f t="shared" si="65"/>
        <v>6.1114732724902219E-4</v>
      </c>
      <c r="K187" s="2"/>
      <c r="L187" s="7">
        <f t="shared" si="66"/>
        <v>-420</v>
      </c>
      <c r="M187" s="2"/>
      <c r="N187" s="6">
        <f t="shared" si="67"/>
        <v>-1</v>
      </c>
      <c r="O187" s="11"/>
      <c r="P187" s="7">
        <v>186.03</v>
      </c>
      <c r="Q187" s="2"/>
      <c r="R187" s="6">
        <f t="shared" si="68"/>
        <v>2.390526941194937E-5</v>
      </c>
      <c r="S187" s="2"/>
      <c r="T187" s="7">
        <v>4720</v>
      </c>
      <c r="U187" s="2"/>
      <c r="V187" s="6">
        <f t="shared" si="69"/>
        <v>4.2964624639374785E-4</v>
      </c>
      <c r="W187" s="2"/>
      <c r="X187" s="7">
        <f t="shared" si="70"/>
        <v>-4533.97</v>
      </c>
      <c r="Y187" s="2"/>
      <c r="Z187" s="6">
        <f t="shared" si="71"/>
        <v>-0.96058686440677976</v>
      </c>
    </row>
    <row r="188" spans="1:26" s="27" customFormat="1" outlineLevel="1" collapsed="1" x14ac:dyDescent="0.25">
      <c r="A188" s="26"/>
      <c r="B188" s="13" t="str">
        <f>CONCATENATE("     ","Equipment Rental                                  ")</f>
        <v xml:space="preserve">     Equipment Rental                                  </v>
      </c>
      <c r="C188" s="13"/>
      <c r="D188" s="1">
        <f>SUM(OSRRefD22_9x_0)</f>
        <v>1712.05</v>
      </c>
      <c r="E188" s="1"/>
      <c r="F188" s="5">
        <f t="shared" si="64"/>
        <v>2.6076740692695601E-3</v>
      </c>
      <c r="G188" s="1"/>
      <c r="H188" s="1">
        <f>SUM(OSRRefH22_9x_0)</f>
        <v>3006</v>
      </c>
      <c r="I188" s="1"/>
      <c r="J188" s="5">
        <f t="shared" si="65"/>
        <v>4.3740687278822875E-3</v>
      </c>
      <c r="K188" s="1"/>
      <c r="L188" s="1">
        <f t="shared" si="66"/>
        <v>-1293.95</v>
      </c>
      <c r="M188" s="1"/>
      <c r="N188" s="5">
        <f t="shared" si="67"/>
        <v>-0.43045575515635398</v>
      </c>
      <c r="O188" s="13"/>
      <c r="P188" s="1">
        <f>SUM(OSRRefP22_9x_0)</f>
        <v>16546.22</v>
      </c>
      <c r="Q188" s="1"/>
      <c r="R188" s="5">
        <f t="shared" si="68"/>
        <v>2.1262261293844269E-3</v>
      </c>
      <c r="S188" s="1"/>
      <c r="T188" s="1">
        <f>SUM(OSRRefT22_9x_0)</f>
        <v>33066</v>
      </c>
      <c r="U188" s="1"/>
      <c r="V188" s="5">
        <f t="shared" si="69"/>
        <v>3.009890420181285E-3</v>
      </c>
      <c r="W188" s="1"/>
      <c r="X188" s="1">
        <f t="shared" si="70"/>
        <v>-16519.78</v>
      </c>
      <c r="Y188" s="1"/>
      <c r="Z188" s="5">
        <f t="shared" si="71"/>
        <v>-0.49960019355228935</v>
      </c>
    </row>
    <row r="189" spans="1:26" s="24" customFormat="1" hidden="1" outlineLevel="2" x14ac:dyDescent="0.25">
      <c r="A189" s="25"/>
      <c r="B189" s="11" t="str">
        <f>CONCATENATE("          ", "6351", " - ", "EQUIPMENT RENTAL")</f>
        <v xml:space="preserve">          6351 - EQUIPMENT RENTAL</v>
      </c>
      <c r="C189" s="11"/>
      <c r="D189" s="7">
        <v>1712.05</v>
      </c>
      <c r="E189" s="2"/>
      <c r="F189" s="6">
        <f t="shared" si="64"/>
        <v>2.6076740692695601E-3</v>
      </c>
      <c r="G189" s="2"/>
      <c r="H189" s="7">
        <v>3006</v>
      </c>
      <c r="I189" s="2"/>
      <c r="J189" s="6">
        <f t="shared" si="65"/>
        <v>4.3740687278822875E-3</v>
      </c>
      <c r="K189" s="2"/>
      <c r="L189" s="7">
        <f t="shared" si="66"/>
        <v>-1293.95</v>
      </c>
      <c r="M189" s="2"/>
      <c r="N189" s="6">
        <f t="shared" si="67"/>
        <v>-0.43045575515635398</v>
      </c>
      <c r="O189" s="11"/>
      <c r="P189" s="7">
        <v>16546.22</v>
      </c>
      <c r="Q189" s="2"/>
      <c r="R189" s="6">
        <f t="shared" si="68"/>
        <v>2.1262261293844269E-3</v>
      </c>
      <c r="S189" s="2"/>
      <c r="T189" s="7">
        <v>33066</v>
      </c>
      <c r="U189" s="2"/>
      <c r="V189" s="6">
        <f t="shared" si="69"/>
        <v>3.009890420181285E-3</v>
      </c>
      <c r="W189" s="2"/>
      <c r="X189" s="7">
        <f t="shared" si="70"/>
        <v>-16519.78</v>
      </c>
      <c r="Y189" s="2"/>
      <c r="Z189" s="6">
        <f t="shared" si="71"/>
        <v>-0.49960019355228935</v>
      </c>
    </row>
    <row r="190" spans="1:26" s="27" customFormat="1" outlineLevel="1" collapsed="1" x14ac:dyDescent="0.25">
      <c r="A190" s="26"/>
      <c r="B190" s="13" t="str">
        <f>CONCATENATE("     ","Freight out/Postage                               ")</f>
        <v xml:space="preserve">     Freight out/Postage                               </v>
      </c>
      <c r="C190" s="13"/>
      <c r="D190" s="1">
        <f>SUM(OSRRefD22_10x_0)</f>
        <v>-19807.939999999999</v>
      </c>
      <c r="E190" s="1"/>
      <c r="F190" s="5">
        <f t="shared" si="64"/>
        <v>-3.0170060163924706E-2</v>
      </c>
      <c r="G190" s="1"/>
      <c r="H190" s="1">
        <f>SUM(OSRRefH22_10x_0)</f>
        <v>-1467</v>
      </c>
      <c r="I190" s="1"/>
      <c r="J190" s="5">
        <f t="shared" si="65"/>
        <v>-2.134650307319799E-3</v>
      </c>
      <c r="K190" s="1"/>
      <c r="L190" s="1">
        <f t="shared" si="66"/>
        <v>-18340.939999999999</v>
      </c>
      <c r="M190" s="1"/>
      <c r="N190" s="5">
        <f t="shared" si="67"/>
        <v>12.502344921608724</v>
      </c>
      <c r="O190" s="13"/>
      <c r="P190" s="1">
        <f>SUM(OSRRefP22_10x_0)</f>
        <v>-65188.209999999992</v>
      </c>
      <c r="Q190" s="1"/>
      <c r="R190" s="5">
        <f t="shared" si="68"/>
        <v>-8.3768302022938865E-3</v>
      </c>
      <c r="S190" s="1"/>
      <c r="T190" s="1">
        <f>SUM(OSRRefT22_10x_0)</f>
        <v>35280</v>
      </c>
      <c r="U190" s="1"/>
      <c r="V190" s="5">
        <f t="shared" si="69"/>
        <v>3.2114236382990305E-3</v>
      </c>
      <c r="W190" s="1"/>
      <c r="X190" s="1">
        <f t="shared" si="70"/>
        <v>-100468.20999999999</v>
      </c>
      <c r="Y190" s="1"/>
      <c r="Z190" s="5">
        <f t="shared" si="71"/>
        <v>-2.8477383786848072</v>
      </c>
    </row>
    <row r="191" spans="1:26" s="24" customFormat="1" hidden="1" outlineLevel="2" x14ac:dyDescent="0.25">
      <c r="A191" s="25"/>
      <c r="B191" s="11" t="str">
        <f>CONCATENATE("          ", "6305", " - ", "FREIGHT OUT")</f>
        <v xml:space="preserve">          6305 - FREIGHT OUT</v>
      </c>
      <c r="C191" s="11"/>
      <c r="D191" s="7">
        <v>23540.09</v>
      </c>
      <c r="E191" s="2"/>
      <c r="F191" s="6">
        <f t="shared" si="64"/>
        <v>3.5854608382507334E-2</v>
      </c>
      <c r="G191" s="2"/>
      <c r="H191" s="7">
        <v>3513</v>
      </c>
      <c r="I191" s="2"/>
      <c r="J191" s="6">
        <f t="shared" si="65"/>
        <v>5.1118108586328927E-3</v>
      </c>
      <c r="K191" s="2"/>
      <c r="L191" s="7">
        <f t="shared" si="66"/>
        <v>20027.09</v>
      </c>
      <c r="M191" s="2"/>
      <c r="N191" s="6">
        <f t="shared" si="67"/>
        <v>5.7008511243951041</v>
      </c>
      <c r="O191" s="11"/>
      <c r="P191" s="7">
        <v>227069.6</v>
      </c>
      <c r="Q191" s="2"/>
      <c r="R191" s="6">
        <f t="shared" si="68"/>
        <v>2.9178949434304029E-2</v>
      </c>
      <c r="S191" s="2"/>
      <c r="T191" s="7">
        <v>64602</v>
      </c>
      <c r="U191" s="2"/>
      <c r="V191" s="6">
        <f t="shared" si="69"/>
        <v>5.8805099172730716E-3</v>
      </c>
      <c r="W191" s="2"/>
      <c r="X191" s="7">
        <f t="shared" si="70"/>
        <v>162467.6</v>
      </c>
      <c r="Y191" s="2"/>
      <c r="Z191" s="6">
        <f t="shared" si="71"/>
        <v>2.5149004674777871</v>
      </c>
    </row>
    <row r="192" spans="1:26" s="24" customFormat="1" hidden="1" outlineLevel="2" x14ac:dyDescent="0.25">
      <c r="A192" s="25"/>
      <c r="B192" s="11" t="str">
        <f>CONCATENATE("          ", "6307", " - ", "POSTAGE")</f>
        <v xml:space="preserve">          6307 - POSTAGE</v>
      </c>
      <c r="C192" s="11"/>
      <c r="D192" s="7">
        <v>-43348.03</v>
      </c>
      <c r="E192" s="2"/>
      <c r="F192" s="6">
        <f t="shared" si="64"/>
        <v>-6.6024668546432033E-2</v>
      </c>
      <c r="G192" s="2"/>
      <c r="H192" s="7">
        <v>-4980</v>
      </c>
      <c r="I192" s="2"/>
      <c r="J192" s="6">
        <f t="shared" si="65"/>
        <v>-7.2464611659526917E-3</v>
      </c>
      <c r="K192" s="2"/>
      <c r="L192" s="7">
        <f t="shared" si="66"/>
        <v>-38368.03</v>
      </c>
      <c r="M192" s="2"/>
      <c r="N192" s="6">
        <f t="shared" si="67"/>
        <v>7.7044236947791163</v>
      </c>
      <c r="O192" s="11"/>
      <c r="P192" s="7">
        <v>-292257.81</v>
      </c>
      <c r="Q192" s="2"/>
      <c r="R192" s="6">
        <f t="shared" si="68"/>
        <v>-3.7555779636597918E-2</v>
      </c>
      <c r="S192" s="2"/>
      <c r="T192" s="7">
        <v>-29322</v>
      </c>
      <c r="U192" s="2"/>
      <c r="V192" s="6">
        <f t="shared" si="69"/>
        <v>-2.6690862789740411E-3</v>
      </c>
      <c r="W192" s="2"/>
      <c r="X192" s="7">
        <f t="shared" si="70"/>
        <v>-262935.81</v>
      </c>
      <c r="Y192" s="2"/>
      <c r="Z192" s="6">
        <f t="shared" si="71"/>
        <v>8.9671853898096998</v>
      </c>
    </row>
    <row r="193" spans="1:26" s="27" customFormat="1" outlineLevel="1" collapsed="1" x14ac:dyDescent="0.25">
      <c r="A193" s="26"/>
      <c r="B193" s="13" t="str">
        <f>CONCATENATE("     ","General                                           ")</f>
        <v xml:space="preserve">     General                                           </v>
      </c>
      <c r="C193" s="13"/>
      <c r="D193" s="1">
        <f>SUM(OSRRefD22_11x_0)</f>
        <v>285</v>
      </c>
      <c r="E193" s="1"/>
      <c r="F193" s="5">
        <f t="shared" ref="F193:F196" si="72">IF(D$12=0,0,D193/D$12)</f>
        <v>4.3409194225742514E-4</v>
      </c>
      <c r="G193" s="1"/>
      <c r="H193" s="1">
        <f>SUM(OSRRefH22_11x_0)</f>
        <v>1780</v>
      </c>
      <c r="I193" s="1"/>
      <c r="J193" s="5">
        <f t="shared" ref="J193:J196" si="73">IF(H$12=0,0,H193/H$12)</f>
        <v>2.5901005773887129E-3</v>
      </c>
      <c r="K193" s="1"/>
      <c r="L193" s="1">
        <f t="shared" ref="L193:L196" si="74">+D193-H193</f>
        <v>-1495</v>
      </c>
      <c r="M193" s="1"/>
      <c r="N193" s="5">
        <f t="shared" ref="N193:N196" si="75">IF(H193=0,0,L193/H193)</f>
        <v>-0.8398876404494382</v>
      </c>
      <c r="O193" s="13"/>
      <c r="P193" s="1">
        <f>SUM(OSRRefP22_11x_0)</f>
        <v>2858.48</v>
      </c>
      <c r="Q193" s="1"/>
      <c r="R193" s="5">
        <f t="shared" ref="R193:R196" si="76">IF(P$12=0,0,P193/P$12)</f>
        <v>3.6732104772708182E-4</v>
      </c>
      <c r="S193" s="1"/>
      <c r="T193" s="1">
        <f>SUM(OSRRefT22_11x_0)</f>
        <v>12080</v>
      </c>
      <c r="U193" s="1"/>
      <c r="V193" s="5">
        <f t="shared" ref="V193:V196" si="77">IF(T$12=0,0,T193/T$12)</f>
        <v>1.0996031051772191E-3</v>
      </c>
      <c r="W193" s="1"/>
      <c r="X193" s="1">
        <f t="shared" ref="X193:X196" si="78">+P193-T193</f>
        <v>-9221.52</v>
      </c>
      <c r="Y193" s="1"/>
      <c r="Z193" s="5">
        <f t="shared" ref="Z193:Z196" si="79">IF(T193=0,0,X193/T193)</f>
        <v>-0.76337086092715234</v>
      </c>
    </row>
    <row r="194" spans="1:26" s="24" customFormat="1" hidden="1" outlineLevel="2" x14ac:dyDescent="0.25">
      <c r="A194" s="25"/>
      <c r="B194" s="11" t="str">
        <f>CONCATENATE("          ", "6269", " - ", "ENTERTAINMENT")</f>
        <v xml:space="preserve">          6269 - ENTERTAINMENT</v>
      </c>
      <c r="C194" s="11"/>
      <c r="D194" s="7"/>
      <c r="E194" s="2"/>
      <c r="F194" s="6">
        <f t="shared" si="72"/>
        <v>0</v>
      </c>
      <c r="G194" s="2"/>
      <c r="H194" s="7">
        <v>1250</v>
      </c>
      <c r="I194" s="2"/>
      <c r="J194" s="6">
        <f t="shared" si="73"/>
        <v>1.8188908549078041E-3</v>
      </c>
      <c r="K194" s="2"/>
      <c r="L194" s="7">
        <f t="shared" si="74"/>
        <v>-1250</v>
      </c>
      <c r="M194" s="2"/>
      <c r="N194" s="6">
        <f t="shared" si="75"/>
        <v>-1</v>
      </c>
      <c r="O194" s="11"/>
      <c r="P194" s="7"/>
      <c r="Q194" s="2"/>
      <c r="R194" s="6">
        <f t="shared" si="76"/>
        <v>0</v>
      </c>
      <c r="S194" s="2"/>
      <c r="T194" s="7">
        <v>2750</v>
      </c>
      <c r="U194" s="2"/>
      <c r="V194" s="6">
        <f t="shared" si="77"/>
        <v>2.5032355457262854E-4</v>
      </c>
      <c r="W194" s="2"/>
      <c r="X194" s="7">
        <f t="shared" si="78"/>
        <v>-2750</v>
      </c>
      <c r="Y194" s="2"/>
      <c r="Z194" s="6">
        <f t="shared" si="79"/>
        <v>-1</v>
      </c>
    </row>
    <row r="195" spans="1:26" s="24" customFormat="1" hidden="1" outlineLevel="2" x14ac:dyDescent="0.25">
      <c r="A195" s="25"/>
      <c r="B195" s="11" t="str">
        <f>CONCATENATE("          ", "6276", " - ", "PROPERTY TAX")</f>
        <v xml:space="preserve">          6276 - PROPERTY TAX</v>
      </c>
      <c r="C195" s="11"/>
      <c r="D195" s="7"/>
      <c r="E195" s="2"/>
      <c r="F195" s="6">
        <f t="shared" si="72"/>
        <v>0</v>
      </c>
      <c r="G195" s="2"/>
      <c r="H195" s="7"/>
      <c r="I195" s="2"/>
      <c r="J195" s="6">
        <f t="shared" si="73"/>
        <v>0</v>
      </c>
      <c r="K195" s="2"/>
      <c r="L195" s="7">
        <f t="shared" si="74"/>
        <v>0</v>
      </c>
      <c r="M195" s="2"/>
      <c r="N195" s="6">
        <f t="shared" si="75"/>
        <v>0</v>
      </c>
      <c r="O195" s="11"/>
      <c r="P195" s="7"/>
      <c r="Q195" s="2"/>
      <c r="R195" s="6">
        <f t="shared" si="76"/>
        <v>0</v>
      </c>
      <c r="S195" s="2"/>
      <c r="T195" s="7">
        <v>150</v>
      </c>
      <c r="U195" s="2"/>
      <c r="V195" s="6">
        <f t="shared" si="77"/>
        <v>1.365401206759792E-5</v>
      </c>
      <c r="W195" s="2"/>
      <c r="X195" s="7">
        <f t="shared" si="78"/>
        <v>-150</v>
      </c>
      <c r="Y195" s="2"/>
      <c r="Z195" s="6">
        <f t="shared" si="79"/>
        <v>-1</v>
      </c>
    </row>
    <row r="196" spans="1:26" s="24" customFormat="1" hidden="1" outlineLevel="2" x14ac:dyDescent="0.25">
      <c r="A196" s="25"/>
      <c r="B196" s="11" t="str">
        <f>CONCATENATE("          ", "6279", " - ", "GENERAL EXPENSE")</f>
        <v xml:space="preserve">          6279 - GENERAL EXPENSE</v>
      </c>
      <c r="C196" s="11"/>
      <c r="D196" s="7">
        <v>285</v>
      </c>
      <c r="E196" s="2"/>
      <c r="F196" s="6">
        <f t="shared" si="72"/>
        <v>4.3409194225742514E-4</v>
      </c>
      <c r="G196" s="2"/>
      <c r="H196" s="7">
        <v>530</v>
      </c>
      <c r="I196" s="2"/>
      <c r="J196" s="6">
        <f t="shared" si="73"/>
        <v>7.7120972248090889E-4</v>
      </c>
      <c r="K196" s="2"/>
      <c r="L196" s="7">
        <f t="shared" si="74"/>
        <v>-245</v>
      </c>
      <c r="M196" s="2"/>
      <c r="N196" s="6">
        <f t="shared" si="75"/>
        <v>-0.46226415094339623</v>
      </c>
      <c r="O196" s="11"/>
      <c r="P196" s="7">
        <v>2858.48</v>
      </c>
      <c r="Q196" s="2"/>
      <c r="R196" s="6">
        <f t="shared" si="76"/>
        <v>3.6732104772708182E-4</v>
      </c>
      <c r="S196" s="2"/>
      <c r="T196" s="7">
        <v>9180</v>
      </c>
      <c r="U196" s="2"/>
      <c r="V196" s="6">
        <f t="shared" si="77"/>
        <v>8.3562553853699267E-4</v>
      </c>
      <c r="W196" s="2"/>
      <c r="X196" s="7">
        <f t="shared" si="78"/>
        <v>-6321.52</v>
      </c>
      <c r="Y196" s="2"/>
      <c r="Z196" s="6">
        <f t="shared" si="79"/>
        <v>-0.68861873638344229</v>
      </c>
    </row>
    <row r="197" spans="1:26" s="27" customFormat="1" outlineLevel="1" collapsed="1" x14ac:dyDescent="0.25">
      <c r="A197" s="26"/>
      <c r="B197" s="13" t="str">
        <f>CONCATENATE("     ","Insurance                                         ")</f>
        <v xml:space="preserve">     Insurance                                         </v>
      </c>
      <c r="C197" s="13"/>
      <c r="D197" s="1">
        <f>SUM(OSRRefD22_12x_0)</f>
        <v>4044.74</v>
      </c>
      <c r="E197" s="1"/>
      <c r="F197" s="5">
        <f t="shared" ref="F197:F201" si="80">IF(D$12=0,0,D197/D$12)</f>
        <v>6.1606633071098161E-3</v>
      </c>
      <c r="G197" s="1"/>
      <c r="H197" s="1">
        <f>SUM(OSRRefH22_12x_0)</f>
        <v>4446</v>
      </c>
      <c r="I197" s="1"/>
      <c r="J197" s="5">
        <f t="shared" ref="J197:J201" si="81">IF(H$12=0,0,H197/H$12)</f>
        <v>6.4694309927360773E-3</v>
      </c>
      <c r="K197" s="1"/>
      <c r="L197" s="1">
        <f t="shared" ref="L197:L201" si="82">+D197-H197</f>
        <v>-401.26000000000022</v>
      </c>
      <c r="M197" s="1"/>
      <c r="N197" s="5">
        <f t="shared" ref="N197:N201" si="83">IF(H197=0,0,L197/H197)</f>
        <v>-9.0251911830859247E-2</v>
      </c>
      <c r="O197" s="13"/>
      <c r="P197" s="1">
        <f>SUM(OSRRefP22_12x_0)</f>
        <v>44492.14</v>
      </c>
      <c r="Q197" s="1"/>
      <c r="R197" s="5">
        <f t="shared" ref="R197:R201" si="84">IF(P$12=0,0,P197/P$12)</f>
        <v>5.7173391034465891E-3</v>
      </c>
      <c r="S197" s="1"/>
      <c r="T197" s="1">
        <f>SUM(OSRRefT22_12x_0)</f>
        <v>48906</v>
      </c>
      <c r="U197" s="1"/>
      <c r="V197" s="5">
        <f t="shared" ref="V197:V201" si="85">IF(T$12=0,0,T197/T$12)</f>
        <v>4.4517540945196252E-3</v>
      </c>
      <c r="W197" s="1"/>
      <c r="X197" s="1">
        <f t="shared" ref="X197:X201" si="86">+P197-T197</f>
        <v>-4413.8600000000006</v>
      </c>
      <c r="Y197" s="1"/>
      <c r="Z197" s="5">
        <f t="shared" ref="Z197:Z201" si="87">IF(T197=0,0,X197/T197)</f>
        <v>-9.0251911830859205E-2</v>
      </c>
    </row>
    <row r="198" spans="1:26" s="24" customFormat="1" hidden="1" outlineLevel="2" x14ac:dyDescent="0.25">
      <c r="A198" s="25"/>
      <c r="B198" s="11" t="str">
        <f>CONCATENATE("          ", "6314", " - ", "LIABILITY INSURANCE")</f>
        <v xml:space="preserve">          6314 - LIABILITY INSURANCE</v>
      </c>
      <c r="C198" s="11"/>
      <c r="D198" s="7">
        <v>4044.74</v>
      </c>
      <c r="E198" s="2"/>
      <c r="F198" s="6">
        <f t="shared" si="80"/>
        <v>6.1606633071098161E-3</v>
      </c>
      <c r="G198" s="2"/>
      <c r="H198" s="7">
        <v>4446</v>
      </c>
      <c r="I198" s="2"/>
      <c r="J198" s="6">
        <f t="shared" si="81"/>
        <v>6.4694309927360773E-3</v>
      </c>
      <c r="K198" s="2"/>
      <c r="L198" s="7">
        <f t="shared" si="82"/>
        <v>-401.26000000000022</v>
      </c>
      <c r="M198" s="2"/>
      <c r="N198" s="6">
        <f t="shared" si="83"/>
        <v>-9.0251911830859247E-2</v>
      </c>
      <c r="O198" s="11"/>
      <c r="P198" s="7">
        <v>44492.14</v>
      </c>
      <c r="Q198" s="2"/>
      <c r="R198" s="6">
        <f t="shared" si="84"/>
        <v>5.7173391034465891E-3</v>
      </c>
      <c r="S198" s="2"/>
      <c r="T198" s="7">
        <v>48906</v>
      </c>
      <c r="U198" s="2"/>
      <c r="V198" s="6">
        <f t="shared" si="85"/>
        <v>4.4517540945196252E-3</v>
      </c>
      <c r="W198" s="2"/>
      <c r="X198" s="7">
        <f t="shared" si="86"/>
        <v>-4413.8600000000006</v>
      </c>
      <c r="Y198" s="2"/>
      <c r="Z198" s="6">
        <f t="shared" si="87"/>
        <v>-9.0251911830859205E-2</v>
      </c>
    </row>
    <row r="199" spans="1:26" s="27" customFormat="1" outlineLevel="1" collapsed="1" x14ac:dyDescent="0.25">
      <c r="A199" s="26"/>
      <c r="B199" s="13" t="str">
        <f>CONCATENATE("     ","Inventory Adjustment                              ")</f>
        <v xml:space="preserve">     Inventory Adjustment                              </v>
      </c>
      <c r="C199" s="13"/>
      <c r="D199" s="1">
        <f>SUM(OSRRefD22_13x_0)</f>
        <v>3350</v>
      </c>
      <c r="E199" s="1"/>
      <c r="F199" s="5">
        <f t="shared" si="80"/>
        <v>5.1024842335521898E-3</v>
      </c>
      <c r="G199" s="1"/>
      <c r="H199" s="1">
        <f>SUM(OSRRefH22_13x_0)</f>
        <v>4350</v>
      </c>
      <c r="I199" s="1"/>
      <c r="J199" s="5">
        <f t="shared" si="81"/>
        <v>6.3297401750791581E-3</v>
      </c>
      <c r="K199" s="1"/>
      <c r="L199" s="1">
        <f t="shared" si="82"/>
        <v>-1000</v>
      </c>
      <c r="M199" s="1"/>
      <c r="N199" s="5">
        <f t="shared" si="83"/>
        <v>-0.22988505747126436</v>
      </c>
      <c r="O199" s="13"/>
      <c r="P199" s="1">
        <f>SUM(OSRRefP22_13x_0)</f>
        <v>41850</v>
      </c>
      <c r="Q199" s="1"/>
      <c r="R199" s="5">
        <f t="shared" si="84"/>
        <v>5.3778182276518899E-3</v>
      </c>
      <c r="S199" s="1"/>
      <c r="T199" s="1">
        <f>SUM(OSRRefT22_13x_0)</f>
        <v>52850</v>
      </c>
      <c r="U199" s="1"/>
      <c r="V199" s="5">
        <f t="shared" si="85"/>
        <v>4.8107635851503336E-3</v>
      </c>
      <c r="W199" s="1"/>
      <c r="X199" s="1">
        <f t="shared" si="86"/>
        <v>-11000</v>
      </c>
      <c r="Y199" s="1"/>
      <c r="Z199" s="5">
        <f t="shared" si="87"/>
        <v>-0.20813623462630085</v>
      </c>
    </row>
    <row r="200" spans="1:26" s="24" customFormat="1" hidden="1" outlineLevel="2" x14ac:dyDescent="0.25">
      <c r="A200" s="25"/>
      <c r="B200" s="11" t="str">
        <f>CONCATENATE("          ", "6408", " - ", "INVENTORY ADJUSTMENT")</f>
        <v xml:space="preserve">          6408 - INVENTORY ADJUSTMENT</v>
      </c>
      <c r="C200" s="11"/>
      <c r="D200" s="7">
        <v>3350</v>
      </c>
      <c r="E200" s="2"/>
      <c r="F200" s="6">
        <f t="shared" si="80"/>
        <v>5.1024842335521898E-3</v>
      </c>
      <c r="G200" s="2"/>
      <c r="H200" s="7">
        <v>4350</v>
      </c>
      <c r="I200" s="2"/>
      <c r="J200" s="6">
        <f t="shared" si="81"/>
        <v>6.3297401750791581E-3</v>
      </c>
      <c r="K200" s="2"/>
      <c r="L200" s="7">
        <f t="shared" si="82"/>
        <v>-1000</v>
      </c>
      <c r="M200" s="2"/>
      <c r="N200" s="6">
        <f t="shared" si="83"/>
        <v>-0.22988505747126436</v>
      </c>
      <c r="O200" s="11"/>
      <c r="P200" s="7">
        <v>41850</v>
      </c>
      <c r="Q200" s="2"/>
      <c r="R200" s="6">
        <f t="shared" si="84"/>
        <v>5.3778182276518899E-3</v>
      </c>
      <c r="S200" s="2"/>
      <c r="T200" s="7">
        <v>52850</v>
      </c>
      <c r="U200" s="2"/>
      <c r="V200" s="6">
        <f t="shared" si="85"/>
        <v>4.8107635851503336E-3</v>
      </c>
      <c r="W200" s="2"/>
      <c r="X200" s="7">
        <f t="shared" si="86"/>
        <v>-11000</v>
      </c>
      <c r="Y200" s="2"/>
      <c r="Z200" s="6">
        <f t="shared" si="87"/>
        <v>-0.20813623462630085</v>
      </c>
    </row>
    <row r="201" spans="1:26" s="24" customFormat="1" hidden="1" outlineLevel="2" x14ac:dyDescent="0.25">
      <c r="A201" s="25"/>
      <c r="B201" s="11" t="str">
        <f>CONCATENATE("          ", "7741", " - ", "INV. SHRINKAGE-LOGO GIFTS")</f>
        <v xml:space="preserve">          7741 - INV. SHRINKAGE-LOGO GIFTS</v>
      </c>
      <c r="C201" s="11"/>
      <c r="D201" s="7"/>
      <c r="E201" s="2"/>
      <c r="F201" s="6">
        <f t="shared" si="80"/>
        <v>0</v>
      </c>
      <c r="G201" s="2"/>
      <c r="H201" s="7"/>
      <c r="I201" s="2"/>
      <c r="J201" s="6">
        <f t="shared" si="81"/>
        <v>0</v>
      </c>
      <c r="K201" s="2"/>
      <c r="L201" s="7">
        <f t="shared" si="82"/>
        <v>0</v>
      </c>
      <c r="M201" s="2"/>
      <c r="N201" s="6">
        <f t="shared" si="83"/>
        <v>0</v>
      </c>
      <c r="O201" s="11"/>
      <c r="P201" s="7">
        <v>0</v>
      </c>
      <c r="Q201" s="2"/>
      <c r="R201" s="6">
        <f t="shared" si="84"/>
        <v>0</v>
      </c>
      <c r="S201" s="2"/>
      <c r="T201" s="7"/>
      <c r="U201" s="2"/>
      <c r="V201" s="6">
        <f t="shared" si="85"/>
        <v>0</v>
      </c>
      <c r="W201" s="2"/>
      <c r="X201" s="7">
        <f t="shared" si="86"/>
        <v>0</v>
      </c>
      <c r="Y201" s="2"/>
      <c r="Z201" s="6">
        <f t="shared" si="87"/>
        <v>0</v>
      </c>
    </row>
    <row r="202" spans="1:26" s="27" customFormat="1" outlineLevel="1" collapsed="1" x14ac:dyDescent="0.25">
      <c r="A202" s="26"/>
      <c r="B202" s="13" t="str">
        <f>CONCATENATE("     ","Professional Services                             ")</f>
        <v xml:space="preserve">     Professional Services                             </v>
      </c>
      <c r="C202" s="13"/>
      <c r="D202" s="1">
        <f>SUM(OSRRefD22_14x_0)</f>
        <v>0</v>
      </c>
      <c r="E202" s="1"/>
      <c r="F202" s="5">
        <f t="shared" ref="F202:F210" si="88">IF(D$12=0,0,D202/D$12)</f>
        <v>0</v>
      </c>
      <c r="G202" s="1"/>
      <c r="H202" s="1">
        <f>SUM(OSRRefH22_14x_0)</f>
        <v>0</v>
      </c>
      <c r="I202" s="1"/>
      <c r="J202" s="5">
        <f t="shared" ref="J202:J210" si="89">IF(H$12=0,0,H202/H$12)</f>
        <v>0</v>
      </c>
      <c r="K202" s="1"/>
      <c r="L202" s="1">
        <f t="shared" ref="L202:L210" si="90">+D202-H202</f>
        <v>0</v>
      </c>
      <c r="M202" s="1"/>
      <c r="N202" s="5">
        <f t="shared" ref="N202:N210" si="91">IF(H202=0,0,L202/H202)</f>
        <v>0</v>
      </c>
      <c r="O202" s="13"/>
      <c r="P202" s="1">
        <f>SUM(OSRRefP22_14x_0)</f>
        <v>0</v>
      </c>
      <c r="Q202" s="1"/>
      <c r="R202" s="5">
        <f t="shared" ref="R202:R210" si="92">IF(P$12=0,0,P202/P$12)</f>
        <v>0</v>
      </c>
      <c r="S202" s="1"/>
      <c r="T202" s="1">
        <f>SUM(OSRRefT22_14x_0)</f>
        <v>7300</v>
      </c>
      <c r="U202" s="1"/>
      <c r="V202" s="5">
        <f t="shared" ref="V202:V210" si="93">IF(T$12=0,0,T202/T$12)</f>
        <v>6.6449525395643203E-4</v>
      </c>
      <c r="W202" s="1"/>
      <c r="X202" s="1">
        <f t="shared" ref="X202:X210" si="94">+P202-T202</f>
        <v>-7300</v>
      </c>
      <c r="Y202" s="1"/>
      <c r="Z202" s="5">
        <f t="shared" ref="Z202:Z210" si="95">IF(T202=0,0,X202/T202)</f>
        <v>-1</v>
      </c>
    </row>
    <row r="203" spans="1:26" s="24" customFormat="1" hidden="1" outlineLevel="2" x14ac:dyDescent="0.25">
      <c r="A203" s="25"/>
      <c r="B203" s="11" t="str">
        <f>CONCATENATE("          ", "6336", " - ", "PROFESSIONAL SERVICES")</f>
        <v xml:space="preserve">          6336 - PROFESSIONAL SERVICES</v>
      </c>
      <c r="C203" s="11"/>
      <c r="D203" s="7"/>
      <c r="E203" s="2"/>
      <c r="F203" s="6">
        <f t="shared" si="88"/>
        <v>0</v>
      </c>
      <c r="G203" s="2"/>
      <c r="H203" s="7">
        <v>0</v>
      </c>
      <c r="I203" s="2"/>
      <c r="J203" s="6">
        <f t="shared" si="89"/>
        <v>0</v>
      </c>
      <c r="K203" s="2"/>
      <c r="L203" s="7">
        <f t="shared" si="90"/>
        <v>0</v>
      </c>
      <c r="M203" s="2"/>
      <c r="N203" s="6">
        <f t="shared" si="91"/>
        <v>0</v>
      </c>
      <c r="O203" s="11"/>
      <c r="P203" s="7"/>
      <c r="Q203" s="2"/>
      <c r="R203" s="6">
        <f t="shared" si="92"/>
        <v>0</v>
      </c>
      <c r="S203" s="2"/>
      <c r="T203" s="7">
        <v>7300</v>
      </c>
      <c r="U203" s="2"/>
      <c r="V203" s="6">
        <f t="shared" si="93"/>
        <v>6.6449525395643203E-4</v>
      </c>
      <c r="W203" s="2"/>
      <c r="X203" s="7">
        <f t="shared" si="94"/>
        <v>-7300</v>
      </c>
      <c r="Y203" s="2"/>
      <c r="Z203" s="6">
        <f t="shared" si="95"/>
        <v>-1</v>
      </c>
    </row>
    <row r="204" spans="1:26" s="27" customFormat="1" outlineLevel="1" collapsed="1" x14ac:dyDescent="0.25">
      <c r="A204" s="26"/>
      <c r="B204" s="13" t="str">
        <f>CONCATENATE("     ","Rent                                              ")</f>
        <v xml:space="preserve">     Rent                                              </v>
      </c>
      <c r="C204" s="13"/>
      <c r="D204" s="1">
        <f>SUM(OSRRefD22_15x_0)</f>
        <v>6100</v>
      </c>
      <c r="E204" s="1"/>
      <c r="F204" s="5">
        <f t="shared" si="88"/>
        <v>9.2910906939308539E-3</v>
      </c>
      <c r="G204" s="1"/>
      <c r="H204" s="1">
        <f>SUM(OSRRefH22_15x_0)</f>
        <v>6100</v>
      </c>
      <c r="I204" s="1"/>
      <c r="J204" s="5">
        <f t="shared" si="89"/>
        <v>8.8761873719500842E-3</v>
      </c>
      <c r="K204" s="1"/>
      <c r="L204" s="1">
        <f t="shared" si="90"/>
        <v>0</v>
      </c>
      <c r="M204" s="1"/>
      <c r="N204" s="5">
        <f t="shared" si="91"/>
        <v>0</v>
      </c>
      <c r="O204" s="13"/>
      <c r="P204" s="1">
        <f>SUM(OSRRefP22_15x_0)</f>
        <v>67100</v>
      </c>
      <c r="Q204" s="1"/>
      <c r="R204" s="5">
        <f t="shared" si="92"/>
        <v>8.6224994761156942E-3</v>
      </c>
      <c r="S204" s="1"/>
      <c r="T204" s="1">
        <f>SUM(OSRRefT22_15x_0)</f>
        <v>67101</v>
      </c>
      <c r="U204" s="1"/>
      <c r="V204" s="5">
        <f t="shared" si="93"/>
        <v>6.1079857583192527E-3</v>
      </c>
      <c r="W204" s="1"/>
      <c r="X204" s="1">
        <f t="shared" si="94"/>
        <v>-1</v>
      </c>
      <c r="Y204" s="1"/>
      <c r="Z204" s="5">
        <f t="shared" si="95"/>
        <v>-1.4902907557264423E-5</v>
      </c>
    </row>
    <row r="205" spans="1:26" s="24" customFormat="1" hidden="1" outlineLevel="2" x14ac:dyDescent="0.25">
      <c r="A205" s="25"/>
      <c r="B205" s="11" t="str">
        <f>CONCATENATE("          ", "6273", " - ", "RENT")</f>
        <v xml:space="preserve">          6273 - RENT</v>
      </c>
      <c r="C205" s="11"/>
      <c r="D205" s="7">
        <v>6100</v>
      </c>
      <c r="E205" s="2"/>
      <c r="F205" s="6">
        <f t="shared" si="88"/>
        <v>9.2910906939308539E-3</v>
      </c>
      <c r="G205" s="2"/>
      <c r="H205" s="7">
        <v>6100</v>
      </c>
      <c r="I205" s="2"/>
      <c r="J205" s="6">
        <f t="shared" si="89"/>
        <v>8.8761873719500842E-3</v>
      </c>
      <c r="K205" s="2"/>
      <c r="L205" s="7">
        <f t="shared" si="90"/>
        <v>0</v>
      </c>
      <c r="M205" s="2"/>
      <c r="N205" s="6">
        <f t="shared" si="91"/>
        <v>0</v>
      </c>
      <c r="O205" s="11"/>
      <c r="P205" s="7">
        <v>67100</v>
      </c>
      <c r="Q205" s="2"/>
      <c r="R205" s="6">
        <f t="shared" si="92"/>
        <v>8.6224994761156942E-3</v>
      </c>
      <c r="S205" s="2"/>
      <c r="T205" s="7">
        <v>67101</v>
      </c>
      <c r="U205" s="2"/>
      <c r="V205" s="6">
        <f t="shared" si="93"/>
        <v>6.1079857583192527E-3</v>
      </c>
      <c r="W205" s="2"/>
      <c r="X205" s="7">
        <f t="shared" si="94"/>
        <v>-1</v>
      </c>
      <c r="Y205" s="2"/>
      <c r="Z205" s="6">
        <f t="shared" si="95"/>
        <v>-1.4902907557264423E-5</v>
      </c>
    </row>
    <row r="206" spans="1:26" s="27" customFormat="1" outlineLevel="1" collapsed="1" x14ac:dyDescent="0.25">
      <c r="A206" s="26"/>
      <c r="B206" s="13" t="str">
        <f>CONCATENATE("     ","Repair and Maintenance                            ")</f>
        <v xml:space="preserve">     Repair and Maintenance                            </v>
      </c>
      <c r="C206" s="13"/>
      <c r="D206" s="1">
        <f>SUM(OSRRefD22_16x_0)</f>
        <v>9239.2199999999993</v>
      </c>
      <c r="E206" s="1"/>
      <c r="F206" s="5">
        <f t="shared" si="88"/>
        <v>1.4072529665767183E-2</v>
      </c>
      <c r="G206" s="1"/>
      <c r="H206" s="1">
        <f>SUM(OSRRefH22_16x_0)</f>
        <v>28810</v>
      </c>
      <c r="I206" s="1"/>
      <c r="J206" s="5">
        <f t="shared" si="89"/>
        <v>4.1921796423915067E-2</v>
      </c>
      <c r="K206" s="1"/>
      <c r="L206" s="1">
        <f t="shared" si="90"/>
        <v>-19570.78</v>
      </c>
      <c r="M206" s="1"/>
      <c r="N206" s="5">
        <f t="shared" si="91"/>
        <v>-0.67930510239500175</v>
      </c>
      <c r="O206" s="13"/>
      <c r="P206" s="1">
        <f>SUM(OSRRefP22_16x_0)</f>
        <v>143704.91</v>
      </c>
      <c r="Q206" s="1"/>
      <c r="R206" s="5">
        <f t="shared" si="92"/>
        <v>1.8466401060957573E-2</v>
      </c>
      <c r="S206" s="1"/>
      <c r="T206" s="1">
        <f>SUM(OSRRefT22_16x_0)</f>
        <v>223865</v>
      </c>
      <c r="U206" s="1"/>
      <c r="V206" s="5">
        <f t="shared" si="93"/>
        <v>2.037770274341872E-2</v>
      </c>
      <c r="W206" s="1"/>
      <c r="X206" s="1">
        <f t="shared" si="94"/>
        <v>-80160.09</v>
      </c>
      <c r="Y206" s="1"/>
      <c r="Z206" s="5">
        <f t="shared" si="95"/>
        <v>-0.35807334777656175</v>
      </c>
    </row>
    <row r="207" spans="1:26" s="24" customFormat="1" hidden="1" outlineLevel="2" x14ac:dyDescent="0.25">
      <c r="A207" s="25"/>
      <c r="B207" s="11" t="str">
        <f>CONCATENATE("          ", "6371", " - ", "COMPUTER SOFTWARE MAINTENANCE")</f>
        <v xml:space="preserve">          6371 - COMPUTER SOFTWARE MAINTENANCE</v>
      </c>
      <c r="C207" s="11"/>
      <c r="D207" s="7"/>
      <c r="E207" s="2"/>
      <c r="F207" s="6">
        <f t="shared" si="88"/>
        <v>0</v>
      </c>
      <c r="G207" s="2"/>
      <c r="H207" s="7">
        <v>12000</v>
      </c>
      <c r="I207" s="2"/>
      <c r="J207" s="6">
        <f t="shared" si="89"/>
        <v>1.7461352207114918E-2</v>
      </c>
      <c r="K207" s="2"/>
      <c r="L207" s="7">
        <f t="shared" si="90"/>
        <v>-12000</v>
      </c>
      <c r="M207" s="2"/>
      <c r="N207" s="6">
        <f t="shared" si="91"/>
        <v>-1</v>
      </c>
      <c r="O207" s="11"/>
      <c r="P207" s="7">
        <v>61317.72</v>
      </c>
      <c r="Q207" s="2"/>
      <c r="R207" s="6">
        <f t="shared" si="92"/>
        <v>7.8794636151506541E-3</v>
      </c>
      <c r="S207" s="2"/>
      <c r="T207" s="7">
        <v>57000</v>
      </c>
      <c r="U207" s="2"/>
      <c r="V207" s="6">
        <f t="shared" si="93"/>
        <v>5.1885245856872096E-3</v>
      </c>
      <c r="W207" s="2"/>
      <c r="X207" s="7">
        <f t="shared" si="94"/>
        <v>4317.7200000000012</v>
      </c>
      <c r="Y207" s="2"/>
      <c r="Z207" s="6">
        <f t="shared" si="95"/>
        <v>7.5749473684210547E-2</v>
      </c>
    </row>
    <row r="208" spans="1:26" s="24" customFormat="1" hidden="1" outlineLevel="2" x14ac:dyDescent="0.25">
      <c r="A208" s="25"/>
      <c r="B208" s="11" t="str">
        <f>CONCATENATE("          ", "6372", " - ", "COMPUTER HARDWARE MAINTENANCE")</f>
        <v xml:space="preserve">          6372 - COMPUTER HARDWARE MAINTENANCE</v>
      </c>
      <c r="C208" s="11"/>
      <c r="D208" s="7"/>
      <c r="E208" s="2"/>
      <c r="F208" s="6">
        <f t="shared" si="88"/>
        <v>0</v>
      </c>
      <c r="G208" s="2"/>
      <c r="H208" s="7"/>
      <c r="I208" s="2"/>
      <c r="J208" s="6">
        <f t="shared" si="89"/>
        <v>0</v>
      </c>
      <c r="K208" s="2"/>
      <c r="L208" s="7">
        <f t="shared" si="90"/>
        <v>0</v>
      </c>
      <c r="M208" s="2"/>
      <c r="N208" s="6">
        <f t="shared" si="91"/>
        <v>0</v>
      </c>
      <c r="O208" s="11"/>
      <c r="P208" s="7">
        <v>-1.1499999999999999</v>
      </c>
      <c r="Q208" s="2"/>
      <c r="R208" s="6">
        <f t="shared" si="92"/>
        <v>-1.4777756181122276E-7</v>
      </c>
      <c r="S208" s="2"/>
      <c r="T208" s="7"/>
      <c r="U208" s="2"/>
      <c r="V208" s="6">
        <f t="shared" si="93"/>
        <v>0</v>
      </c>
      <c r="W208" s="2"/>
      <c r="X208" s="7">
        <f t="shared" si="94"/>
        <v>-1.1499999999999999</v>
      </c>
      <c r="Y208" s="2"/>
      <c r="Z208" s="6">
        <f t="shared" si="95"/>
        <v>0</v>
      </c>
    </row>
    <row r="209" spans="1:26" s="24" customFormat="1" hidden="1" outlineLevel="2" x14ac:dyDescent="0.25">
      <c r="A209" s="25"/>
      <c r="B209" s="11" t="str">
        <f>CONCATENATE("          ", "6373", " - ", "MAINTENANCE CONTRACTS")</f>
        <v xml:space="preserve">          6373 - MAINTENANCE CONTRACTS</v>
      </c>
      <c r="C209" s="11"/>
      <c r="D209" s="7">
        <v>3187.44</v>
      </c>
      <c r="E209" s="2"/>
      <c r="F209" s="6">
        <f t="shared" si="88"/>
        <v>4.8548842822070427E-3</v>
      </c>
      <c r="G209" s="2"/>
      <c r="H209" s="7">
        <v>8440</v>
      </c>
      <c r="I209" s="2"/>
      <c r="J209" s="6">
        <f t="shared" si="89"/>
        <v>1.2281151052337493E-2</v>
      </c>
      <c r="K209" s="2"/>
      <c r="L209" s="7">
        <f t="shared" si="90"/>
        <v>-5252.5599999999995</v>
      </c>
      <c r="M209" s="2"/>
      <c r="N209" s="6">
        <f t="shared" si="91"/>
        <v>-0.62234123222748805</v>
      </c>
      <c r="O209" s="11"/>
      <c r="P209" s="7">
        <v>49306.02</v>
      </c>
      <c r="Q209" s="2"/>
      <c r="R209" s="6">
        <f t="shared" si="92"/>
        <v>6.3359334071438136E-3</v>
      </c>
      <c r="S209" s="2"/>
      <c r="T209" s="7">
        <v>73940</v>
      </c>
      <c r="U209" s="2"/>
      <c r="V209" s="6">
        <f t="shared" si="93"/>
        <v>6.7305176818546007E-3</v>
      </c>
      <c r="W209" s="2"/>
      <c r="X209" s="7">
        <f t="shared" si="94"/>
        <v>-24633.980000000003</v>
      </c>
      <c r="Y209" s="2"/>
      <c r="Z209" s="6">
        <f t="shared" si="95"/>
        <v>-0.3331617527725183</v>
      </c>
    </row>
    <row r="210" spans="1:26" s="24" customFormat="1" hidden="1" outlineLevel="2" x14ac:dyDescent="0.25">
      <c r="A210" s="25"/>
      <c r="B210" s="11" t="str">
        <f>CONCATENATE("          ", "6375", " - ", "OUTSIDE REPAIRS &amp; MAINTENANCE")</f>
        <v xml:space="preserve">          6375 - OUTSIDE REPAIRS &amp; MAINTENANCE</v>
      </c>
      <c r="C210" s="11"/>
      <c r="D210" s="7">
        <v>6051.78</v>
      </c>
      <c r="E210" s="2"/>
      <c r="F210" s="6">
        <f t="shared" si="88"/>
        <v>9.2176453835601403E-3</v>
      </c>
      <c r="G210" s="2"/>
      <c r="H210" s="7">
        <v>8370</v>
      </c>
      <c r="I210" s="2"/>
      <c r="J210" s="6">
        <f t="shared" si="89"/>
        <v>1.2179293164462656E-2</v>
      </c>
      <c r="K210" s="2"/>
      <c r="L210" s="7">
        <f t="shared" si="90"/>
        <v>-2318.2200000000003</v>
      </c>
      <c r="M210" s="2"/>
      <c r="N210" s="6">
        <f t="shared" si="91"/>
        <v>-0.2769677419354839</v>
      </c>
      <c r="O210" s="11"/>
      <c r="P210" s="7">
        <v>33082.32</v>
      </c>
      <c r="Q210" s="2"/>
      <c r="R210" s="6">
        <f t="shared" si="92"/>
        <v>4.2511518162249148E-3</v>
      </c>
      <c r="S210" s="2"/>
      <c r="T210" s="7">
        <v>92925</v>
      </c>
      <c r="U210" s="2"/>
      <c r="V210" s="6">
        <f t="shared" si="93"/>
        <v>8.4586604758769106E-3</v>
      </c>
      <c r="W210" s="2"/>
      <c r="X210" s="7">
        <f t="shared" si="94"/>
        <v>-59842.68</v>
      </c>
      <c r="Y210" s="2"/>
      <c r="Z210" s="6">
        <f t="shared" si="95"/>
        <v>-0.64398902340597253</v>
      </c>
    </row>
    <row r="211" spans="1:26" s="27" customFormat="1" outlineLevel="1" collapsed="1" x14ac:dyDescent="0.25">
      <c r="A211" s="26"/>
      <c r="B211" s="13" t="str">
        <f>CONCATENATE("     ","Royalty &amp; Commissions                             ")</f>
        <v xml:space="preserve">     Royalty &amp; Commissions                             </v>
      </c>
      <c r="C211" s="13"/>
      <c r="D211" s="1">
        <f>SUM(OSRRefD22_17x_0)</f>
        <v>393.98</v>
      </c>
      <c r="E211" s="1"/>
      <c r="F211" s="5">
        <f t="shared" ref="F211:F215" si="96">IF(D$12=0,0,D211/D$12)</f>
        <v>6.0008260845817668E-4</v>
      </c>
      <c r="G211" s="1"/>
      <c r="H211" s="1">
        <f>SUM(OSRRefH22_17x_0)</f>
        <v>9271</v>
      </c>
      <c r="I211" s="1"/>
      <c r="J211" s="5">
        <f t="shared" ref="J211:J215" si="97">IF(H$12=0,0,H211/H$12)</f>
        <v>1.3490349692680202E-2</v>
      </c>
      <c r="K211" s="1"/>
      <c r="L211" s="1">
        <f t="shared" ref="L211:L215" si="98">+D211-H211</f>
        <v>-8877.02</v>
      </c>
      <c r="M211" s="1"/>
      <c r="N211" s="5">
        <f t="shared" ref="N211:N215" si="99">IF(H211=0,0,L211/H211)</f>
        <v>-0.95750404487110352</v>
      </c>
      <c r="O211" s="13"/>
      <c r="P211" s="1">
        <f>SUM(OSRRefP22_17x_0)</f>
        <v>48786.93</v>
      </c>
      <c r="Q211" s="1"/>
      <c r="R211" s="5">
        <f t="shared" ref="R211:R215" si="100">IF(P$12=0,0,P211/P$12)</f>
        <v>6.2692291857867821E-3</v>
      </c>
      <c r="S211" s="1"/>
      <c r="T211" s="1">
        <f>SUM(OSRRefT22_17x_0)</f>
        <v>104231</v>
      </c>
      <c r="U211" s="1"/>
      <c r="V211" s="5">
        <f t="shared" ref="V211:V215" si="101">IF(T$12=0,0,T211/T$12)</f>
        <v>9.4878088787853244E-3</v>
      </c>
      <c r="W211" s="1"/>
      <c r="X211" s="1">
        <f t="shared" ref="X211:X215" si="102">+P211-T211</f>
        <v>-55444.07</v>
      </c>
      <c r="Y211" s="1"/>
      <c r="Z211" s="5">
        <f t="shared" ref="Z211:Z215" si="103">IF(T211=0,0,X211/T211)</f>
        <v>-0.53193454922240024</v>
      </c>
    </row>
    <row r="212" spans="1:26" s="24" customFormat="1" hidden="1" outlineLevel="2" x14ac:dyDescent="0.25">
      <c r="A212" s="25"/>
      <c r="B212" s="11" t="str">
        <f>CONCATENATE("          ", "6252", " - ", "ROYALTY DUE CSTV")</f>
        <v xml:space="preserve">          6252 - ROYALTY DUE CSTV</v>
      </c>
      <c r="C212" s="11"/>
      <c r="D212" s="7"/>
      <c r="E212" s="2"/>
      <c r="F212" s="6">
        <f t="shared" si="96"/>
        <v>0</v>
      </c>
      <c r="G212" s="2"/>
      <c r="H212" s="7">
        <v>1085</v>
      </c>
      <c r="I212" s="2"/>
      <c r="J212" s="6">
        <f t="shared" si="97"/>
        <v>1.5787972620599738E-3</v>
      </c>
      <c r="K212" s="2"/>
      <c r="L212" s="7">
        <f t="shared" si="98"/>
        <v>-1085</v>
      </c>
      <c r="M212" s="2"/>
      <c r="N212" s="6">
        <f t="shared" si="99"/>
        <v>-1</v>
      </c>
      <c r="O212" s="11"/>
      <c r="P212" s="7"/>
      <c r="Q212" s="2"/>
      <c r="R212" s="6">
        <f t="shared" si="100"/>
        <v>0</v>
      </c>
      <c r="S212" s="2"/>
      <c r="T212" s="7">
        <v>11935</v>
      </c>
      <c r="U212" s="2"/>
      <c r="V212" s="6">
        <f t="shared" si="101"/>
        <v>1.0864042268452078E-3</v>
      </c>
      <c r="W212" s="2"/>
      <c r="X212" s="7">
        <f t="shared" si="102"/>
        <v>-11935</v>
      </c>
      <c r="Y212" s="2"/>
      <c r="Z212" s="6">
        <f t="shared" si="103"/>
        <v>-1</v>
      </c>
    </row>
    <row r="213" spans="1:26" s="24" customFormat="1" hidden="1" outlineLevel="2" x14ac:dyDescent="0.25">
      <c r="A213" s="25"/>
      <c r="B213" s="11" t="str">
        <f>CONCATENATE("          ", "6253", " - ", "ROYALTY DUE ATHLETICS-LRG")</f>
        <v xml:space="preserve">          6253 - ROYALTY DUE ATHLETICS-LRG</v>
      </c>
      <c r="C213" s="11"/>
      <c r="D213" s="7"/>
      <c r="E213" s="2"/>
      <c r="F213" s="6">
        <f t="shared" si="96"/>
        <v>0</v>
      </c>
      <c r="G213" s="2"/>
      <c r="H213" s="7">
        <v>4037</v>
      </c>
      <c r="I213" s="2"/>
      <c r="J213" s="6">
        <f t="shared" si="97"/>
        <v>5.8742899050102442E-3</v>
      </c>
      <c r="K213" s="2"/>
      <c r="L213" s="7">
        <f t="shared" si="98"/>
        <v>-4037</v>
      </c>
      <c r="M213" s="2"/>
      <c r="N213" s="6">
        <f t="shared" si="99"/>
        <v>-1</v>
      </c>
      <c r="O213" s="11"/>
      <c r="P213" s="7">
        <v>35159.06</v>
      </c>
      <c r="Q213" s="2"/>
      <c r="R213" s="6">
        <f t="shared" si="100"/>
        <v>4.5180175324995566E-3</v>
      </c>
      <c r="S213" s="2"/>
      <c r="T213" s="7">
        <v>44407</v>
      </c>
      <c r="U213" s="2"/>
      <c r="V213" s="6">
        <f t="shared" si="101"/>
        <v>4.0422247592388051E-3</v>
      </c>
      <c r="W213" s="2"/>
      <c r="X213" s="7">
        <f t="shared" si="102"/>
        <v>-9247.9400000000023</v>
      </c>
      <c r="Y213" s="2"/>
      <c r="Z213" s="6">
        <f t="shared" si="103"/>
        <v>-0.20825410408268971</v>
      </c>
    </row>
    <row r="214" spans="1:26" s="24" customFormat="1" hidden="1" outlineLevel="2" x14ac:dyDescent="0.25">
      <c r="A214" s="25"/>
      <c r="B214" s="11" t="str">
        <f>CONCATENATE("          ", "6254", " - ", "ROYALTY &amp; COMMISSIONS")</f>
        <v xml:space="preserve">          6254 - ROYALTY &amp; COMMISSIONS</v>
      </c>
      <c r="C214" s="11"/>
      <c r="D214" s="7"/>
      <c r="E214" s="2"/>
      <c r="F214" s="6">
        <f t="shared" si="96"/>
        <v>0</v>
      </c>
      <c r="G214" s="2"/>
      <c r="H214" s="7">
        <v>1149</v>
      </c>
      <c r="I214" s="2"/>
      <c r="J214" s="6">
        <f t="shared" si="97"/>
        <v>1.6719244738312535E-3</v>
      </c>
      <c r="K214" s="2"/>
      <c r="L214" s="7">
        <f t="shared" si="98"/>
        <v>-1149</v>
      </c>
      <c r="M214" s="2"/>
      <c r="N214" s="6">
        <f t="shared" si="99"/>
        <v>-1</v>
      </c>
      <c r="O214" s="11"/>
      <c r="P214" s="7"/>
      <c r="Q214" s="2"/>
      <c r="R214" s="6">
        <f t="shared" si="100"/>
        <v>0</v>
      </c>
      <c r="S214" s="2"/>
      <c r="T214" s="7">
        <v>12639</v>
      </c>
      <c r="U214" s="2"/>
      <c r="V214" s="6">
        <f t="shared" si="101"/>
        <v>1.1504870568158007E-3</v>
      </c>
      <c r="W214" s="2"/>
      <c r="X214" s="7">
        <f t="shared" si="102"/>
        <v>-12639</v>
      </c>
      <c r="Y214" s="2"/>
      <c r="Z214" s="6">
        <f t="shared" si="103"/>
        <v>-1</v>
      </c>
    </row>
    <row r="215" spans="1:26" s="24" customFormat="1" hidden="1" outlineLevel="2" x14ac:dyDescent="0.25">
      <c r="A215" s="25"/>
      <c r="B215" s="11" t="str">
        <f>CONCATENATE("          ", "6259", " - ", "ROYALTY &amp; COMMISSIONS")</f>
        <v xml:space="preserve">          6259 - ROYALTY &amp; COMMISSIONS</v>
      </c>
      <c r="C215" s="11"/>
      <c r="D215" s="7">
        <v>393.98</v>
      </c>
      <c r="E215" s="2"/>
      <c r="F215" s="6">
        <f t="shared" si="96"/>
        <v>6.0008260845817668E-4</v>
      </c>
      <c r="G215" s="2"/>
      <c r="H215" s="7">
        <v>3000</v>
      </c>
      <c r="I215" s="2"/>
      <c r="J215" s="6">
        <f t="shared" si="97"/>
        <v>4.3653380517787296E-3</v>
      </c>
      <c r="K215" s="2"/>
      <c r="L215" s="7">
        <f t="shared" si="98"/>
        <v>-2606.02</v>
      </c>
      <c r="M215" s="2"/>
      <c r="N215" s="6">
        <f t="shared" si="99"/>
        <v>-0.8686733333333333</v>
      </c>
      <c r="O215" s="11"/>
      <c r="P215" s="7">
        <v>13627.87</v>
      </c>
      <c r="Q215" s="2"/>
      <c r="R215" s="6">
        <f t="shared" si="100"/>
        <v>1.751211653287225E-3</v>
      </c>
      <c r="S215" s="2"/>
      <c r="T215" s="7">
        <v>35250</v>
      </c>
      <c r="U215" s="2"/>
      <c r="V215" s="6">
        <f t="shared" si="101"/>
        <v>3.2086928358855109E-3</v>
      </c>
      <c r="W215" s="2"/>
      <c r="X215" s="7">
        <f t="shared" si="102"/>
        <v>-21622.129999999997</v>
      </c>
      <c r="Y215" s="2"/>
      <c r="Z215" s="6">
        <f t="shared" si="103"/>
        <v>-0.61339375886524816</v>
      </c>
    </row>
    <row r="216" spans="1:26" s="27" customFormat="1" outlineLevel="1" collapsed="1" x14ac:dyDescent="0.25">
      <c r="A216" s="26"/>
      <c r="B216" s="13" t="str">
        <f>CONCATENATE("     ","Services                                          ")</f>
        <v xml:space="preserve">     Services                                          </v>
      </c>
      <c r="C216" s="13"/>
      <c r="D216" s="1">
        <f>SUM(OSRRefD22_18x_0)</f>
        <v>4297.32</v>
      </c>
      <c r="E216" s="1"/>
      <c r="F216" s="5">
        <f t="shared" ref="F216:F220" si="104">IF(D$12=0,0,D216/D$12)</f>
        <v>6.5453753870234315E-3</v>
      </c>
      <c r="G216" s="1"/>
      <c r="H216" s="1">
        <f>SUM(OSRRefH22_18x_0)</f>
        <v>4729</v>
      </c>
      <c r="I216" s="1"/>
      <c r="J216" s="5">
        <f t="shared" ref="J216:J220" si="105">IF(H$12=0,0,H216/H$12)</f>
        <v>6.8812278822872044E-3</v>
      </c>
      <c r="K216" s="1"/>
      <c r="L216" s="1">
        <f t="shared" ref="L216:L220" si="106">+D216-H216</f>
        <v>-431.68000000000029</v>
      </c>
      <c r="M216" s="1"/>
      <c r="N216" s="5">
        <f t="shared" ref="N216:N220" si="107">IF(H216=0,0,L216/H216)</f>
        <v>-9.1283569465003239E-2</v>
      </c>
      <c r="O216" s="13"/>
      <c r="P216" s="1">
        <f>SUM(OSRRefP22_18x_0)</f>
        <v>44441.3</v>
      </c>
      <c r="Q216" s="1"/>
      <c r="R216" s="5">
        <f t="shared" ref="R216:R220" si="108">IF(P$12=0,0,P216/P$12)</f>
        <v>5.7108060501922572E-3</v>
      </c>
      <c r="S216" s="1"/>
      <c r="T216" s="1">
        <f>SUM(OSRRefT22_18x_0)</f>
        <v>52335</v>
      </c>
      <c r="U216" s="1"/>
      <c r="V216" s="5">
        <f t="shared" ref="V216:V220" si="109">IF(T$12=0,0,T216/T$12)</f>
        <v>4.763884810384914E-3</v>
      </c>
      <c r="W216" s="1"/>
      <c r="X216" s="1">
        <f t="shared" ref="X216:X220" si="110">+P216-T216</f>
        <v>-7893.6999999999971</v>
      </c>
      <c r="Y216" s="1"/>
      <c r="Z216" s="5">
        <f t="shared" ref="Z216:Z220" si="111">IF(T216=0,0,X216/T216)</f>
        <v>-0.15083022833667711</v>
      </c>
    </row>
    <row r="217" spans="1:26" s="24" customFormat="1" hidden="1" outlineLevel="2" x14ac:dyDescent="0.25">
      <c r="A217" s="25"/>
      <c r="B217" s="11" t="str">
        <f>CONCATENATE("          ", "6282", " - ", "JANITORIAL/EXTERMINATOR EXPENS")</f>
        <v xml:space="preserve">          6282 - JANITORIAL/EXTERMINATOR EXPENS</v>
      </c>
      <c r="C217" s="11"/>
      <c r="D217" s="7">
        <v>291</v>
      </c>
      <c r="E217" s="2"/>
      <c r="F217" s="6">
        <f t="shared" si="104"/>
        <v>4.4323071998916038E-4</v>
      </c>
      <c r="G217" s="2"/>
      <c r="H217" s="7">
        <v>4000</v>
      </c>
      <c r="I217" s="2"/>
      <c r="J217" s="6">
        <f t="shared" si="105"/>
        <v>5.8204507357049731E-3</v>
      </c>
      <c r="K217" s="2"/>
      <c r="L217" s="7">
        <f t="shared" si="106"/>
        <v>-3709</v>
      </c>
      <c r="M217" s="2"/>
      <c r="N217" s="6">
        <f t="shared" si="107"/>
        <v>-0.92725000000000002</v>
      </c>
      <c r="O217" s="11"/>
      <c r="P217" s="7">
        <v>7697.12</v>
      </c>
      <c r="Q217" s="2"/>
      <c r="R217" s="6">
        <f t="shared" si="108"/>
        <v>9.8909706658121665E-4</v>
      </c>
      <c r="S217" s="2"/>
      <c r="T217" s="7">
        <v>44000</v>
      </c>
      <c r="U217" s="2"/>
      <c r="V217" s="6">
        <f t="shared" si="109"/>
        <v>4.0051768731620566E-3</v>
      </c>
      <c r="W217" s="2"/>
      <c r="X217" s="7">
        <f t="shared" si="110"/>
        <v>-36302.879999999997</v>
      </c>
      <c r="Y217" s="2"/>
      <c r="Z217" s="6">
        <f t="shared" si="111"/>
        <v>-0.82506545454545444</v>
      </c>
    </row>
    <row r="218" spans="1:26" s="24" customFormat="1" hidden="1" outlineLevel="2" x14ac:dyDescent="0.25">
      <c r="A218" s="25"/>
      <c r="B218" s="11" t="str">
        <f>CONCATENATE("          ", "6283", " - ", "PLANT SERVICE")</f>
        <v xml:space="preserve">          6283 - PLANT SERVICE</v>
      </c>
      <c r="C218" s="11"/>
      <c r="D218" s="7"/>
      <c r="E218" s="2"/>
      <c r="F218" s="6">
        <f t="shared" si="104"/>
        <v>0</v>
      </c>
      <c r="G218" s="2"/>
      <c r="H218" s="7">
        <v>0</v>
      </c>
      <c r="I218" s="2"/>
      <c r="J218" s="6">
        <f t="shared" si="105"/>
        <v>0</v>
      </c>
      <c r="K218" s="2"/>
      <c r="L218" s="7">
        <f t="shared" si="106"/>
        <v>0</v>
      </c>
      <c r="M218" s="2"/>
      <c r="N218" s="6">
        <f t="shared" si="107"/>
        <v>0</v>
      </c>
      <c r="O218" s="11"/>
      <c r="P218" s="7">
        <v>171.31</v>
      </c>
      <c r="Q218" s="2"/>
      <c r="R218" s="6">
        <f t="shared" si="108"/>
        <v>2.2013716620765716E-5</v>
      </c>
      <c r="S218" s="2"/>
      <c r="T218" s="7">
        <v>0</v>
      </c>
      <c r="U218" s="2"/>
      <c r="V218" s="6">
        <f t="shared" si="109"/>
        <v>0</v>
      </c>
      <c r="W218" s="2"/>
      <c r="X218" s="7">
        <f t="shared" si="110"/>
        <v>171.31</v>
      </c>
      <c r="Y218" s="2"/>
      <c r="Z218" s="6">
        <f t="shared" si="111"/>
        <v>0</v>
      </c>
    </row>
    <row r="219" spans="1:26" s="24" customFormat="1" hidden="1" outlineLevel="2" x14ac:dyDescent="0.25">
      <c r="A219" s="25"/>
      <c r="B219" s="11" t="str">
        <f>CONCATENATE("          ", "6284", " - ", "TRASH REMOVAL EXPENSE")</f>
        <v xml:space="preserve">          6284 - TRASH REMOVAL EXPENSE</v>
      </c>
      <c r="C219" s="11"/>
      <c r="D219" s="7">
        <v>142.57</v>
      </c>
      <c r="E219" s="2"/>
      <c r="F219" s="6">
        <f t="shared" si="104"/>
        <v>2.1715259020224946E-4</v>
      </c>
      <c r="G219" s="2"/>
      <c r="H219" s="7">
        <v>55</v>
      </c>
      <c r="I219" s="2"/>
      <c r="J219" s="6">
        <f t="shared" si="105"/>
        <v>8.0031197615943378E-5</v>
      </c>
      <c r="K219" s="2"/>
      <c r="L219" s="7">
        <f t="shared" si="106"/>
        <v>87.57</v>
      </c>
      <c r="M219" s="2"/>
      <c r="N219" s="6">
        <f t="shared" si="107"/>
        <v>1.5921818181818181</v>
      </c>
      <c r="O219" s="11"/>
      <c r="P219" s="7">
        <v>1583.29</v>
      </c>
      <c r="Q219" s="2"/>
      <c r="R219" s="6">
        <f t="shared" si="108"/>
        <v>2.0345629203486165E-4</v>
      </c>
      <c r="S219" s="2"/>
      <c r="T219" s="7">
        <v>770</v>
      </c>
      <c r="U219" s="2"/>
      <c r="V219" s="6">
        <f t="shared" si="109"/>
        <v>7.0090595280335985E-5</v>
      </c>
      <c r="W219" s="2"/>
      <c r="X219" s="7">
        <f t="shared" si="110"/>
        <v>813.29</v>
      </c>
      <c r="Y219" s="2"/>
      <c r="Z219" s="6">
        <f t="shared" si="111"/>
        <v>1.0562207792207792</v>
      </c>
    </row>
    <row r="220" spans="1:26" s="24" customFormat="1" hidden="1" outlineLevel="2" x14ac:dyDescent="0.25">
      <c r="A220" s="25"/>
      <c r="B220" s="11" t="str">
        <f>CONCATENATE("          ", "6285", " - ", "JANITORIAL SERVICES")</f>
        <v xml:space="preserve">          6285 - JANITORIAL SERVICES</v>
      </c>
      <c r="C220" s="11"/>
      <c r="D220" s="7">
        <v>3863.75</v>
      </c>
      <c r="E220" s="2"/>
      <c r="F220" s="6">
        <f t="shared" si="104"/>
        <v>5.884992076832022E-3</v>
      </c>
      <c r="G220" s="2"/>
      <c r="H220" s="7">
        <v>674</v>
      </c>
      <c r="I220" s="2"/>
      <c r="J220" s="6">
        <f t="shared" si="105"/>
        <v>9.8074594896628803E-4</v>
      </c>
      <c r="K220" s="2"/>
      <c r="L220" s="7">
        <f t="shared" si="106"/>
        <v>3189.75</v>
      </c>
      <c r="M220" s="2"/>
      <c r="N220" s="6">
        <f t="shared" si="107"/>
        <v>4.7325667655786354</v>
      </c>
      <c r="O220" s="11"/>
      <c r="P220" s="7">
        <v>34989.58</v>
      </c>
      <c r="Q220" s="2"/>
      <c r="R220" s="6">
        <f t="shared" si="108"/>
        <v>4.4962389749554129E-3</v>
      </c>
      <c r="S220" s="2"/>
      <c r="T220" s="7">
        <v>7565</v>
      </c>
      <c r="U220" s="2"/>
      <c r="V220" s="6">
        <f t="shared" si="109"/>
        <v>6.886173419425217E-4</v>
      </c>
      <c r="W220" s="2"/>
      <c r="X220" s="7">
        <f t="shared" si="110"/>
        <v>27424.58</v>
      </c>
      <c r="Y220" s="2"/>
      <c r="Z220" s="6">
        <f t="shared" si="111"/>
        <v>3.6251923331130209</v>
      </c>
    </row>
    <row r="221" spans="1:26" s="27" customFormat="1" outlineLevel="1" collapsed="1" x14ac:dyDescent="0.25">
      <c r="A221" s="26"/>
      <c r="B221" s="13" t="str">
        <f>CONCATENATE("     ","Subscriptions &amp; Dues                              ")</f>
        <v xml:space="preserve">     Subscriptions &amp; Dues                              </v>
      </c>
      <c r="C221" s="13"/>
      <c r="D221" s="1">
        <f>SUM(OSRRefD22_19x_0)</f>
        <v>611.22</v>
      </c>
      <c r="E221" s="1"/>
      <c r="F221" s="5">
        <f t="shared" ref="F221:F223" si="112">IF(D$12=0,0,D221/D$12)</f>
        <v>9.3096728753187157E-4</v>
      </c>
      <c r="G221" s="1"/>
      <c r="H221" s="1">
        <f>SUM(OSRRefH22_19x_0)</f>
        <v>1100</v>
      </c>
      <c r="I221" s="1"/>
      <c r="J221" s="5">
        <f t="shared" ref="J221:J223" si="113">IF(H$12=0,0,H221/H$12)</f>
        <v>1.6006239523188677E-3</v>
      </c>
      <c r="K221" s="1"/>
      <c r="L221" s="1">
        <f t="shared" ref="L221:L223" si="114">+D221-H221</f>
        <v>-488.78</v>
      </c>
      <c r="M221" s="1"/>
      <c r="N221" s="5">
        <f t="shared" ref="N221:N223" si="115">IF(H221=0,0,L221/H221)</f>
        <v>-0.44434545454545454</v>
      </c>
      <c r="O221" s="13"/>
      <c r="P221" s="1">
        <f>SUM(OSRRefP22_19x_0)</f>
        <v>7431.3499999999995</v>
      </c>
      <c r="Q221" s="1"/>
      <c r="R221" s="5">
        <f t="shared" ref="R221:R223" si="116">IF(P$12=0,0,P221/P$12)</f>
        <v>9.5494502953550459E-4</v>
      </c>
      <c r="S221" s="1"/>
      <c r="T221" s="1">
        <f>SUM(OSRRefT22_19x_0)</f>
        <v>15295</v>
      </c>
      <c r="U221" s="1"/>
      <c r="V221" s="5">
        <f t="shared" ref="V221:V223" si="117">IF(T$12=0,0,T221/T$12)</f>
        <v>1.3922540971594011E-3</v>
      </c>
      <c r="W221" s="1"/>
      <c r="X221" s="1">
        <f t="shared" ref="X221:X223" si="118">+P221-T221</f>
        <v>-7863.6500000000005</v>
      </c>
      <c r="Y221" s="1"/>
      <c r="Z221" s="5">
        <f t="shared" ref="Z221:Z223" si="119">IF(T221=0,0,X221/T221)</f>
        <v>-0.51413206930369404</v>
      </c>
    </row>
    <row r="222" spans="1:26" s="24" customFormat="1" hidden="1" outlineLevel="2" x14ac:dyDescent="0.25">
      <c r="A222" s="25"/>
      <c r="B222" s="11" t="str">
        <f>CONCATENATE("          ", "6258", " - ", "MEMBERSHIP DUES")</f>
        <v xml:space="preserve">          6258 - MEMBERSHIP DUES</v>
      </c>
      <c r="C222" s="11"/>
      <c r="D222" s="7">
        <v>611.22</v>
      </c>
      <c r="E222" s="2"/>
      <c r="F222" s="6">
        <f t="shared" si="112"/>
        <v>9.3096728753187157E-4</v>
      </c>
      <c r="G222" s="2"/>
      <c r="H222" s="7">
        <v>1100</v>
      </c>
      <c r="I222" s="2"/>
      <c r="J222" s="6">
        <f t="shared" si="113"/>
        <v>1.6006239523188677E-3</v>
      </c>
      <c r="K222" s="2"/>
      <c r="L222" s="7">
        <f t="shared" si="114"/>
        <v>-488.78</v>
      </c>
      <c r="M222" s="2"/>
      <c r="N222" s="6">
        <f t="shared" si="115"/>
        <v>-0.44434545454545454</v>
      </c>
      <c r="O222" s="11"/>
      <c r="P222" s="7">
        <v>3046.45</v>
      </c>
      <c r="Q222" s="2"/>
      <c r="R222" s="6">
        <f t="shared" si="116"/>
        <v>3.914756114606953E-4</v>
      </c>
      <c r="S222" s="2"/>
      <c r="T222" s="7">
        <v>13495</v>
      </c>
      <c r="U222" s="2"/>
      <c r="V222" s="6">
        <f t="shared" si="117"/>
        <v>1.228405952348226E-3</v>
      </c>
      <c r="W222" s="2"/>
      <c r="X222" s="7">
        <f t="shared" si="118"/>
        <v>-10448.549999999999</v>
      </c>
      <c r="Y222" s="2"/>
      <c r="Z222" s="6">
        <f t="shared" si="119"/>
        <v>-0.77425342719525747</v>
      </c>
    </row>
    <row r="223" spans="1:26" s="24" customFormat="1" hidden="1" outlineLevel="2" x14ac:dyDescent="0.25">
      <c r="A223" s="25"/>
      <c r="B223" s="11" t="str">
        <f>CONCATENATE("          ", "6275", " - ", "SUBSCRIPTIONS")</f>
        <v xml:space="preserve">          6275 - SUBSCRIPTIONS</v>
      </c>
      <c r="C223" s="11"/>
      <c r="D223" s="7"/>
      <c r="E223" s="2"/>
      <c r="F223" s="6">
        <f t="shared" si="112"/>
        <v>0</v>
      </c>
      <c r="G223" s="2"/>
      <c r="H223" s="7">
        <v>0</v>
      </c>
      <c r="I223" s="2"/>
      <c r="J223" s="6">
        <f t="shared" si="113"/>
        <v>0</v>
      </c>
      <c r="K223" s="2"/>
      <c r="L223" s="7">
        <f t="shared" si="114"/>
        <v>0</v>
      </c>
      <c r="M223" s="2"/>
      <c r="N223" s="6">
        <f t="shared" si="115"/>
        <v>0</v>
      </c>
      <c r="O223" s="11"/>
      <c r="P223" s="7">
        <v>4384.8999999999996</v>
      </c>
      <c r="Q223" s="2"/>
      <c r="R223" s="6">
        <f t="shared" si="116"/>
        <v>5.6346941807480929E-4</v>
      </c>
      <c r="S223" s="2"/>
      <c r="T223" s="7">
        <v>1800</v>
      </c>
      <c r="U223" s="2"/>
      <c r="V223" s="6">
        <f t="shared" si="117"/>
        <v>1.6384814481117504E-4</v>
      </c>
      <c r="W223" s="2"/>
      <c r="X223" s="7">
        <f t="shared" si="118"/>
        <v>2584.8999999999996</v>
      </c>
      <c r="Y223" s="2"/>
      <c r="Z223" s="6">
        <f t="shared" si="119"/>
        <v>1.4360555555555554</v>
      </c>
    </row>
    <row r="224" spans="1:26" s="27" customFormat="1" outlineLevel="1" collapsed="1" x14ac:dyDescent="0.25">
      <c r="A224" s="26"/>
      <c r="B224" s="13" t="str">
        <f>CONCATENATE("     ","Supplies                                          ")</f>
        <v xml:space="preserve">     Supplies                                          </v>
      </c>
      <c r="C224" s="13"/>
      <c r="D224" s="1">
        <f>SUM(OSRRefD22_20x_0)</f>
        <v>10402.73</v>
      </c>
      <c r="E224" s="1"/>
      <c r="F224" s="5">
        <f t="shared" ref="F224:F233" si="120">IF(D$12=0,0,D224/D$12)</f>
        <v>1.5844706212209066E-2</v>
      </c>
      <c r="G224" s="1"/>
      <c r="H224" s="1">
        <f>SUM(OSRRefH22_20x_0)</f>
        <v>11730</v>
      </c>
      <c r="I224" s="1"/>
      <c r="J224" s="5">
        <f t="shared" ref="J224:J233" si="121">IF(H$12=0,0,H224/H$12)</f>
        <v>1.7068471782454832E-2</v>
      </c>
      <c r="K224" s="1"/>
      <c r="L224" s="1">
        <f t="shared" ref="L224:L233" si="122">+D224-H224</f>
        <v>-1327.2700000000004</v>
      </c>
      <c r="M224" s="1"/>
      <c r="N224" s="5">
        <f t="shared" ref="N224:N233" si="123">IF(H224=0,0,L224/H224)</f>
        <v>-0.11315174765558401</v>
      </c>
      <c r="O224" s="13"/>
      <c r="P224" s="1">
        <f>SUM(OSRRefP22_20x_0)</f>
        <v>125931.07</v>
      </c>
      <c r="Q224" s="1"/>
      <c r="R224" s="5">
        <f t="shared" ref="R224:R233" si="124">IF(P$12=0,0,P224/P$12)</f>
        <v>1.6182423026850804E-2</v>
      </c>
      <c r="S224" s="1"/>
      <c r="T224" s="1">
        <f>SUM(OSRRefT22_20x_0)</f>
        <v>159360</v>
      </c>
      <c r="U224" s="1"/>
      <c r="V224" s="5">
        <f t="shared" ref="V224:V233" si="125">IF(T$12=0,0,T224/T$12)</f>
        <v>1.4506022420616028E-2</v>
      </c>
      <c r="W224" s="1"/>
      <c r="X224" s="1">
        <f t="shared" ref="X224:X233" si="126">+P224-T224</f>
        <v>-33428.929999999993</v>
      </c>
      <c r="Y224" s="1"/>
      <c r="Z224" s="5">
        <f t="shared" ref="Z224:Z233" si="127">IF(T224=0,0,X224/T224)</f>
        <v>-0.20976989206827304</v>
      </c>
    </row>
    <row r="225" spans="1:26" s="24" customFormat="1" hidden="1" outlineLevel="2" x14ac:dyDescent="0.25">
      <c r="A225" s="25"/>
      <c r="B225" s="11" t="str">
        <f>CONCATENATE("          ", "6234", " - ", "EXPENDABLE SUPPLIES &amp; EQUIPMEN")</f>
        <v xml:space="preserve">          6234 - EXPENDABLE SUPPLIES &amp; EQUIPMEN</v>
      </c>
      <c r="C225" s="11"/>
      <c r="D225" s="7"/>
      <c r="E225" s="2"/>
      <c r="F225" s="6">
        <f t="shared" si="120"/>
        <v>0</v>
      </c>
      <c r="G225" s="2"/>
      <c r="H225" s="7">
        <v>150</v>
      </c>
      <c r="I225" s="2"/>
      <c r="J225" s="6">
        <f t="shared" si="121"/>
        <v>2.1826690258893648E-4</v>
      </c>
      <c r="K225" s="2"/>
      <c r="L225" s="7">
        <f t="shared" si="122"/>
        <v>-150</v>
      </c>
      <c r="M225" s="2"/>
      <c r="N225" s="6">
        <f t="shared" si="123"/>
        <v>-1</v>
      </c>
      <c r="O225" s="11"/>
      <c r="P225" s="7">
        <v>1733.65</v>
      </c>
      <c r="Q225" s="2"/>
      <c r="R225" s="6">
        <f t="shared" si="124"/>
        <v>2.227778869861099E-4</v>
      </c>
      <c r="S225" s="2"/>
      <c r="T225" s="7">
        <v>1650</v>
      </c>
      <c r="U225" s="2"/>
      <c r="V225" s="6">
        <f t="shared" si="125"/>
        <v>1.501941327435771E-4</v>
      </c>
      <c r="W225" s="2"/>
      <c r="X225" s="7">
        <f t="shared" si="126"/>
        <v>83.650000000000091</v>
      </c>
      <c r="Y225" s="2"/>
      <c r="Z225" s="6">
        <f t="shared" si="127"/>
        <v>5.0696969696969754E-2</v>
      </c>
    </row>
    <row r="226" spans="1:26" s="24" customFormat="1" hidden="1" outlineLevel="2" x14ac:dyDescent="0.25">
      <c r="A226" s="25"/>
      <c r="B226" s="11" t="str">
        <f>CONCATENATE("          ", "6235", " - ", "COVID-19 EXPENSES")</f>
        <v xml:space="preserve">          6235 - COVID-19 EXPENSES</v>
      </c>
      <c r="C226" s="11"/>
      <c r="D226" s="7">
        <v>2928.27</v>
      </c>
      <c r="E226" s="2"/>
      <c r="F226" s="6">
        <f t="shared" si="120"/>
        <v>4.4601347780847374E-3</v>
      </c>
      <c r="G226" s="2"/>
      <c r="H226" s="7">
        <v>500</v>
      </c>
      <c r="I226" s="2"/>
      <c r="J226" s="6">
        <f t="shared" si="121"/>
        <v>7.2755634196312164E-4</v>
      </c>
      <c r="K226" s="2"/>
      <c r="L226" s="7">
        <f t="shared" si="122"/>
        <v>2428.27</v>
      </c>
      <c r="M226" s="2"/>
      <c r="N226" s="6">
        <f t="shared" si="123"/>
        <v>4.8565399999999999</v>
      </c>
      <c r="O226" s="11"/>
      <c r="P226" s="7">
        <v>44666.18</v>
      </c>
      <c r="Q226" s="2"/>
      <c r="R226" s="6">
        <f t="shared" si="124"/>
        <v>5.7397036311488724E-3</v>
      </c>
      <c r="S226" s="2"/>
      <c r="T226" s="7">
        <v>65100</v>
      </c>
      <c r="U226" s="2"/>
      <c r="V226" s="6">
        <f t="shared" si="125"/>
        <v>5.9258412373374971E-3</v>
      </c>
      <c r="W226" s="2"/>
      <c r="X226" s="7">
        <f t="shared" si="126"/>
        <v>-20433.82</v>
      </c>
      <c r="Y226" s="2"/>
      <c r="Z226" s="6">
        <f t="shared" si="127"/>
        <v>-0.31388356374807985</v>
      </c>
    </row>
    <row r="227" spans="1:26" s="24" customFormat="1" hidden="1" outlineLevel="2" x14ac:dyDescent="0.25">
      <c r="A227" s="25"/>
      <c r="B227" s="11" t="str">
        <f>CONCATENATE("          ", "6237", " - ", "JANITORIAL SUPPLIES")</f>
        <v xml:space="preserve">          6237 - JANITORIAL SUPPLIES</v>
      </c>
      <c r="C227" s="11"/>
      <c r="D227" s="7">
        <v>390.73</v>
      </c>
      <c r="E227" s="2"/>
      <c r="F227" s="6">
        <f t="shared" si="120"/>
        <v>5.9513243718682012E-4</v>
      </c>
      <c r="G227" s="2"/>
      <c r="H227" s="7">
        <v>270</v>
      </c>
      <c r="I227" s="2"/>
      <c r="J227" s="6">
        <f t="shared" si="121"/>
        <v>3.9288042466008565E-4</v>
      </c>
      <c r="K227" s="2"/>
      <c r="L227" s="7">
        <f t="shared" si="122"/>
        <v>120.73000000000002</v>
      </c>
      <c r="M227" s="2"/>
      <c r="N227" s="6">
        <f t="shared" si="123"/>
        <v>0.44714814814814824</v>
      </c>
      <c r="O227" s="11"/>
      <c r="P227" s="7">
        <v>3880.28</v>
      </c>
      <c r="Q227" s="2"/>
      <c r="R227" s="6">
        <f t="shared" si="124"/>
        <v>4.9862462395204479E-4</v>
      </c>
      <c r="S227" s="2"/>
      <c r="T227" s="7">
        <v>2950</v>
      </c>
      <c r="U227" s="2"/>
      <c r="V227" s="6">
        <f t="shared" si="125"/>
        <v>2.6852890399609242E-4</v>
      </c>
      <c r="W227" s="2"/>
      <c r="X227" s="7">
        <f t="shared" si="126"/>
        <v>930.2800000000002</v>
      </c>
      <c r="Y227" s="2"/>
      <c r="Z227" s="6">
        <f t="shared" si="127"/>
        <v>0.31534915254237295</v>
      </c>
    </row>
    <row r="228" spans="1:26" s="24" customFormat="1" hidden="1" outlineLevel="2" x14ac:dyDescent="0.25">
      <c r="A228" s="25"/>
      <c r="B228" s="11" t="str">
        <f>CONCATENATE("          ", "6241", " - ", "OFFICE EXPENSE")</f>
        <v xml:space="preserve">          6241 - OFFICE EXPENSE</v>
      </c>
      <c r="C228" s="11"/>
      <c r="D228" s="7">
        <v>338.38</v>
      </c>
      <c r="E228" s="2"/>
      <c r="F228" s="6">
        <f t="shared" si="120"/>
        <v>5.1539660147742982E-4</v>
      </c>
      <c r="G228" s="2"/>
      <c r="H228" s="7">
        <v>535</v>
      </c>
      <c r="I228" s="2"/>
      <c r="J228" s="6">
        <f t="shared" si="121"/>
        <v>7.784852859005401E-4</v>
      </c>
      <c r="K228" s="2"/>
      <c r="L228" s="7">
        <f t="shared" si="122"/>
        <v>-196.62</v>
      </c>
      <c r="M228" s="2"/>
      <c r="N228" s="6">
        <f t="shared" si="123"/>
        <v>-0.36751401869158878</v>
      </c>
      <c r="O228" s="11"/>
      <c r="P228" s="7">
        <v>12636.13</v>
      </c>
      <c r="Q228" s="2"/>
      <c r="R228" s="6">
        <f t="shared" si="124"/>
        <v>1.6237708540257794E-3</v>
      </c>
      <c r="S228" s="2"/>
      <c r="T228" s="7">
        <v>7085</v>
      </c>
      <c r="U228" s="2"/>
      <c r="V228" s="6">
        <f t="shared" si="125"/>
        <v>6.4492450332620836E-4</v>
      </c>
      <c r="W228" s="2"/>
      <c r="X228" s="7">
        <f t="shared" si="126"/>
        <v>5551.1299999999992</v>
      </c>
      <c r="Y228" s="2"/>
      <c r="Z228" s="6">
        <f t="shared" si="127"/>
        <v>0.78350458715596316</v>
      </c>
    </row>
    <row r="229" spans="1:26" s="24" customFormat="1" hidden="1" outlineLevel="2" x14ac:dyDescent="0.25">
      <c r="A229" s="25"/>
      <c r="B229" s="11" t="str">
        <f>CONCATENATE("          ", "6243", " - ", "PAPER SUPPLIES")</f>
        <v xml:space="preserve">          6243 - PAPER SUPPLIES</v>
      </c>
      <c r="C229" s="11"/>
      <c r="D229" s="7"/>
      <c r="E229" s="2"/>
      <c r="F229" s="6">
        <f t="shared" si="120"/>
        <v>0</v>
      </c>
      <c r="G229" s="2"/>
      <c r="H229" s="7">
        <v>5050</v>
      </c>
      <c r="I229" s="2"/>
      <c r="J229" s="6">
        <f t="shared" si="121"/>
        <v>7.3483190538275282E-3</v>
      </c>
      <c r="K229" s="2"/>
      <c r="L229" s="7">
        <f t="shared" si="122"/>
        <v>-5050</v>
      </c>
      <c r="M229" s="2"/>
      <c r="N229" s="6">
        <f t="shared" si="123"/>
        <v>-1</v>
      </c>
      <c r="O229" s="11"/>
      <c r="P229" s="7">
        <v>6682.58</v>
      </c>
      <c r="Q229" s="2"/>
      <c r="R229" s="6">
        <f t="shared" si="124"/>
        <v>8.5872641652907922E-4</v>
      </c>
      <c r="S229" s="2"/>
      <c r="T229" s="7">
        <v>26950</v>
      </c>
      <c r="U229" s="2"/>
      <c r="V229" s="6">
        <f t="shared" si="125"/>
        <v>2.4531708348117594E-3</v>
      </c>
      <c r="W229" s="2"/>
      <c r="X229" s="7">
        <f t="shared" si="126"/>
        <v>-20267.419999999998</v>
      </c>
      <c r="Y229" s="2"/>
      <c r="Z229" s="6">
        <f t="shared" si="127"/>
        <v>-0.75203784786641925</v>
      </c>
    </row>
    <row r="230" spans="1:26" s="24" customFormat="1" hidden="1" outlineLevel="2" x14ac:dyDescent="0.25">
      <c r="A230" s="25"/>
      <c r="B230" s="11" t="str">
        <f>CONCATENATE("          ", "6244", " - ", "SAFETY SUPPLY EXPENSE")</f>
        <v xml:space="preserve">          6244 - SAFETY SUPPLY EXPENSE</v>
      </c>
      <c r="C230" s="11"/>
      <c r="D230" s="7"/>
      <c r="E230" s="2"/>
      <c r="F230" s="6">
        <f t="shared" si="120"/>
        <v>0</v>
      </c>
      <c r="G230" s="2"/>
      <c r="H230" s="7">
        <v>0</v>
      </c>
      <c r="I230" s="2"/>
      <c r="J230" s="6">
        <f t="shared" si="121"/>
        <v>0</v>
      </c>
      <c r="K230" s="2"/>
      <c r="L230" s="7">
        <f t="shared" si="122"/>
        <v>0</v>
      </c>
      <c r="M230" s="2"/>
      <c r="N230" s="6">
        <f t="shared" si="123"/>
        <v>0</v>
      </c>
      <c r="O230" s="11"/>
      <c r="P230" s="7"/>
      <c r="Q230" s="2"/>
      <c r="R230" s="6">
        <f t="shared" si="124"/>
        <v>0</v>
      </c>
      <c r="S230" s="2"/>
      <c r="T230" s="7">
        <v>100</v>
      </c>
      <c r="U230" s="2"/>
      <c r="V230" s="6">
        <f t="shared" si="125"/>
        <v>9.1026747117319453E-6</v>
      </c>
      <c r="W230" s="2"/>
      <c r="X230" s="7">
        <f t="shared" si="126"/>
        <v>-100</v>
      </c>
      <c r="Y230" s="2"/>
      <c r="Z230" s="6">
        <f t="shared" si="127"/>
        <v>-1</v>
      </c>
    </row>
    <row r="231" spans="1:26" s="24" customFormat="1" hidden="1" outlineLevel="2" x14ac:dyDescent="0.25">
      <c r="A231" s="25"/>
      <c r="B231" s="11" t="str">
        <f>CONCATENATE("          ", "6245", " - ", "PRINTING")</f>
        <v xml:space="preserve">          6245 - PRINTING</v>
      </c>
      <c r="C231" s="11"/>
      <c r="D231" s="7">
        <v>5963.79</v>
      </c>
      <c r="E231" s="2"/>
      <c r="F231" s="6">
        <f t="shared" si="120"/>
        <v>9.0836252081242432E-3</v>
      </c>
      <c r="G231" s="2"/>
      <c r="H231" s="7">
        <v>750</v>
      </c>
      <c r="I231" s="2"/>
      <c r="J231" s="6">
        <f t="shared" si="121"/>
        <v>1.0913345129446824E-3</v>
      </c>
      <c r="K231" s="2"/>
      <c r="L231" s="7">
        <f t="shared" si="122"/>
        <v>5213.79</v>
      </c>
      <c r="M231" s="2"/>
      <c r="N231" s="6">
        <f t="shared" si="123"/>
        <v>6.9517199999999999</v>
      </c>
      <c r="O231" s="11"/>
      <c r="P231" s="7">
        <v>9084.3799999999992</v>
      </c>
      <c r="Q231" s="2"/>
      <c r="R231" s="6">
        <f t="shared" si="124"/>
        <v>1.1673630669275094E-3</v>
      </c>
      <c r="S231" s="2"/>
      <c r="T231" s="7">
        <v>5350</v>
      </c>
      <c r="U231" s="2"/>
      <c r="V231" s="6">
        <f t="shared" si="125"/>
        <v>4.8699309707765908E-4</v>
      </c>
      <c r="W231" s="2"/>
      <c r="X231" s="7">
        <f t="shared" si="126"/>
        <v>3734.3799999999992</v>
      </c>
      <c r="Y231" s="2"/>
      <c r="Z231" s="6">
        <f t="shared" si="127"/>
        <v>0.69801495327102792</v>
      </c>
    </row>
    <row r="232" spans="1:26" s="24" customFormat="1" hidden="1" outlineLevel="2" x14ac:dyDescent="0.25">
      <c r="A232" s="25"/>
      <c r="B232" s="11" t="str">
        <f>CONCATENATE("          ", "6247", " - ", "STORE SUPPLIES")</f>
        <v xml:space="preserve">          6247 - STORE SUPPLIES</v>
      </c>
      <c r="C232" s="11"/>
      <c r="D232" s="7">
        <v>781.56</v>
      </c>
      <c r="E232" s="2"/>
      <c r="F232" s="6">
        <f t="shared" si="120"/>
        <v>1.1904171873358357E-3</v>
      </c>
      <c r="G232" s="2"/>
      <c r="H232" s="7">
        <v>2975</v>
      </c>
      <c r="I232" s="2"/>
      <c r="J232" s="6">
        <f t="shared" si="121"/>
        <v>4.3289602346805733E-3</v>
      </c>
      <c r="K232" s="2"/>
      <c r="L232" s="7">
        <f t="shared" si="122"/>
        <v>-2193.44</v>
      </c>
      <c r="M232" s="2"/>
      <c r="N232" s="6">
        <f t="shared" si="123"/>
        <v>-0.73729075630252106</v>
      </c>
      <c r="O232" s="11"/>
      <c r="P232" s="7">
        <v>47247.87</v>
      </c>
      <c r="Q232" s="2"/>
      <c r="R232" s="6">
        <f t="shared" si="124"/>
        <v>6.0714565472814079E-3</v>
      </c>
      <c r="S232" s="2"/>
      <c r="T232" s="7">
        <v>33475</v>
      </c>
      <c r="U232" s="2"/>
      <c r="V232" s="6">
        <f t="shared" si="125"/>
        <v>3.0471203597522687E-3</v>
      </c>
      <c r="W232" s="2"/>
      <c r="X232" s="7">
        <f t="shared" si="126"/>
        <v>13772.870000000003</v>
      </c>
      <c r="Y232" s="2"/>
      <c r="Z232" s="6">
        <f t="shared" si="127"/>
        <v>0.41143749066467522</v>
      </c>
    </row>
    <row r="233" spans="1:26" s="24" customFormat="1" hidden="1" outlineLevel="2" x14ac:dyDescent="0.25">
      <c r="A233" s="25"/>
      <c r="B233" s="11" t="str">
        <f>CONCATENATE("          ", "6248", " - ", "UNIFORMS")</f>
        <v xml:space="preserve">          6248 - UNIFORMS</v>
      </c>
      <c r="C233" s="11"/>
      <c r="D233" s="7"/>
      <c r="E233" s="2"/>
      <c r="F233" s="6">
        <f t="shared" si="120"/>
        <v>0</v>
      </c>
      <c r="G233" s="2"/>
      <c r="H233" s="7">
        <v>1500</v>
      </c>
      <c r="I233" s="2"/>
      <c r="J233" s="6">
        <f t="shared" si="121"/>
        <v>2.1826690258893648E-3</v>
      </c>
      <c r="K233" s="2"/>
      <c r="L233" s="7">
        <f t="shared" si="122"/>
        <v>-1500</v>
      </c>
      <c r="M233" s="2"/>
      <c r="N233" s="6">
        <f t="shared" si="123"/>
        <v>-1</v>
      </c>
      <c r="O233" s="11"/>
      <c r="P233" s="7"/>
      <c r="Q233" s="2"/>
      <c r="R233" s="6">
        <f t="shared" si="124"/>
        <v>0</v>
      </c>
      <c r="S233" s="2"/>
      <c r="T233" s="7">
        <v>16700</v>
      </c>
      <c r="U233" s="2"/>
      <c r="V233" s="6">
        <f t="shared" si="125"/>
        <v>1.5201466768592349E-3</v>
      </c>
      <c r="W233" s="2"/>
      <c r="X233" s="7">
        <f t="shared" si="126"/>
        <v>-16700</v>
      </c>
      <c r="Y233" s="2"/>
      <c r="Z233" s="6">
        <f t="shared" si="127"/>
        <v>-1</v>
      </c>
    </row>
    <row r="234" spans="1:26" s="27" customFormat="1" outlineLevel="1" collapsed="1" x14ac:dyDescent="0.25">
      <c r="A234" s="26"/>
      <c r="B234" s="13" t="str">
        <f>CONCATENATE("     ","Telephone/Data Lines                              ")</f>
        <v xml:space="preserve">     Telephone/Data Lines                              </v>
      </c>
      <c r="C234" s="13"/>
      <c r="D234" s="1">
        <f>SUM(OSRRefD22_21x_0)</f>
        <v>2234.5500000000002</v>
      </c>
      <c r="E234" s="1"/>
      <c r="F234" s="5">
        <f t="shared" ref="F234:F236" si="128">IF(D$12=0,0,D234/D$12)</f>
        <v>3.4035092967415067E-3</v>
      </c>
      <c r="G234" s="1"/>
      <c r="H234" s="1">
        <f>SUM(OSRRefH22_21x_0)</f>
        <v>2545</v>
      </c>
      <c r="I234" s="1"/>
      <c r="J234" s="5">
        <f t="shared" ref="J234:J236" si="129">IF(H$12=0,0,H234/H$12)</f>
        <v>3.703261780592289E-3</v>
      </c>
      <c r="K234" s="1"/>
      <c r="L234" s="1">
        <f t="shared" ref="L234:L236" si="130">+D234-H234</f>
        <v>-310.44999999999982</v>
      </c>
      <c r="M234" s="1"/>
      <c r="N234" s="5">
        <f t="shared" ref="N234:N236" si="131">IF(H234=0,0,L234/H234)</f>
        <v>-0.12198428290766201</v>
      </c>
      <c r="O234" s="13"/>
      <c r="P234" s="1">
        <f>SUM(OSRRefP22_21x_0)</f>
        <v>26943.53</v>
      </c>
      <c r="Q234" s="1"/>
      <c r="R234" s="5">
        <f t="shared" ref="R234:R236" si="132">IF(P$12=0,0,P234/P$12)</f>
        <v>3.4623036260761175E-3</v>
      </c>
      <c r="S234" s="1"/>
      <c r="T234" s="1">
        <f>SUM(OSRRefT22_21x_0)</f>
        <v>30305</v>
      </c>
      <c r="U234" s="1"/>
      <c r="V234" s="5">
        <f t="shared" ref="V234:V236" si="133">IF(T$12=0,0,T234/T$12)</f>
        <v>2.7585655713903662E-3</v>
      </c>
      <c r="W234" s="1"/>
      <c r="X234" s="1">
        <f t="shared" ref="X234:X236" si="134">+P234-T234</f>
        <v>-3361.4700000000012</v>
      </c>
      <c r="Y234" s="1"/>
      <c r="Z234" s="5">
        <f t="shared" ref="Z234:Z236" si="135">IF(T234=0,0,X234/T234)</f>
        <v>-0.11092130011549253</v>
      </c>
    </row>
    <row r="235" spans="1:26" s="24" customFormat="1" hidden="1" outlineLevel="2" x14ac:dyDescent="0.25">
      <c r="A235" s="25"/>
      <c r="B235" s="11" t="str">
        <f>CONCATENATE("          ", "6303", " - ", "DATA PHONE LINES")</f>
        <v xml:space="preserve">          6303 - DATA PHONE LINES</v>
      </c>
      <c r="C235" s="11"/>
      <c r="D235" s="7"/>
      <c r="E235" s="2"/>
      <c r="F235" s="6">
        <f t="shared" si="128"/>
        <v>0</v>
      </c>
      <c r="G235" s="2"/>
      <c r="H235" s="7">
        <v>630</v>
      </c>
      <c r="I235" s="2"/>
      <c r="J235" s="6">
        <f t="shared" si="129"/>
        <v>9.1672099087353328E-4</v>
      </c>
      <c r="K235" s="2"/>
      <c r="L235" s="7">
        <f t="shared" si="130"/>
        <v>-630</v>
      </c>
      <c r="M235" s="2"/>
      <c r="N235" s="6">
        <f t="shared" si="131"/>
        <v>-1</v>
      </c>
      <c r="O235" s="11"/>
      <c r="P235" s="7">
        <v>3540</v>
      </c>
      <c r="Q235" s="2"/>
      <c r="R235" s="6">
        <f t="shared" si="132"/>
        <v>4.5489788592324232E-4</v>
      </c>
      <c r="S235" s="2"/>
      <c r="T235" s="7">
        <v>6930</v>
      </c>
      <c r="U235" s="2"/>
      <c r="V235" s="6">
        <f t="shared" si="133"/>
        <v>6.3081535752302384E-4</v>
      </c>
      <c r="W235" s="2"/>
      <c r="X235" s="7">
        <f t="shared" si="134"/>
        <v>-3390</v>
      </c>
      <c r="Y235" s="2"/>
      <c r="Z235" s="6">
        <f t="shared" si="135"/>
        <v>-0.48917748917748916</v>
      </c>
    </row>
    <row r="236" spans="1:26" s="24" customFormat="1" hidden="1" outlineLevel="2" x14ac:dyDescent="0.25">
      <c r="A236" s="25"/>
      <c r="B236" s="11" t="str">
        <f>CONCATENATE("          ", "6309", " - ", "TELEPHONE")</f>
        <v xml:space="preserve">          6309 - TELEPHONE</v>
      </c>
      <c r="C236" s="11"/>
      <c r="D236" s="7">
        <v>2234.5500000000002</v>
      </c>
      <c r="E236" s="2"/>
      <c r="F236" s="6">
        <f t="shared" si="128"/>
        <v>3.4035092967415067E-3</v>
      </c>
      <c r="G236" s="2"/>
      <c r="H236" s="7">
        <v>1915</v>
      </c>
      <c r="I236" s="2"/>
      <c r="J236" s="6">
        <f t="shared" si="129"/>
        <v>2.7865407897187558E-3</v>
      </c>
      <c r="K236" s="2"/>
      <c r="L236" s="7">
        <f t="shared" si="130"/>
        <v>319.55000000000018</v>
      </c>
      <c r="M236" s="2"/>
      <c r="N236" s="6">
        <f t="shared" si="131"/>
        <v>0.16686684073107058</v>
      </c>
      <c r="O236" s="11"/>
      <c r="P236" s="7">
        <v>23403.53</v>
      </c>
      <c r="Q236" s="2"/>
      <c r="R236" s="6">
        <f t="shared" si="132"/>
        <v>3.0074057401528751E-3</v>
      </c>
      <c r="S236" s="2"/>
      <c r="T236" s="7">
        <v>23375</v>
      </c>
      <c r="U236" s="2"/>
      <c r="V236" s="6">
        <f t="shared" si="133"/>
        <v>2.1277502138673425E-3</v>
      </c>
      <c r="W236" s="2"/>
      <c r="X236" s="7">
        <f t="shared" si="134"/>
        <v>28.529999999998836</v>
      </c>
      <c r="Y236" s="2"/>
      <c r="Z236" s="6">
        <f t="shared" si="135"/>
        <v>1.2205347593582389E-3</v>
      </c>
    </row>
    <row r="237" spans="1:26" s="27" customFormat="1" outlineLevel="1" collapsed="1" x14ac:dyDescent="0.25">
      <c r="A237" s="26"/>
      <c r="B237" s="13" t="str">
        <f>CONCATENATE("     ","Training                                          ")</f>
        <v xml:space="preserve">     Training                                          </v>
      </c>
      <c r="C237" s="13"/>
      <c r="D237" s="1">
        <f>SUM(OSRRefD22_22x_0)</f>
        <v>0</v>
      </c>
      <c r="E237" s="1"/>
      <c r="F237" s="5">
        <f t="shared" ref="F237:F242" si="136">IF(D$12=0,0,D237/D$12)</f>
        <v>0</v>
      </c>
      <c r="G237" s="1"/>
      <c r="H237" s="1">
        <f>SUM(OSRRefH22_22x_0)</f>
        <v>0</v>
      </c>
      <c r="I237" s="1"/>
      <c r="J237" s="5">
        <f t="shared" ref="J237:J242" si="137">IF(H$12=0,0,H237/H$12)</f>
        <v>0</v>
      </c>
      <c r="K237" s="1"/>
      <c r="L237" s="1">
        <f t="shared" ref="L237:L242" si="138">+D237-H237</f>
        <v>0</v>
      </c>
      <c r="M237" s="1"/>
      <c r="N237" s="5">
        <f t="shared" ref="N237:N242" si="139">IF(H237=0,0,L237/H237)</f>
        <v>0</v>
      </c>
      <c r="O237" s="13"/>
      <c r="P237" s="1">
        <f>SUM(OSRRefP22_22x_0)</f>
        <v>995.63</v>
      </c>
      <c r="Q237" s="1"/>
      <c r="R237" s="5">
        <f t="shared" ref="R237:R242" si="140">IF(P$12=0,0,P237/P$12)</f>
        <v>1.2794067292705021E-4</v>
      </c>
      <c r="S237" s="1"/>
      <c r="T237" s="1">
        <f>SUM(OSRRefT22_22x_0)</f>
        <v>14470</v>
      </c>
      <c r="U237" s="1"/>
      <c r="V237" s="5">
        <f t="shared" ref="V237:V242" si="141">IF(T$12=0,0,T237/T$12)</f>
        <v>1.3171570307876125E-3</v>
      </c>
      <c r="W237" s="1"/>
      <c r="X237" s="1">
        <f t="shared" ref="X237:X242" si="142">+P237-T237</f>
        <v>-13474.37</v>
      </c>
      <c r="Y237" s="1"/>
      <c r="Z237" s="5">
        <f t="shared" ref="Z237:Z242" si="143">IF(T237=0,0,X237/T237)</f>
        <v>-0.93119350380096755</v>
      </c>
    </row>
    <row r="238" spans="1:26" s="24" customFormat="1" hidden="1" outlineLevel="2" x14ac:dyDescent="0.25">
      <c r="A238" s="25"/>
      <c r="B238" s="11" t="str">
        <f>CONCATENATE("          ", "6376", " - ", "TRAINING")</f>
        <v xml:space="preserve">          6376 - TRAINING</v>
      </c>
      <c r="C238" s="11"/>
      <c r="D238" s="7"/>
      <c r="E238" s="2"/>
      <c r="F238" s="6">
        <f t="shared" si="136"/>
        <v>0</v>
      </c>
      <c r="G238" s="2"/>
      <c r="H238" s="7">
        <v>0</v>
      </c>
      <c r="I238" s="2"/>
      <c r="J238" s="6">
        <f t="shared" si="137"/>
        <v>0</v>
      </c>
      <c r="K238" s="2"/>
      <c r="L238" s="7">
        <f t="shared" si="138"/>
        <v>0</v>
      </c>
      <c r="M238" s="2"/>
      <c r="N238" s="6">
        <f t="shared" si="139"/>
        <v>0</v>
      </c>
      <c r="O238" s="11"/>
      <c r="P238" s="7">
        <v>995.63</v>
      </c>
      <c r="Q238" s="2"/>
      <c r="R238" s="6">
        <f t="shared" si="140"/>
        <v>1.2794067292705021E-4</v>
      </c>
      <c r="S238" s="2"/>
      <c r="T238" s="7">
        <v>14470</v>
      </c>
      <c r="U238" s="2"/>
      <c r="V238" s="6">
        <f t="shared" si="141"/>
        <v>1.3171570307876125E-3</v>
      </c>
      <c r="W238" s="2"/>
      <c r="X238" s="7">
        <f t="shared" si="142"/>
        <v>-13474.37</v>
      </c>
      <c r="Y238" s="2"/>
      <c r="Z238" s="6">
        <f t="shared" si="143"/>
        <v>-0.93119350380096755</v>
      </c>
    </row>
    <row r="239" spans="1:26" s="27" customFormat="1" outlineLevel="1" collapsed="1" x14ac:dyDescent="0.25">
      <c r="A239" s="26"/>
      <c r="B239" s="13" t="str">
        <f>CONCATENATE("     ","Travel                                            ")</f>
        <v xml:space="preserve">     Travel                                            </v>
      </c>
      <c r="C239" s="13"/>
      <c r="D239" s="1">
        <f>SUM(OSRRefD22_23x_0)</f>
        <v>0</v>
      </c>
      <c r="E239" s="1"/>
      <c r="F239" s="5">
        <f t="shared" si="136"/>
        <v>0</v>
      </c>
      <c r="G239" s="1"/>
      <c r="H239" s="1">
        <f>SUM(OSRRefH22_23x_0)</f>
        <v>50</v>
      </c>
      <c r="I239" s="1"/>
      <c r="J239" s="5">
        <f t="shared" si="137"/>
        <v>7.2755634196312169E-5</v>
      </c>
      <c r="K239" s="1"/>
      <c r="L239" s="1">
        <f t="shared" si="138"/>
        <v>-50</v>
      </c>
      <c r="M239" s="1"/>
      <c r="N239" s="5">
        <f t="shared" si="139"/>
        <v>-1</v>
      </c>
      <c r="O239" s="13"/>
      <c r="P239" s="1">
        <f>SUM(OSRRefP22_23x_0)</f>
        <v>972.4</v>
      </c>
      <c r="Q239" s="1"/>
      <c r="R239" s="5">
        <f t="shared" si="140"/>
        <v>1.2495556617846351E-4</v>
      </c>
      <c r="S239" s="1"/>
      <c r="T239" s="1">
        <f>SUM(OSRRefT22_23x_0)</f>
        <v>750</v>
      </c>
      <c r="U239" s="1"/>
      <c r="V239" s="5">
        <f t="shared" si="141"/>
        <v>6.8270060337989591E-5</v>
      </c>
      <c r="W239" s="1"/>
      <c r="X239" s="1">
        <f t="shared" si="142"/>
        <v>222.39999999999998</v>
      </c>
      <c r="Y239" s="1"/>
      <c r="Z239" s="5">
        <f t="shared" si="143"/>
        <v>0.29653333333333332</v>
      </c>
    </row>
    <row r="240" spans="1:26" s="24" customFormat="1" hidden="1" outlineLevel="2" x14ac:dyDescent="0.25">
      <c r="A240" s="25"/>
      <c r="B240" s="11" t="str">
        <f>CONCATENATE("          ", "6292", " - ", "TRAVEL/CONFERENCE")</f>
        <v xml:space="preserve">          6292 - TRAVEL/CONFERENCE</v>
      </c>
      <c r="C240" s="11"/>
      <c r="D240" s="7"/>
      <c r="E240" s="2"/>
      <c r="F240" s="6">
        <f t="shared" si="136"/>
        <v>0</v>
      </c>
      <c r="G240" s="2"/>
      <c r="H240" s="7"/>
      <c r="I240" s="2"/>
      <c r="J240" s="6">
        <f t="shared" si="137"/>
        <v>0</v>
      </c>
      <c r="K240" s="2"/>
      <c r="L240" s="7">
        <f t="shared" si="138"/>
        <v>0</v>
      </c>
      <c r="M240" s="2"/>
      <c r="N240" s="6">
        <f t="shared" si="139"/>
        <v>0</v>
      </c>
      <c r="O240" s="11"/>
      <c r="P240" s="7">
        <v>299.16000000000003</v>
      </c>
      <c r="Q240" s="2"/>
      <c r="R240" s="6">
        <f t="shared" si="140"/>
        <v>3.8442726427343838E-5</v>
      </c>
      <c r="S240" s="2"/>
      <c r="T240" s="7">
        <v>0</v>
      </c>
      <c r="U240" s="2"/>
      <c r="V240" s="6">
        <f t="shared" si="141"/>
        <v>0</v>
      </c>
      <c r="W240" s="2"/>
      <c r="X240" s="7">
        <f t="shared" si="142"/>
        <v>299.16000000000003</v>
      </c>
      <c r="Y240" s="2"/>
      <c r="Z240" s="6">
        <f t="shared" si="143"/>
        <v>0</v>
      </c>
    </row>
    <row r="241" spans="1:26" s="24" customFormat="1" hidden="1" outlineLevel="2" x14ac:dyDescent="0.25">
      <c r="A241" s="25"/>
      <c r="B241" s="11" t="str">
        <f>CONCATENATE("          ", "6294", " - ", "TRAVEL OPERATIONAL")</f>
        <v xml:space="preserve">          6294 - TRAVEL OPERATIONAL</v>
      </c>
      <c r="C241" s="11"/>
      <c r="D241" s="7"/>
      <c r="E241" s="2"/>
      <c r="F241" s="6">
        <f t="shared" si="136"/>
        <v>0</v>
      </c>
      <c r="G241" s="2"/>
      <c r="H241" s="7">
        <v>25</v>
      </c>
      <c r="I241" s="2"/>
      <c r="J241" s="6">
        <f t="shared" si="137"/>
        <v>3.6377817098156085E-5</v>
      </c>
      <c r="K241" s="2"/>
      <c r="L241" s="7">
        <f t="shared" si="138"/>
        <v>-25</v>
      </c>
      <c r="M241" s="2"/>
      <c r="N241" s="6">
        <f t="shared" si="139"/>
        <v>-1</v>
      </c>
      <c r="O241" s="11"/>
      <c r="P241" s="7">
        <v>613.35</v>
      </c>
      <c r="Q241" s="2"/>
      <c r="R241" s="6">
        <f t="shared" si="140"/>
        <v>7.8816841336446514E-5</v>
      </c>
      <c r="S241" s="2"/>
      <c r="T241" s="7">
        <v>275</v>
      </c>
      <c r="U241" s="2"/>
      <c r="V241" s="6">
        <f t="shared" si="141"/>
        <v>2.503235545726285E-5</v>
      </c>
      <c r="W241" s="2"/>
      <c r="X241" s="7">
        <f t="shared" si="142"/>
        <v>338.35</v>
      </c>
      <c r="Y241" s="2"/>
      <c r="Z241" s="6">
        <f t="shared" si="143"/>
        <v>1.2303636363636365</v>
      </c>
    </row>
    <row r="242" spans="1:26" s="24" customFormat="1" hidden="1" outlineLevel="2" x14ac:dyDescent="0.25">
      <c r="A242" s="25"/>
      <c r="B242" s="11" t="str">
        <f>CONCATENATE("          ", "6298", " - ", "VEHICLE MILEAGE")</f>
        <v xml:space="preserve">          6298 - VEHICLE MILEAGE</v>
      </c>
      <c r="C242" s="11"/>
      <c r="D242" s="7"/>
      <c r="E242" s="2"/>
      <c r="F242" s="6">
        <f t="shared" si="136"/>
        <v>0</v>
      </c>
      <c r="G242" s="2"/>
      <c r="H242" s="7">
        <v>25</v>
      </c>
      <c r="I242" s="2"/>
      <c r="J242" s="6">
        <f t="shared" si="137"/>
        <v>3.6377817098156085E-5</v>
      </c>
      <c r="K242" s="2"/>
      <c r="L242" s="7">
        <f t="shared" si="138"/>
        <v>-25</v>
      </c>
      <c r="M242" s="2"/>
      <c r="N242" s="6">
        <f t="shared" si="139"/>
        <v>-1</v>
      </c>
      <c r="O242" s="11"/>
      <c r="P242" s="7">
        <v>59.89</v>
      </c>
      <c r="Q242" s="2"/>
      <c r="R242" s="6">
        <f t="shared" si="140"/>
        <v>7.6959984146731583E-6</v>
      </c>
      <c r="S242" s="2"/>
      <c r="T242" s="7">
        <v>475</v>
      </c>
      <c r="U242" s="2"/>
      <c r="V242" s="6">
        <f t="shared" si="141"/>
        <v>4.3237704880726744E-5</v>
      </c>
      <c r="W242" s="2"/>
      <c r="X242" s="7">
        <f t="shared" si="142"/>
        <v>-415.11</v>
      </c>
      <c r="Y242" s="2"/>
      <c r="Z242" s="6">
        <f t="shared" si="143"/>
        <v>-0.8739157894736842</v>
      </c>
    </row>
    <row r="243" spans="1:26" s="27" customFormat="1" outlineLevel="1" collapsed="1" x14ac:dyDescent="0.25">
      <c r="A243" s="26"/>
      <c r="B243" s="13" t="str">
        <f>CONCATENATE("     ","Utilities                                         ")</f>
        <v xml:space="preserve">     Utilities                                         </v>
      </c>
      <c r="C243" s="13"/>
      <c r="D243" s="1">
        <f>SUM(OSRRefD22_24x_0)</f>
        <v>6162.9</v>
      </c>
      <c r="E243" s="1"/>
      <c r="F243" s="5">
        <f t="shared" ref="F243:F244" si="144">IF(D$12=0,0,D243/D$12)</f>
        <v>9.3868955471518769E-3</v>
      </c>
      <c r="G243" s="1"/>
      <c r="H243" s="1">
        <f>SUM(OSRRefH22_24x_0)</f>
        <v>6105</v>
      </c>
      <c r="I243" s="1"/>
      <c r="J243" s="5">
        <f t="shared" ref="J243:J244" si="145">IF(H$12=0,0,H243/H$12)</f>
        <v>8.8834629353697157E-3</v>
      </c>
      <c r="K243" s="1"/>
      <c r="L243" s="1">
        <f t="shared" ref="L243:L244" si="146">+D243-H243</f>
        <v>57.899999999999636</v>
      </c>
      <c r="M243" s="1"/>
      <c r="N243" s="5">
        <f t="shared" ref="N243:N244" si="147">IF(H243=0,0,L243/H243)</f>
        <v>9.4840294840294239E-3</v>
      </c>
      <c r="O243" s="13"/>
      <c r="P243" s="1">
        <f>SUM(OSRRefP22_24x_0)</f>
        <v>64842.45</v>
      </c>
      <c r="Q243" s="1"/>
      <c r="R243" s="5">
        <f t="shared" ref="R243:R244" si="148">IF(P$12=0,0,P243/P$12)</f>
        <v>8.3323992720574971E-3</v>
      </c>
      <c r="S243" s="1"/>
      <c r="T243" s="1">
        <f>SUM(OSRRefT22_24x_0)</f>
        <v>70135</v>
      </c>
      <c r="U243" s="1"/>
      <c r="V243" s="5">
        <f t="shared" ref="V243:V244" si="149">IF(T$12=0,0,T243/T$12)</f>
        <v>6.3841609090732002E-3</v>
      </c>
      <c r="W243" s="1"/>
      <c r="X243" s="1">
        <f t="shared" ref="X243:X244" si="150">+P243-T243</f>
        <v>-5292.5500000000029</v>
      </c>
      <c r="Y243" s="1"/>
      <c r="Z243" s="5">
        <f t="shared" ref="Z243:Z244" si="151">IF(T243=0,0,X243/T243)</f>
        <v>-7.5462322663434847E-2</v>
      </c>
    </row>
    <row r="244" spans="1:26" s="24" customFormat="1" hidden="1" outlineLevel="2" x14ac:dyDescent="0.25">
      <c r="A244" s="25"/>
      <c r="B244" s="11" t="str">
        <f>CONCATENATE("          ", "6274", " - ", "UTILITIES")</f>
        <v xml:space="preserve">          6274 - UTILITIES</v>
      </c>
      <c r="C244" s="11"/>
      <c r="D244" s="7">
        <v>6162.9</v>
      </c>
      <c r="E244" s="2"/>
      <c r="F244" s="6">
        <f t="shared" si="144"/>
        <v>9.3868955471518769E-3</v>
      </c>
      <c r="G244" s="2"/>
      <c r="H244" s="7">
        <v>6105</v>
      </c>
      <c r="I244" s="2"/>
      <c r="J244" s="6">
        <f t="shared" si="145"/>
        <v>8.8834629353697157E-3</v>
      </c>
      <c r="K244" s="2"/>
      <c r="L244" s="7">
        <f t="shared" si="146"/>
        <v>57.899999999999636</v>
      </c>
      <c r="M244" s="2"/>
      <c r="N244" s="6">
        <f t="shared" si="147"/>
        <v>9.4840294840294239E-3</v>
      </c>
      <c r="O244" s="11"/>
      <c r="P244" s="7">
        <v>64842.45</v>
      </c>
      <c r="Q244" s="2"/>
      <c r="R244" s="6">
        <f t="shared" si="148"/>
        <v>8.3323992720574971E-3</v>
      </c>
      <c r="S244" s="2"/>
      <c r="T244" s="7">
        <v>70135</v>
      </c>
      <c r="U244" s="2"/>
      <c r="V244" s="6">
        <f t="shared" si="149"/>
        <v>6.3841609090732002E-3</v>
      </c>
      <c r="W244" s="2"/>
      <c r="X244" s="7">
        <f t="shared" si="150"/>
        <v>-5292.5500000000029</v>
      </c>
      <c r="Y244" s="2"/>
      <c r="Z244" s="6">
        <f t="shared" si="151"/>
        <v>-7.5462322663434847E-2</v>
      </c>
    </row>
    <row r="245" spans="1:26" s="56" customFormat="1" x14ac:dyDescent="0.25">
      <c r="A245" s="36"/>
      <c r="B245" s="36"/>
      <c r="C245" s="36"/>
      <c r="D245" s="1"/>
      <c r="E245" s="1"/>
      <c r="F245" s="5"/>
      <c r="G245" s="1"/>
      <c r="H245" s="1"/>
      <c r="I245" s="1"/>
      <c r="J245" s="5"/>
      <c r="K245" s="1"/>
      <c r="L245" s="1"/>
      <c r="M245" s="1"/>
      <c r="N245" s="5"/>
      <c r="O245" s="36"/>
      <c r="P245" s="1"/>
      <c r="Q245" s="1"/>
      <c r="R245" s="5"/>
      <c r="S245" s="1"/>
      <c r="T245" s="1"/>
      <c r="U245" s="1"/>
      <c r="V245" s="5"/>
      <c r="W245" s="1"/>
      <c r="X245" s="1"/>
      <c r="Y245" s="1"/>
      <c r="Z245" s="5"/>
    </row>
    <row r="246" spans="1:26" s="23" customFormat="1" collapsed="1" x14ac:dyDescent="0.25">
      <c r="A246" s="10"/>
      <c r="B246" s="29" t="s">
        <v>293</v>
      </c>
      <c r="C246" s="10"/>
      <c r="D246" s="4">
        <f>SUM(OSRRefD25x_0)</f>
        <v>60395.18</v>
      </c>
      <c r="E246" s="4"/>
      <c r="F246" s="12">
        <f t="shared" ref="F246:F252" si="152">IF(D$12=0,0,D246/D$12)</f>
        <v>9.198968768135718E-2</v>
      </c>
      <c r="G246" s="4"/>
      <c r="H246" s="4">
        <f>SUM(OSRRefH25x_0)</f>
        <v>40454</v>
      </c>
      <c r="I246" s="4"/>
      <c r="J246" s="12">
        <f t="shared" ref="J246:J252" si="153">IF(H$12=0,0,H246/H$12)</f>
        <v>5.8865128515552242E-2</v>
      </c>
      <c r="K246" s="4"/>
      <c r="L246" s="4">
        <f t="shared" ref="L246:L252" si="154">+D246-H246</f>
        <v>19941.18</v>
      </c>
      <c r="M246" s="4"/>
      <c r="N246" s="12">
        <f t="shared" ref="N246:N252" si="155">IF(H246=0,0,L246/H246)</f>
        <v>0.49293469125426409</v>
      </c>
      <c r="O246" s="10"/>
      <c r="P246" s="4">
        <f>SUM(OSRRefP25x_0)</f>
        <v>1057124.6099999999</v>
      </c>
      <c r="Q246" s="4"/>
      <c r="R246" s="12">
        <f t="shared" ref="R246:R252" si="156">IF(P$12=0,0,P246/P$12)</f>
        <v>0.13584286730125197</v>
      </c>
      <c r="S246" s="4"/>
      <c r="T246" s="4">
        <f>SUM(OSRRefT25x_0)</f>
        <v>927971</v>
      </c>
      <c r="U246" s="4"/>
      <c r="V246" s="12">
        <f t="shared" ref="V246:V252" si="157">IF(T$12=0,0,T246/T$12)</f>
        <v>8.4470181549206061E-2</v>
      </c>
      <c r="W246" s="4"/>
      <c r="X246" s="4">
        <f t="shared" ref="X246:X252" si="158">+P246-T246</f>
        <v>129153.60999999987</v>
      </c>
      <c r="Y246" s="4"/>
      <c r="Z246" s="12">
        <f t="shared" ref="Z246:Z252" si="159">IF(T246=0,0,X246/T246)</f>
        <v>0.13917849803495999</v>
      </c>
    </row>
    <row r="247" spans="1:26" s="24" customFormat="1" hidden="1" outlineLevel="1" x14ac:dyDescent="0.25">
      <c r="A247" s="44"/>
      <c r="B247" s="11" t="str">
        <f>CONCATENATE("          ", "4098", " - ", "TAXABLE SALES-GRAD RENTALS")</f>
        <v xml:space="preserve">          4098 - TAXABLE SALES-GRAD RENTALS</v>
      </c>
      <c r="C247" s="11"/>
      <c r="D247" s="2">
        <f>0</f>
        <v>0</v>
      </c>
      <c r="E247" s="2"/>
      <c r="F247" s="19">
        <f t="shared" si="152"/>
        <v>0</v>
      </c>
      <c r="G247" s="2"/>
      <c r="H247" s="2"/>
      <c r="I247" s="2"/>
      <c r="J247" s="19">
        <f t="shared" si="153"/>
        <v>0</v>
      </c>
      <c r="K247" s="2"/>
      <c r="L247" s="2">
        <f t="shared" si="154"/>
        <v>0</v>
      </c>
      <c r="M247" s="2"/>
      <c r="N247" s="19">
        <f t="shared" si="155"/>
        <v>0</v>
      </c>
      <c r="O247" s="11"/>
      <c r="P247" s="2">
        <f>--49.95</f>
        <v>49.95</v>
      </c>
      <c r="Q247" s="2"/>
      <c r="R247" s="19">
        <f t="shared" si="156"/>
        <v>6.4186862717135464E-6</v>
      </c>
      <c r="S247" s="2"/>
      <c r="T247" s="2"/>
      <c r="U247" s="2"/>
      <c r="V247" s="19">
        <f t="shared" si="157"/>
        <v>0</v>
      </c>
      <c r="W247" s="2"/>
      <c r="X247" s="2">
        <f t="shared" si="158"/>
        <v>49.95</v>
      </c>
      <c r="Y247" s="2"/>
      <c r="Z247" s="19">
        <f t="shared" si="159"/>
        <v>0</v>
      </c>
    </row>
    <row r="248" spans="1:26" s="24" customFormat="1" hidden="1" outlineLevel="1" x14ac:dyDescent="0.25">
      <c r="A248" s="44"/>
      <c r="B248" s="11" t="str">
        <f>CONCATENATE("          ", "4187", " - ", "NON-TAXABLE SALES-COMPUTER REP")</f>
        <v xml:space="preserve">          4187 - NON-TAXABLE SALES-COMPUTER REP</v>
      </c>
      <c r="C248" s="11"/>
      <c r="D248" s="2">
        <f>--264.48</f>
        <v>264.48</v>
      </c>
      <c r="E248" s="2"/>
      <c r="F248" s="19">
        <f t="shared" si="152"/>
        <v>4.0283732241489054E-4</v>
      </c>
      <c r="G248" s="2"/>
      <c r="H248" s="2"/>
      <c r="I248" s="2"/>
      <c r="J248" s="19">
        <f t="shared" si="153"/>
        <v>0</v>
      </c>
      <c r="K248" s="2"/>
      <c r="L248" s="2">
        <f t="shared" si="154"/>
        <v>264.48</v>
      </c>
      <c r="M248" s="2"/>
      <c r="N248" s="19">
        <f t="shared" si="155"/>
        <v>0</v>
      </c>
      <c r="O248" s="11"/>
      <c r="P248" s="2">
        <f>--3580.44</f>
        <v>3580.44</v>
      </c>
      <c r="Q248" s="2"/>
      <c r="R248" s="19">
        <f t="shared" si="156"/>
        <v>4.6009451600989088E-4</v>
      </c>
      <c r="S248" s="2"/>
      <c r="T248" s="2"/>
      <c r="U248" s="2"/>
      <c r="V248" s="19">
        <f t="shared" si="157"/>
        <v>0</v>
      </c>
      <c r="W248" s="2"/>
      <c r="X248" s="2">
        <f t="shared" si="158"/>
        <v>3580.44</v>
      </c>
      <c r="Y248" s="2"/>
      <c r="Z248" s="19">
        <f t="shared" si="159"/>
        <v>0</v>
      </c>
    </row>
    <row r="249" spans="1:26" s="24" customFormat="1" hidden="1" outlineLevel="1" x14ac:dyDescent="0.25">
      <c r="A249" s="44"/>
      <c r="B249" s="11" t="str">
        <f>CONCATENATE("          ", "9150", " - ", "MISC. INCOME")</f>
        <v xml:space="preserve">          9150 - MISC. INCOME</v>
      </c>
      <c r="C249" s="11"/>
      <c r="D249" s="2">
        <f>--56832.63</f>
        <v>56832.63</v>
      </c>
      <c r="E249" s="2"/>
      <c r="F249" s="19">
        <f t="shared" si="152"/>
        <v>8.6563462246658271E-2</v>
      </c>
      <c r="G249" s="2"/>
      <c r="H249" s="2">
        <v>24979</v>
      </c>
      <c r="I249" s="2"/>
      <c r="J249" s="19">
        <f t="shared" si="153"/>
        <v>3.6347259731793632E-2</v>
      </c>
      <c r="K249" s="2"/>
      <c r="L249" s="2">
        <f t="shared" si="154"/>
        <v>31853.629999999997</v>
      </c>
      <c r="M249" s="2"/>
      <c r="N249" s="19">
        <f t="shared" si="155"/>
        <v>1.275216381760679</v>
      </c>
      <c r="O249" s="11"/>
      <c r="P249" s="2">
        <f>--403872.63</f>
        <v>403872.63</v>
      </c>
      <c r="Q249" s="2"/>
      <c r="R249" s="19">
        <f t="shared" si="156"/>
        <v>5.1898532646683572E-2</v>
      </c>
      <c r="S249" s="2"/>
      <c r="T249" s="2">
        <v>241526</v>
      </c>
      <c r="U249" s="2"/>
      <c r="V249" s="19">
        <f t="shared" si="157"/>
        <v>2.1985326124257701E-2</v>
      </c>
      <c r="W249" s="2"/>
      <c r="X249" s="2">
        <f t="shared" si="158"/>
        <v>162346.63</v>
      </c>
      <c r="Y249" s="2"/>
      <c r="Z249" s="19">
        <f t="shared" si="159"/>
        <v>0.67217040815481566</v>
      </c>
    </row>
    <row r="250" spans="1:26" s="24" customFormat="1" hidden="1" outlineLevel="1" x14ac:dyDescent="0.25">
      <c r="A250" s="44"/>
      <c r="B250" s="11" t="str">
        <f>CONCATENATE("          ", "9151", " - ", "MISC. INCOME")</f>
        <v xml:space="preserve">          9151 - MISC. INCOME</v>
      </c>
      <c r="C250" s="11"/>
      <c r="D250" s="2">
        <f>0</f>
        <v>0</v>
      </c>
      <c r="E250" s="2"/>
      <c r="F250" s="19">
        <f t="shared" si="152"/>
        <v>0</v>
      </c>
      <c r="G250" s="2"/>
      <c r="H250" s="2">
        <v>15475</v>
      </c>
      <c r="I250" s="2"/>
      <c r="J250" s="19">
        <f t="shared" si="153"/>
        <v>2.2517868783758613E-2</v>
      </c>
      <c r="K250" s="2"/>
      <c r="L250" s="2">
        <f t="shared" si="154"/>
        <v>-15475</v>
      </c>
      <c r="M250" s="2"/>
      <c r="N250" s="19">
        <f t="shared" si="155"/>
        <v>-1</v>
      </c>
      <c r="O250" s="11"/>
      <c r="P250" s="2">
        <f>--295628.46</f>
        <v>295628.46000000002</v>
      </c>
      <c r="Q250" s="2"/>
      <c r="R250" s="19">
        <f t="shared" si="156"/>
        <v>3.7988915670266611E-2</v>
      </c>
      <c r="S250" s="2"/>
      <c r="T250" s="2">
        <v>686445</v>
      </c>
      <c r="U250" s="2"/>
      <c r="V250" s="19">
        <f t="shared" si="157"/>
        <v>6.2484855424948353E-2</v>
      </c>
      <c r="W250" s="2"/>
      <c r="X250" s="2">
        <f t="shared" si="158"/>
        <v>-390816.54</v>
      </c>
      <c r="Y250" s="2"/>
      <c r="Z250" s="19">
        <f t="shared" si="159"/>
        <v>-0.56933409085942788</v>
      </c>
    </row>
    <row r="251" spans="1:26" s="24" customFormat="1" hidden="1" outlineLevel="1" x14ac:dyDescent="0.25">
      <c r="A251" s="44"/>
      <c r="B251" s="11" t="str">
        <f>CONCATENATE("          ", "9152", " - ", "MISC. INCOME")</f>
        <v xml:space="preserve">          9152 - MISC. INCOME</v>
      </c>
      <c r="C251" s="11"/>
      <c r="D251" s="2">
        <f>--1436.07</f>
        <v>1436.07</v>
      </c>
      <c r="E251" s="2"/>
      <c r="F251" s="19">
        <f t="shared" si="152"/>
        <v>2.1873207562021772E-3</v>
      </c>
      <c r="G251" s="2"/>
      <c r="H251" s="2"/>
      <c r="I251" s="2"/>
      <c r="J251" s="19">
        <f t="shared" si="153"/>
        <v>0</v>
      </c>
      <c r="K251" s="2"/>
      <c r="L251" s="2">
        <f t="shared" si="154"/>
        <v>1436.07</v>
      </c>
      <c r="M251" s="2"/>
      <c r="N251" s="19">
        <f t="shared" si="155"/>
        <v>0</v>
      </c>
      <c r="O251" s="11"/>
      <c r="P251" s="2">
        <f>--5652.57</f>
        <v>5652.57</v>
      </c>
      <c r="Q251" s="2"/>
      <c r="R251" s="19">
        <f t="shared" si="156"/>
        <v>7.2636783701501178E-4</v>
      </c>
      <c r="S251" s="2"/>
      <c r="T251" s="2"/>
      <c r="U251" s="2"/>
      <c r="V251" s="19">
        <f t="shared" si="157"/>
        <v>0</v>
      </c>
      <c r="W251" s="2"/>
      <c r="X251" s="2">
        <f t="shared" si="158"/>
        <v>5652.57</v>
      </c>
      <c r="Y251" s="2"/>
      <c r="Z251" s="19">
        <f t="shared" si="159"/>
        <v>0</v>
      </c>
    </row>
    <row r="252" spans="1:26" s="24" customFormat="1" hidden="1" outlineLevel="1" x14ac:dyDescent="0.25">
      <c r="A252" s="44"/>
      <c r="B252" s="11" t="str">
        <f>CONCATENATE("          ", "9163", " - ", "MISC. INCOME")</f>
        <v xml:space="preserve">          9163 - MISC. INCOME</v>
      </c>
      <c r="C252" s="11"/>
      <c r="D252" s="2">
        <f>--1862</f>
        <v>1862</v>
      </c>
      <c r="E252" s="2"/>
      <c r="F252" s="19">
        <f t="shared" si="152"/>
        <v>2.836067356081844E-3</v>
      </c>
      <c r="G252" s="2"/>
      <c r="H252" s="2"/>
      <c r="I252" s="2"/>
      <c r="J252" s="19">
        <f t="shared" si="153"/>
        <v>0</v>
      </c>
      <c r="K252" s="2"/>
      <c r="L252" s="2">
        <f t="shared" si="154"/>
        <v>1862</v>
      </c>
      <c r="M252" s="2"/>
      <c r="N252" s="19">
        <f t="shared" si="155"/>
        <v>0</v>
      </c>
      <c r="O252" s="11"/>
      <c r="P252" s="2">
        <f>--348340.56</f>
        <v>348340.56</v>
      </c>
      <c r="Q252" s="2"/>
      <c r="R252" s="19">
        <f t="shared" si="156"/>
        <v>4.4762537945005183E-2</v>
      </c>
      <c r="S252" s="2"/>
      <c r="T252" s="2"/>
      <c r="U252" s="2"/>
      <c r="V252" s="19">
        <f t="shared" si="157"/>
        <v>0</v>
      </c>
      <c r="W252" s="2"/>
      <c r="X252" s="2">
        <f t="shared" si="158"/>
        <v>348340.56</v>
      </c>
      <c r="Y252" s="2"/>
      <c r="Z252" s="19">
        <f t="shared" si="159"/>
        <v>0</v>
      </c>
    </row>
    <row r="253" spans="1:26" x14ac:dyDescent="0.25">
      <c r="A253" s="9"/>
      <c r="B253" s="10"/>
      <c r="C253" s="10"/>
      <c r="D253" s="3"/>
      <c r="E253" s="3"/>
      <c r="F253" s="8"/>
      <c r="G253" s="3"/>
      <c r="H253" s="3"/>
      <c r="I253" s="3"/>
      <c r="J253" s="8"/>
      <c r="K253" s="3"/>
      <c r="L253" s="3"/>
      <c r="M253" s="3"/>
      <c r="N253" s="8"/>
      <c r="O253" s="10"/>
      <c r="P253" s="3"/>
      <c r="Q253" s="3"/>
      <c r="R253" s="8"/>
      <c r="S253" s="3"/>
      <c r="T253" s="3"/>
      <c r="U253" s="3"/>
      <c r="V253" s="8"/>
      <c r="W253" s="3"/>
      <c r="X253" s="3"/>
      <c r="Y253" s="3"/>
      <c r="Z253" s="8"/>
    </row>
    <row r="254" spans="1:26" s="23" customFormat="1" x14ac:dyDescent="0.25">
      <c r="A254" s="10"/>
      <c r="B254" s="28" t="s">
        <v>277</v>
      </c>
      <c r="C254" s="28"/>
      <c r="D254" s="20">
        <f>+D145-D147+D246</f>
        <v>167277.21999999971</v>
      </c>
      <c r="E254" s="14"/>
      <c r="F254" s="21">
        <f>IF(D$12=0,0,D254/D$12)</f>
        <v>0.25478488886042971</v>
      </c>
      <c r="G254" s="14"/>
      <c r="H254" s="20">
        <f>+H145-H147+H246</f>
        <v>-19027.906139374652</v>
      </c>
      <c r="I254" s="14"/>
      <c r="J254" s="21">
        <f>IF(H$12=0,0,H254/H$12)</f>
        <v>-2.7687747571962091E-2</v>
      </c>
      <c r="K254" s="15"/>
      <c r="L254" s="20">
        <f>+D254-H254</f>
        <v>186305.12613937436</v>
      </c>
      <c r="M254" s="15"/>
      <c r="N254" s="21">
        <f>IF(H254=0,0,L254/H254)</f>
        <v>-9.7911522568345628</v>
      </c>
      <c r="O254" s="29"/>
      <c r="P254" s="20">
        <f>+P145-P147+P246</f>
        <v>335309.94999999693</v>
      </c>
      <c r="Q254" s="14"/>
      <c r="R254" s="21">
        <f>IF(P$12=0,0,P254/P$12)</f>
        <v>4.3088075532210925E-2</v>
      </c>
      <c r="S254" s="14"/>
      <c r="T254" s="20">
        <f>+T145-T147+T246</f>
        <v>732577.91433556471</v>
      </c>
      <c r="U254" s="14"/>
      <c r="V254" s="21">
        <f>IF(T$12=0,0,T254/T$12)</f>
        <v>6.6684184551956766E-2</v>
      </c>
      <c r="W254" s="15"/>
      <c r="X254" s="20">
        <f>+P254-T254</f>
        <v>-397267.96433556778</v>
      </c>
      <c r="Y254" s="15"/>
      <c r="Z254" s="21">
        <f>IF(T254=0,0,X254/T254)</f>
        <v>-0.54228766191495525</v>
      </c>
    </row>
    <row r="255" spans="1:26" x14ac:dyDescent="0.25">
      <c r="A255" s="9"/>
      <c r="B255" s="10"/>
      <c r="C255" s="9"/>
      <c r="D255" s="3"/>
      <c r="E255" s="3"/>
      <c r="F255" s="8"/>
      <c r="G255" s="3"/>
      <c r="H255" s="3"/>
      <c r="I255" s="3"/>
      <c r="J255" s="8"/>
      <c r="K255" s="3"/>
      <c r="L255" s="3"/>
      <c r="M255" s="3"/>
      <c r="N255" s="8"/>
      <c r="P255" s="3"/>
      <c r="Q255" s="3"/>
      <c r="R255" s="8"/>
      <c r="S255" s="3"/>
      <c r="T255" s="3"/>
      <c r="U255" s="3"/>
      <c r="V255" s="8"/>
      <c r="W255" s="3"/>
      <c r="X255" s="3"/>
      <c r="Y255" s="3"/>
      <c r="Z255" s="8"/>
    </row>
    <row r="256" spans="1:26" s="23" customFormat="1" x14ac:dyDescent="0.25">
      <c r="A256" s="52"/>
      <c r="B256" s="10" t="s">
        <v>128</v>
      </c>
      <c r="C256" s="10"/>
      <c r="D256" s="4">
        <v>172264.93</v>
      </c>
      <c r="E256" s="4"/>
      <c r="F256" s="12">
        <f>IF(D$12=0,0,D256/D$12)</f>
        <v>0.26238181770715568</v>
      </c>
      <c r="G256" s="4"/>
      <c r="H256" s="4">
        <v>161259</v>
      </c>
      <c r="I256" s="4"/>
      <c r="J256" s="12">
        <f>IF(H$12=0,0,H256/H$12)</f>
        <v>0.23465001629726207</v>
      </c>
      <c r="K256" s="4"/>
      <c r="L256" s="4">
        <f>+D256-H256</f>
        <v>11005.929999999993</v>
      </c>
      <c r="M256" s="4"/>
      <c r="N256" s="12">
        <f>IF(H256=0,0,L256/H256)</f>
        <v>6.8250020153913848E-2</v>
      </c>
      <c r="O256" s="10"/>
      <c r="P256" s="4">
        <v>1662932.41</v>
      </c>
      <c r="Q256" s="4"/>
      <c r="R256" s="12">
        <f>IF(P$12=0,0,P256/P$12)</f>
        <v>0.21369051913622666</v>
      </c>
      <c r="S256" s="4"/>
      <c r="T256" s="4">
        <v>2028295</v>
      </c>
      <c r="U256" s="4"/>
      <c r="V256" s="12">
        <f>IF(T$12=0,0,T256/T$12)</f>
        <v>0.18462909604432348</v>
      </c>
      <c r="W256" s="4"/>
      <c r="X256" s="4">
        <f>+P256-T256</f>
        <v>-365362.59000000008</v>
      </c>
      <c r="Y256" s="4"/>
      <c r="Z256" s="12">
        <f>IF(T256=0,0,X256/T256)</f>
        <v>-0.18013286528833333</v>
      </c>
    </row>
    <row r="257" spans="1:26" x14ac:dyDescent="0.25">
      <c r="A257" s="9"/>
      <c r="B257" s="10"/>
      <c r="C257" s="10"/>
      <c r="D257" s="3"/>
      <c r="E257" s="3"/>
      <c r="F257" s="8"/>
      <c r="G257" s="3"/>
      <c r="H257" s="3"/>
      <c r="I257" s="3"/>
      <c r="J257" s="8"/>
      <c r="K257" s="3"/>
      <c r="L257" s="3"/>
      <c r="M257" s="3"/>
      <c r="N257" s="8"/>
      <c r="O257" s="10"/>
      <c r="P257" s="3"/>
      <c r="Q257" s="3"/>
      <c r="R257" s="8"/>
      <c r="S257" s="3"/>
      <c r="T257" s="3"/>
      <c r="U257" s="3"/>
      <c r="V257" s="8"/>
      <c r="W257" s="3"/>
      <c r="X257" s="3"/>
      <c r="Y257" s="3"/>
      <c r="Z257" s="8"/>
    </row>
    <row r="258" spans="1:26" s="23" customFormat="1" ht="15.75" thickBot="1" x14ac:dyDescent="0.3">
      <c r="A258" s="10"/>
      <c r="B258" s="28" t="s">
        <v>126</v>
      </c>
      <c r="C258" s="28"/>
      <c r="D258" s="35">
        <f>+D254-D256</f>
        <v>-4987.7100000002829</v>
      </c>
      <c r="E258" s="14"/>
      <c r="F258" s="34">
        <f>IF(D$12=0,0,D258/D$12)</f>
        <v>-7.5969288467259812E-3</v>
      </c>
      <c r="G258" s="14"/>
      <c r="H258" s="35">
        <f>+H254-H256</f>
        <v>-180286.90613937465</v>
      </c>
      <c r="I258" s="14"/>
      <c r="J258" s="34">
        <f>IF(H$12=0,0,H258/H$12)</f>
        <v>-0.26233776386922414</v>
      </c>
      <c r="K258" s="15"/>
      <c r="L258" s="35">
        <f>D258-H258</f>
        <v>175299.19613937437</v>
      </c>
      <c r="M258" s="15"/>
      <c r="N258" s="34">
        <f>IF(H258=0,0,L258/H258)</f>
        <v>-0.97233459652280885</v>
      </c>
      <c r="O258" s="29"/>
      <c r="P258" s="35">
        <f>+P254-P256</f>
        <v>-1327622.460000003</v>
      </c>
      <c r="Q258" s="14"/>
      <c r="R258" s="34">
        <f>IF(P$12=0,0,P258/P$12)</f>
        <v>-0.17060244360401572</v>
      </c>
      <c r="S258" s="14"/>
      <c r="T258" s="35">
        <f>+T254-T256</f>
        <v>-1295717.0856644353</v>
      </c>
      <c r="U258" s="14"/>
      <c r="V258" s="34">
        <f>IF(T$12=0,0,T258/T$12)</f>
        <v>-0.1179449114923667</v>
      </c>
      <c r="W258" s="15"/>
      <c r="X258" s="35">
        <f>P258-T258</f>
        <v>-31905.3743355677</v>
      </c>
      <c r="Y258" s="15"/>
      <c r="Z258" s="34">
        <f>IF(T258=0,0,X258/T258)</f>
        <v>2.4623719705916227E-2</v>
      </c>
    </row>
    <row r="259" spans="1:26" ht="15.75" thickTop="1" x14ac:dyDescent="0.25">
      <c r="A259" s="9"/>
      <c r="B259" s="9"/>
      <c r="C259" s="9"/>
      <c r="D259" s="3"/>
      <c r="E259" s="3"/>
      <c r="F259" s="8"/>
      <c r="G259" s="3"/>
      <c r="H259" s="3"/>
      <c r="I259" s="3"/>
      <c r="J259" s="8"/>
      <c r="K259" s="3"/>
      <c r="L259" s="3"/>
      <c r="M259" s="3"/>
      <c r="N259" s="8"/>
      <c r="P259" s="3"/>
      <c r="Q259" s="3"/>
      <c r="R259" s="8"/>
      <c r="S259" s="3"/>
      <c r="T259" s="3"/>
      <c r="U259" s="3"/>
      <c r="V259" s="8"/>
      <c r="W259" s="3"/>
      <c r="X259" s="3"/>
      <c r="Y259" s="3"/>
      <c r="Z259" s="8"/>
    </row>
    <row r="260" spans="1:26" x14ac:dyDescent="0.25">
      <c r="A260" s="9"/>
      <c r="B260" s="9"/>
      <c r="C260" s="9"/>
      <c r="D260" s="3"/>
      <c r="E260" s="3"/>
      <c r="F260" s="8"/>
      <c r="G260" s="3"/>
      <c r="H260" s="3"/>
      <c r="I260" s="3"/>
      <c r="J260" s="8"/>
      <c r="K260" s="3"/>
      <c r="L260" s="3"/>
      <c r="M260" s="3"/>
      <c r="N260" s="8"/>
      <c r="P260" s="3"/>
      <c r="Q260" s="3"/>
      <c r="R260" s="8"/>
      <c r="S260" s="3"/>
      <c r="T260" s="3"/>
      <c r="U260" s="3"/>
      <c r="V260" s="8"/>
      <c r="W260" s="3"/>
      <c r="X260" s="3"/>
      <c r="Y260" s="3"/>
      <c r="Z260" s="8"/>
    </row>
    <row r="261" spans="1:26" s="23" customFormat="1" ht="15.75" thickBot="1" x14ac:dyDescent="0.3">
      <c r="A261" s="10"/>
      <c r="B261" s="28" t="s">
        <v>294</v>
      </c>
      <c r="C261" s="28"/>
      <c r="D261" s="33">
        <f>SUM(D258:D260)</f>
        <v>-4987.7100000002829</v>
      </c>
      <c r="E261" s="14"/>
      <c r="F261" s="32">
        <f>IF(D$12=0,0,D261/D$12)</f>
        <v>-7.5969288467259812E-3</v>
      </c>
      <c r="G261" s="14"/>
      <c r="H261" s="33">
        <f>SUM(H258:H260)</f>
        <v>-180286.90613937465</v>
      </c>
      <c r="I261" s="14"/>
      <c r="J261" s="32">
        <f>IF(H$12=0,0,H261/H$12)</f>
        <v>-0.26233776386922414</v>
      </c>
      <c r="K261" s="15"/>
      <c r="L261" s="33">
        <f>+D261-H261</f>
        <v>175299.19613937437</v>
      </c>
      <c r="M261" s="15"/>
      <c r="N261" s="32">
        <f>IF(H261=0,0,L261/H261)</f>
        <v>-0.97233459652280885</v>
      </c>
      <c r="O261" s="29"/>
      <c r="P261" s="33">
        <f>SUM(P258:P260)</f>
        <v>-1327622.460000003</v>
      </c>
      <c r="Q261" s="14"/>
      <c r="R261" s="32">
        <f>IF(P$12=0,0,P261/P$12)</f>
        <v>-0.17060244360401572</v>
      </c>
      <c r="S261" s="14"/>
      <c r="T261" s="33">
        <f>SUM(T258:T260)</f>
        <v>-1295717.0856644353</v>
      </c>
      <c r="U261" s="14"/>
      <c r="V261" s="32">
        <f>IF(T$12=0,0,T261/T$12)</f>
        <v>-0.1179449114923667</v>
      </c>
      <c r="W261" s="15"/>
      <c r="X261" s="33">
        <f>+P261-T261</f>
        <v>-31905.3743355677</v>
      </c>
      <c r="Y261" s="15"/>
      <c r="Z261" s="32">
        <f>IF(T261=0,0,X261/T261)</f>
        <v>2.4623719705916227E-2</v>
      </c>
    </row>
    <row r="262" spans="1:26" ht="15.75" thickTop="1" x14ac:dyDescent="0.25">
      <c r="A262" s="9"/>
      <c r="C262" s="9"/>
      <c r="D262" s="18"/>
      <c r="E262" s="18"/>
      <c r="G262" s="18"/>
      <c r="H262" s="18"/>
      <c r="I262" s="18"/>
      <c r="J262" s="42"/>
      <c r="K262" s="18"/>
      <c r="L262" s="18"/>
      <c r="M262" s="18"/>
      <c r="P262" s="18"/>
      <c r="Q262" s="18"/>
      <c r="R262" s="42"/>
      <c r="S262" s="18"/>
      <c r="T262" s="18"/>
      <c r="U262" s="18"/>
      <c r="V262" s="42"/>
      <c r="W262" s="18"/>
      <c r="X262" s="18"/>
    </row>
    <row r="263" spans="1:26" x14ac:dyDescent="0.25">
      <c r="A263" s="9"/>
      <c r="B263" s="60">
        <v>44356.891825115737</v>
      </c>
      <c r="D263" s="18"/>
      <c r="E263" s="18"/>
      <c r="G263" s="18"/>
      <c r="H263" s="18"/>
      <c r="I263" s="18"/>
      <c r="J263" s="42"/>
      <c r="K263" s="18"/>
      <c r="L263" s="18"/>
      <c r="M263" s="18"/>
      <c r="P263" s="18"/>
      <c r="Q263" s="18"/>
      <c r="R263" s="42"/>
      <c r="S263" s="18"/>
      <c r="T263" s="18"/>
      <c r="U263" s="18"/>
      <c r="V263" s="42"/>
      <c r="W263" s="18"/>
      <c r="X263" s="18"/>
    </row>
    <row r="264" spans="1:26" x14ac:dyDescent="0.25">
      <c r="A264" s="9"/>
      <c r="B264" s="55" t="s">
        <v>56</v>
      </c>
      <c r="D264" s="18"/>
      <c r="E264" s="18"/>
      <c r="G264" s="18"/>
      <c r="H264" s="18"/>
      <c r="I264" s="18"/>
      <c r="J264" s="42"/>
      <c r="K264" s="18"/>
      <c r="L264" s="18"/>
      <c r="M264" s="18"/>
      <c r="P264" s="18"/>
      <c r="Q264" s="18"/>
      <c r="R264" s="42"/>
      <c r="S264" s="18"/>
      <c r="T264" s="18"/>
      <c r="U264" s="18"/>
      <c r="V264" s="42"/>
      <c r="W264" s="18"/>
      <c r="X264" s="18"/>
    </row>
    <row r="265" spans="1:26" x14ac:dyDescent="0.25">
      <c r="A265" s="9"/>
      <c r="B265" s="63"/>
      <c r="D265" s="18"/>
      <c r="E265" s="18"/>
      <c r="G265" s="18"/>
      <c r="H265" s="18"/>
      <c r="I265" s="18"/>
      <c r="J265" s="42"/>
      <c r="K265" s="18"/>
      <c r="L265" s="18"/>
      <c r="M265" s="18"/>
      <c r="P265" s="18"/>
      <c r="Q265" s="18"/>
      <c r="R265" s="42"/>
      <c r="S265" s="18"/>
      <c r="T265" s="18"/>
      <c r="U265" s="18"/>
      <c r="V265" s="42"/>
      <c r="W265" s="18"/>
      <c r="X265" s="18"/>
    </row>
    <row r="266" spans="1:26" x14ac:dyDescent="0.25">
      <c r="D266" s="18"/>
      <c r="E266" s="18"/>
      <c r="G266" s="18"/>
      <c r="H266" s="18"/>
      <c r="I266" s="18"/>
      <c r="J266" s="42"/>
      <c r="K266" s="18"/>
      <c r="L266" s="18"/>
      <c r="M266" s="18"/>
      <c r="P266" s="18"/>
      <c r="Q266" s="18"/>
      <c r="R266" s="42"/>
      <c r="S266" s="18"/>
      <c r="T266" s="18"/>
      <c r="U266" s="18"/>
      <c r="V266" s="42"/>
      <c r="W266" s="18"/>
      <c r="X266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1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","301", " - ", "Bookstore Operations")</f>
        <v>Department 301 - Bookstore Operations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257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0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"5501", " - ", "FREIGHT-IN-NEW TEXT")</f>
        <v xml:space="preserve">          5501 - FREIGHT-IN-NEW TEXT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0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0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0">
        <f>D12-D14</f>
        <v>0</v>
      </c>
      <c r="E17" s="14"/>
      <c r="F17" s="21">
        <f>IF(D$12=0,0,D17/D$12)</f>
        <v>0</v>
      </c>
      <c r="G17" s="14"/>
      <c r="H17" s="20">
        <f>H12-H14</f>
        <v>0</v>
      </c>
      <c r="I17" s="14"/>
      <c r="J17" s="21">
        <f>IF(H$12=0,0,H17/H$12)</f>
        <v>0</v>
      </c>
      <c r="K17" s="15"/>
      <c r="L17" s="20">
        <f>+D17-H17</f>
        <v>0</v>
      </c>
      <c r="M17" s="15"/>
      <c r="N17" s="21">
        <f>IF(H17=0,0,L17/H17)</f>
        <v>0</v>
      </c>
      <c r="O17" s="29"/>
      <c r="P17" s="20">
        <f>P12-P14</f>
        <v>0</v>
      </c>
      <c r="Q17" s="14"/>
      <c r="R17" s="21">
        <f>IF(P$12=0,0,P17/P$12)</f>
        <v>0</v>
      </c>
      <c r="S17" s="14"/>
      <c r="T17" s="20">
        <f>T12-T14</f>
        <v>0</v>
      </c>
      <c r="U17" s="14"/>
      <c r="V17" s="21">
        <f>IF(T$12=0,0,T17/T$12)</f>
        <v>0</v>
      </c>
      <c r="W17" s="15"/>
      <c r="X17" s="20">
        <f>+P17-T17</f>
        <v>0</v>
      </c>
      <c r="Y17" s="15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2">
        <f>SUM(OSRRefD22x_0)</f>
        <v>107231.39999999998</v>
      </c>
      <c r="E19" s="22"/>
      <c r="F19" s="31">
        <f t="shared" ref="F19:F30" si="8">IF(D$12=0,0,D19/D$12)</f>
        <v>0</v>
      </c>
      <c r="G19" s="22"/>
      <c r="H19" s="22">
        <f>SUM(OSRRefH22x_0)</f>
        <v>109520.13711820154</v>
      </c>
      <c r="I19" s="22"/>
      <c r="J19" s="31">
        <f t="shared" ref="J19:J30" si="9">IF(H$12=0,0,H19/H$12)</f>
        <v>0</v>
      </c>
      <c r="K19" s="4"/>
      <c r="L19" s="22">
        <f t="shared" ref="L19:L30" si="10">+D19-H19</f>
        <v>-2288.7371182015631</v>
      </c>
      <c r="M19" s="4"/>
      <c r="N19" s="31">
        <f t="shared" ref="N19:N30" si="11">IF(H19=0,0,L19/H19)</f>
        <v>-2.0897865711502928E-2</v>
      </c>
      <c r="O19" s="10"/>
      <c r="P19" s="22">
        <f>SUM(OSRRefP22x_0)</f>
        <v>1308870.2499999998</v>
      </c>
      <c r="Q19" s="22"/>
      <c r="R19" s="31">
        <f t="shared" ref="R19:R30" si="12">IF(P$12=0,0,P19/P$12)</f>
        <v>0</v>
      </c>
      <c r="S19" s="22"/>
      <c r="T19" s="22">
        <f>SUM(OSRRefT22x_0)</f>
        <v>1553926.2513673084</v>
      </c>
      <c r="U19" s="22"/>
      <c r="V19" s="31">
        <f t="shared" ref="V19:V30" si="13">IF(T$12=0,0,T19/T$12)</f>
        <v>0</v>
      </c>
      <c r="W19" s="4"/>
      <c r="X19" s="22">
        <f t="shared" ref="X19:X30" si="14">+P19-T19</f>
        <v>-245056.00136730867</v>
      </c>
      <c r="Y19" s="4"/>
      <c r="Z19" s="31">
        <f t="shared" ref="Z19:Z30" si="15">IF(T19=0,0,X19/T19)</f>
        <v>-0.15770117864453509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12885.14</v>
      </c>
      <c r="E20" s="1"/>
      <c r="F20" s="5">
        <f t="shared" si="8"/>
        <v>0</v>
      </c>
      <c r="G20" s="1"/>
      <c r="H20" s="1">
        <f>SUM(OSRRefH22_0x_0)</f>
        <v>7717.3689182015396</v>
      </c>
      <c r="I20" s="1"/>
      <c r="J20" s="5">
        <f t="shared" si="9"/>
        <v>0</v>
      </c>
      <c r="K20" s="1"/>
      <c r="L20" s="1">
        <f t="shared" si="10"/>
        <v>5167.7710817984598</v>
      </c>
      <c r="M20" s="1"/>
      <c r="N20" s="5">
        <f t="shared" si="11"/>
        <v>0.66962861780654126</v>
      </c>
      <c r="O20" s="13"/>
      <c r="P20" s="1">
        <f>SUM(OSRRefP22_0x_0)</f>
        <v>111211.62999999999</v>
      </c>
      <c r="Q20" s="1"/>
      <c r="R20" s="5">
        <f t="shared" si="12"/>
        <v>0</v>
      </c>
      <c r="S20" s="1"/>
      <c r="T20" s="1">
        <f>SUM(OSRRefT22_0x_0)</f>
        <v>96664.930267308475</v>
      </c>
      <c r="U20" s="1"/>
      <c r="V20" s="5">
        <f t="shared" si="13"/>
        <v>0</v>
      </c>
      <c r="W20" s="1"/>
      <c r="X20" s="1">
        <f t="shared" si="14"/>
        <v>14546.699732691515</v>
      </c>
      <c r="Y20" s="1"/>
      <c r="Z20" s="5">
        <f t="shared" si="15"/>
        <v>0.15048580382218643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7">
        <v>2204.5</v>
      </c>
      <c r="E21" s="2"/>
      <c r="F21" s="6">
        <f t="shared" si="8"/>
        <v>0</v>
      </c>
      <c r="G21" s="2"/>
      <c r="H21" s="7">
        <v>1621.0965719400001</v>
      </c>
      <c r="I21" s="2"/>
      <c r="J21" s="6">
        <f t="shared" si="9"/>
        <v>0</v>
      </c>
      <c r="K21" s="2"/>
      <c r="L21" s="7">
        <f t="shared" si="10"/>
        <v>583.4034280599999</v>
      </c>
      <c r="M21" s="2"/>
      <c r="N21" s="6">
        <f t="shared" si="11"/>
        <v>0.35988197011719592</v>
      </c>
      <c r="O21" s="11"/>
      <c r="P21" s="7">
        <v>25467.3</v>
      </c>
      <c r="Q21" s="2"/>
      <c r="R21" s="6">
        <f t="shared" si="12"/>
        <v>0</v>
      </c>
      <c r="S21" s="2"/>
      <c r="T21" s="7">
        <v>22542.34611387</v>
      </c>
      <c r="U21" s="2"/>
      <c r="V21" s="6">
        <f t="shared" si="13"/>
        <v>0</v>
      </c>
      <c r="W21" s="2"/>
      <c r="X21" s="7">
        <f t="shared" si="14"/>
        <v>2924.9538861299989</v>
      </c>
      <c r="Y21" s="2"/>
      <c r="Z21" s="6">
        <f t="shared" si="15"/>
        <v>0.12975374751833457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7">
        <v>932.61</v>
      </c>
      <c r="E22" s="2"/>
      <c r="F22" s="6">
        <f t="shared" si="8"/>
        <v>0</v>
      </c>
      <c r="G22" s="2"/>
      <c r="H22" s="7">
        <v>596.551333</v>
      </c>
      <c r="I22" s="2"/>
      <c r="J22" s="6">
        <f t="shared" si="9"/>
        <v>0</v>
      </c>
      <c r="K22" s="2"/>
      <c r="L22" s="7">
        <f t="shared" si="10"/>
        <v>336.05866700000001</v>
      </c>
      <c r="M22" s="2"/>
      <c r="N22" s="6">
        <f t="shared" si="11"/>
        <v>0.56333570710502467</v>
      </c>
      <c r="O22" s="11"/>
      <c r="P22" s="7">
        <v>7806.66</v>
      </c>
      <c r="Q22" s="2"/>
      <c r="R22" s="6">
        <f t="shared" si="12"/>
        <v>0</v>
      </c>
      <c r="S22" s="2"/>
      <c r="T22" s="7">
        <v>9118.8773464999904</v>
      </c>
      <c r="U22" s="2"/>
      <c r="V22" s="6">
        <f t="shared" si="13"/>
        <v>0</v>
      </c>
      <c r="W22" s="2"/>
      <c r="X22" s="7">
        <f t="shared" si="14"/>
        <v>-1312.2173464999905</v>
      </c>
      <c r="Y22" s="2"/>
      <c r="Z22" s="6">
        <f t="shared" si="15"/>
        <v>-0.14390119492106626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7">
        <v>5096.28</v>
      </c>
      <c r="E23" s="2"/>
      <c r="F23" s="6">
        <f t="shared" si="8"/>
        <v>0</v>
      </c>
      <c r="G23" s="2"/>
      <c r="H23" s="7">
        <v>3355.9615384615399</v>
      </c>
      <c r="I23" s="2"/>
      <c r="J23" s="6">
        <f t="shared" si="9"/>
        <v>0</v>
      </c>
      <c r="K23" s="2"/>
      <c r="L23" s="7">
        <f t="shared" si="10"/>
        <v>1740.3184615384598</v>
      </c>
      <c r="M23" s="2"/>
      <c r="N23" s="6">
        <f t="shared" si="11"/>
        <v>0.51857521058965028</v>
      </c>
      <c r="O23" s="11"/>
      <c r="P23" s="7">
        <v>35333.129999999997</v>
      </c>
      <c r="Q23" s="2"/>
      <c r="R23" s="6">
        <f t="shared" si="12"/>
        <v>0</v>
      </c>
      <c r="S23" s="2"/>
      <c r="T23" s="7">
        <v>38194.038461538497</v>
      </c>
      <c r="U23" s="2"/>
      <c r="V23" s="6">
        <f t="shared" si="13"/>
        <v>0</v>
      </c>
      <c r="W23" s="2"/>
      <c r="X23" s="7">
        <f t="shared" si="14"/>
        <v>-2860.9084615385</v>
      </c>
      <c r="Y23" s="2"/>
      <c r="Z23" s="6">
        <f t="shared" si="15"/>
        <v>-7.4904581363383266E-2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7">
        <v>144.46</v>
      </c>
      <c r="E24" s="2"/>
      <c r="F24" s="6">
        <f t="shared" si="8"/>
        <v>0</v>
      </c>
      <c r="G24" s="2"/>
      <c r="H24" s="7">
        <v>83.839646799999997</v>
      </c>
      <c r="I24" s="2"/>
      <c r="J24" s="6">
        <f t="shared" si="9"/>
        <v>0</v>
      </c>
      <c r="K24" s="2"/>
      <c r="L24" s="7">
        <f t="shared" si="10"/>
        <v>60.620353200000011</v>
      </c>
      <c r="M24" s="2"/>
      <c r="N24" s="6">
        <f t="shared" si="11"/>
        <v>0.72305115197598868</v>
      </c>
      <c r="O24" s="11"/>
      <c r="P24" s="7">
        <v>1213.46</v>
      </c>
      <c r="Q24" s="2"/>
      <c r="R24" s="6">
        <f t="shared" si="12"/>
        <v>0</v>
      </c>
      <c r="S24" s="2"/>
      <c r="T24" s="7">
        <v>1281.5719514</v>
      </c>
      <c r="U24" s="2"/>
      <c r="V24" s="6">
        <f t="shared" si="13"/>
        <v>0</v>
      </c>
      <c r="W24" s="2"/>
      <c r="X24" s="7">
        <f t="shared" si="14"/>
        <v>-68.111951399999953</v>
      </c>
      <c r="Y24" s="2"/>
      <c r="Z24" s="6">
        <f t="shared" si="15"/>
        <v>-5.3147192653205215E-2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7">
        <v>1040.94</v>
      </c>
      <c r="E25" s="2"/>
      <c r="F25" s="6">
        <f t="shared" si="8"/>
        <v>0</v>
      </c>
      <c r="G25" s="2"/>
      <c r="H25" s="7">
        <v>750.13482799999997</v>
      </c>
      <c r="I25" s="2"/>
      <c r="J25" s="6">
        <f t="shared" si="9"/>
        <v>0</v>
      </c>
      <c r="K25" s="2"/>
      <c r="L25" s="7">
        <f t="shared" si="10"/>
        <v>290.80517200000008</v>
      </c>
      <c r="M25" s="2"/>
      <c r="N25" s="6">
        <f t="shared" si="11"/>
        <v>0.38767053754235242</v>
      </c>
      <c r="O25" s="11"/>
      <c r="P25" s="7">
        <v>13603.8</v>
      </c>
      <c r="Q25" s="2"/>
      <c r="R25" s="6">
        <f t="shared" si="12"/>
        <v>0</v>
      </c>
      <c r="S25" s="2"/>
      <c r="T25" s="7">
        <v>8882.0523940000003</v>
      </c>
      <c r="U25" s="2"/>
      <c r="V25" s="6">
        <f t="shared" si="13"/>
        <v>0</v>
      </c>
      <c r="W25" s="2"/>
      <c r="X25" s="7">
        <f t="shared" si="14"/>
        <v>4721.747605999999</v>
      </c>
      <c r="Y25" s="2"/>
      <c r="Z25" s="6">
        <f t="shared" si="15"/>
        <v>0.53160546645611229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8"/>
        <v>0</v>
      </c>
      <c r="G26" s="2"/>
      <c r="H26" s="7">
        <v>0</v>
      </c>
      <c r="I26" s="2"/>
      <c r="J26" s="6">
        <f t="shared" si="9"/>
        <v>0</v>
      </c>
      <c r="K26" s="2"/>
      <c r="L26" s="7">
        <f t="shared" si="10"/>
        <v>0</v>
      </c>
      <c r="M26" s="2"/>
      <c r="N26" s="6">
        <f t="shared" si="11"/>
        <v>0</v>
      </c>
      <c r="O26" s="11"/>
      <c r="P26" s="7">
        <v>401.9</v>
      </c>
      <c r="Q26" s="2"/>
      <c r="R26" s="6">
        <f t="shared" si="12"/>
        <v>0</v>
      </c>
      <c r="S26" s="2"/>
      <c r="T26" s="7">
        <v>0</v>
      </c>
      <c r="U26" s="2"/>
      <c r="V26" s="6">
        <f t="shared" si="13"/>
        <v>0</v>
      </c>
      <c r="W26" s="2"/>
      <c r="X26" s="7">
        <f t="shared" si="14"/>
        <v>401.9</v>
      </c>
      <c r="Y26" s="2"/>
      <c r="Z26" s="6">
        <f t="shared" si="15"/>
        <v>0</v>
      </c>
    </row>
    <row r="27" spans="1:26" s="24" customFormat="1" hidden="1" outlineLevel="2" x14ac:dyDescent="0.25">
      <c r="A27" s="25"/>
      <c r="B27" s="11" t="str">
        <f>CONCATENATE("          ", "6117", " - ", "RETIREMENT STAFF HOURLY")</f>
        <v xml:space="preserve">          6117 - RETIREMENT STAFF HOURLY</v>
      </c>
      <c r="C27" s="11"/>
      <c r="D27" s="7">
        <v>231.77</v>
      </c>
      <c r="E27" s="2"/>
      <c r="F27" s="6">
        <f t="shared" si="8"/>
        <v>0</v>
      </c>
      <c r="G27" s="2"/>
      <c r="H27" s="7"/>
      <c r="I27" s="2"/>
      <c r="J27" s="6">
        <f t="shared" si="9"/>
        <v>0</v>
      </c>
      <c r="K27" s="2"/>
      <c r="L27" s="7">
        <f t="shared" si="10"/>
        <v>231.77</v>
      </c>
      <c r="M27" s="2"/>
      <c r="N27" s="6">
        <f t="shared" si="11"/>
        <v>0</v>
      </c>
      <c r="O27" s="11"/>
      <c r="P27" s="7">
        <v>1236.92</v>
      </c>
      <c r="Q27" s="2"/>
      <c r="R27" s="6">
        <f t="shared" si="12"/>
        <v>0</v>
      </c>
      <c r="S27" s="2"/>
      <c r="T27" s="7"/>
      <c r="U27" s="2"/>
      <c r="V27" s="6">
        <f t="shared" si="13"/>
        <v>0</v>
      </c>
      <c r="W27" s="2"/>
      <c r="X27" s="7">
        <f t="shared" si="14"/>
        <v>1236.92</v>
      </c>
      <c r="Y27" s="2"/>
      <c r="Z27" s="6">
        <f t="shared" si="15"/>
        <v>0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7">
        <v>1196.98</v>
      </c>
      <c r="E28" s="2"/>
      <c r="F28" s="6">
        <f t="shared" si="8"/>
        <v>0</v>
      </c>
      <c r="G28" s="2"/>
      <c r="H28" s="7">
        <v>556.12490000000003</v>
      </c>
      <c r="I28" s="2"/>
      <c r="J28" s="6">
        <f t="shared" si="9"/>
        <v>0</v>
      </c>
      <c r="K28" s="2"/>
      <c r="L28" s="7">
        <f t="shared" si="10"/>
        <v>640.85509999999999</v>
      </c>
      <c r="M28" s="2"/>
      <c r="N28" s="6">
        <f t="shared" si="11"/>
        <v>1.1523582202487246</v>
      </c>
      <c r="O28" s="11"/>
      <c r="P28" s="7">
        <v>13398.4</v>
      </c>
      <c r="Q28" s="2"/>
      <c r="R28" s="6">
        <f t="shared" si="12"/>
        <v>0</v>
      </c>
      <c r="S28" s="2"/>
      <c r="T28" s="7">
        <v>6603.9839499999998</v>
      </c>
      <c r="U28" s="2"/>
      <c r="V28" s="6">
        <f t="shared" si="13"/>
        <v>0</v>
      </c>
      <c r="W28" s="2"/>
      <c r="X28" s="7">
        <f t="shared" si="14"/>
        <v>6794.4160499999998</v>
      </c>
      <c r="Y28" s="2"/>
      <c r="Z28" s="6">
        <f t="shared" si="15"/>
        <v>1.0288359422799627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7">
        <v>1695.27</v>
      </c>
      <c r="E29" s="2"/>
      <c r="F29" s="6">
        <f t="shared" si="8"/>
        <v>0</v>
      </c>
      <c r="G29" s="2"/>
      <c r="H29" s="7">
        <v>753.66010000000006</v>
      </c>
      <c r="I29" s="2"/>
      <c r="J29" s="6">
        <f t="shared" si="9"/>
        <v>0</v>
      </c>
      <c r="K29" s="2"/>
      <c r="L29" s="7">
        <f t="shared" si="10"/>
        <v>941.60989999999993</v>
      </c>
      <c r="M29" s="2"/>
      <c r="N29" s="6">
        <f t="shared" si="11"/>
        <v>1.2493827124455705</v>
      </c>
      <c r="O29" s="11"/>
      <c r="P29" s="7">
        <v>10310.33</v>
      </c>
      <c r="Q29" s="2"/>
      <c r="R29" s="6">
        <f t="shared" si="12"/>
        <v>0</v>
      </c>
      <c r="S29" s="2"/>
      <c r="T29" s="7">
        <v>10042.06005</v>
      </c>
      <c r="U29" s="2"/>
      <c r="V29" s="6">
        <f t="shared" si="13"/>
        <v>0</v>
      </c>
      <c r="W29" s="2"/>
      <c r="X29" s="7">
        <f t="shared" si="14"/>
        <v>268.26994999999988</v>
      </c>
      <c r="Y29" s="2"/>
      <c r="Z29" s="6">
        <f t="shared" si="15"/>
        <v>2.6714633119526095E-2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7">
        <v>342.33</v>
      </c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342.33</v>
      </c>
      <c r="M30" s="2"/>
      <c r="N30" s="6">
        <f t="shared" si="11"/>
        <v>0</v>
      </c>
      <c r="O30" s="11"/>
      <c r="P30" s="7">
        <v>2439.73</v>
      </c>
      <c r="Q30" s="2"/>
      <c r="R30" s="6">
        <f t="shared" si="12"/>
        <v>0</v>
      </c>
      <c r="S30" s="2"/>
      <c r="T30" s="7"/>
      <c r="U30" s="2"/>
      <c r="V30" s="6">
        <f t="shared" si="13"/>
        <v>0</v>
      </c>
      <c r="W30" s="2"/>
      <c r="X30" s="7">
        <f t="shared" si="14"/>
        <v>2439.73</v>
      </c>
      <c r="Y30" s="2"/>
      <c r="Z30" s="6">
        <f t="shared" si="15"/>
        <v>0</v>
      </c>
    </row>
    <row r="31" spans="1:26" s="27" customFormat="1" outlineLevel="1" collapsed="1" x14ac:dyDescent="0.25">
      <c r="A31" s="26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36886.210000000006</v>
      </c>
      <c r="E31" s="1"/>
      <c r="F31" s="5">
        <f t="shared" ref="F31:F41" si="16">IF(D$12=0,0,D31/D$12)</f>
        <v>0</v>
      </c>
      <c r="G31" s="1"/>
      <c r="H31" s="1">
        <f>SUM(OSRRefH22_1x_0)</f>
        <v>31173.768200000002</v>
      </c>
      <c r="I31" s="1"/>
      <c r="J31" s="5">
        <f t="shared" ref="J31:J41" si="17">IF(H$12=0,0,H31/H$12)</f>
        <v>0</v>
      </c>
      <c r="K31" s="1"/>
      <c r="L31" s="1">
        <f t="shared" ref="L31:L41" si="18">+D31-H31</f>
        <v>5712.4418000000042</v>
      </c>
      <c r="M31" s="1"/>
      <c r="N31" s="5">
        <f t="shared" ref="N31:N41" si="19">IF(H31=0,0,L31/H31)</f>
        <v>0.18324514904168704</v>
      </c>
      <c r="O31" s="13"/>
      <c r="P31" s="1">
        <f>SUM(OSRRefP22_1x_0)</f>
        <v>451590.59000000008</v>
      </c>
      <c r="Q31" s="1"/>
      <c r="R31" s="5">
        <f t="shared" ref="R31:R41" si="20">IF(P$12=0,0,P31/P$12)</f>
        <v>0</v>
      </c>
      <c r="S31" s="1"/>
      <c r="T31" s="1">
        <f>SUM(OSRRefT22_1x_0)</f>
        <v>480184.3211</v>
      </c>
      <c r="U31" s="1"/>
      <c r="V31" s="5">
        <f t="shared" ref="V31:V41" si="21">IF(T$12=0,0,T31/T$12)</f>
        <v>0</v>
      </c>
      <c r="W31" s="1"/>
      <c r="X31" s="1">
        <f t="shared" ref="X31:X41" si="22">+P31-T31</f>
        <v>-28593.731099999917</v>
      </c>
      <c r="Y31" s="1"/>
      <c r="Z31" s="5">
        <f t="shared" ref="Z31:Z41" si="23">IF(T31=0,0,X31/T31)</f>
        <v>-5.954740678433184E-2</v>
      </c>
    </row>
    <row r="32" spans="1:26" s="24" customFormat="1" hidden="1" outlineLevel="2" x14ac:dyDescent="0.25">
      <c r="A32" s="25"/>
      <c r="B32" s="11" t="str">
        <f>CONCATENATE("          ", "6001", " - ", "ADMINISTRATIVE SALARIES")</f>
        <v xml:space="preserve">          6001 - ADMINISTRATIVE SALARIES</v>
      </c>
      <c r="C32" s="11"/>
      <c r="D32" s="7">
        <v>4205.74</v>
      </c>
      <c r="E32" s="2"/>
      <c r="F32" s="6">
        <f t="shared" si="16"/>
        <v>0</v>
      </c>
      <c r="G32" s="2"/>
      <c r="H32" s="7">
        <v>3807.6923076923099</v>
      </c>
      <c r="I32" s="2"/>
      <c r="J32" s="6">
        <f t="shared" si="17"/>
        <v>0</v>
      </c>
      <c r="K32" s="2"/>
      <c r="L32" s="7">
        <f t="shared" si="18"/>
        <v>398.04769230768989</v>
      </c>
      <c r="M32" s="2"/>
      <c r="N32" s="6">
        <f t="shared" si="19"/>
        <v>0.10453777777777708</v>
      </c>
      <c r="O32" s="11"/>
      <c r="P32" s="7">
        <v>47709.85</v>
      </c>
      <c r="Q32" s="2"/>
      <c r="R32" s="6">
        <f t="shared" si="20"/>
        <v>0</v>
      </c>
      <c r="S32" s="2"/>
      <c r="T32" s="7">
        <v>45692.307692307702</v>
      </c>
      <c r="U32" s="2"/>
      <c r="V32" s="6">
        <f t="shared" si="21"/>
        <v>0</v>
      </c>
      <c r="W32" s="2"/>
      <c r="X32" s="7">
        <f t="shared" si="22"/>
        <v>2017.5423076922962</v>
      </c>
      <c r="Y32" s="2"/>
      <c r="Z32" s="6">
        <f t="shared" si="23"/>
        <v>4.4154966329966065E-2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7">
        <v>9738.48</v>
      </c>
      <c r="E33" s="2"/>
      <c r="F33" s="6">
        <f t="shared" si="16"/>
        <v>0</v>
      </c>
      <c r="G33" s="2"/>
      <c r="H33" s="7">
        <v>4042.5558923076901</v>
      </c>
      <c r="I33" s="2"/>
      <c r="J33" s="6">
        <f t="shared" si="17"/>
        <v>0</v>
      </c>
      <c r="K33" s="2"/>
      <c r="L33" s="7">
        <f t="shared" si="18"/>
        <v>5695.9241076923099</v>
      </c>
      <c r="M33" s="2"/>
      <c r="N33" s="6">
        <f t="shared" si="19"/>
        <v>1.4089908116126988</v>
      </c>
      <c r="O33" s="11"/>
      <c r="P33" s="7">
        <v>104001.57</v>
      </c>
      <c r="Q33" s="2"/>
      <c r="R33" s="6">
        <f t="shared" si="20"/>
        <v>0</v>
      </c>
      <c r="S33" s="2"/>
      <c r="T33" s="7">
        <v>47259.403407692298</v>
      </c>
      <c r="U33" s="2"/>
      <c r="V33" s="6">
        <f t="shared" si="21"/>
        <v>0</v>
      </c>
      <c r="W33" s="2"/>
      <c r="X33" s="7">
        <f t="shared" si="22"/>
        <v>56742.166592307709</v>
      </c>
      <c r="Y33" s="2"/>
      <c r="Z33" s="6">
        <f t="shared" si="23"/>
        <v>1.2006534678995107</v>
      </c>
    </row>
    <row r="34" spans="1:26" s="24" customFormat="1" hidden="1" outlineLevel="2" x14ac:dyDescent="0.25">
      <c r="A34" s="25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6"/>
        <v>0</v>
      </c>
      <c r="G34" s="2"/>
      <c r="H34" s="7">
        <v>0</v>
      </c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/>
      <c r="Q34" s="2"/>
      <c r="R34" s="6">
        <f t="shared" si="20"/>
        <v>0</v>
      </c>
      <c r="S34" s="2"/>
      <c r="T34" s="7">
        <v>0</v>
      </c>
      <c r="U34" s="2"/>
      <c r="V34" s="6">
        <f t="shared" si="21"/>
        <v>0</v>
      </c>
      <c r="W34" s="2"/>
      <c r="X34" s="7">
        <f t="shared" si="22"/>
        <v>0</v>
      </c>
      <c r="Y34" s="2"/>
      <c r="Z34" s="6">
        <f t="shared" si="23"/>
        <v>0</v>
      </c>
    </row>
    <row r="35" spans="1:26" s="24" customFormat="1" hidden="1" outlineLevel="2" x14ac:dyDescent="0.25">
      <c r="A35" s="25"/>
      <c r="B35" s="11" t="str">
        <f>CONCATENATE("          ", "6004", " - ", "STAFF HOURLY")</f>
        <v xml:space="preserve">          6004 - STAFF HOURLY</v>
      </c>
      <c r="C35" s="11"/>
      <c r="D35" s="7">
        <v>2941.32</v>
      </c>
      <c r="E35" s="2"/>
      <c r="F35" s="6">
        <f t="shared" si="16"/>
        <v>0</v>
      </c>
      <c r="G35" s="2"/>
      <c r="H35" s="7">
        <v>12260</v>
      </c>
      <c r="I35" s="2"/>
      <c r="J35" s="6">
        <f t="shared" si="17"/>
        <v>0</v>
      </c>
      <c r="K35" s="2"/>
      <c r="L35" s="7">
        <f t="shared" si="18"/>
        <v>-9318.68</v>
      </c>
      <c r="M35" s="2"/>
      <c r="N35" s="6">
        <f t="shared" si="19"/>
        <v>-0.7600880913539968</v>
      </c>
      <c r="O35" s="11"/>
      <c r="P35" s="7">
        <v>31886.57</v>
      </c>
      <c r="Q35" s="2"/>
      <c r="R35" s="6">
        <f t="shared" si="20"/>
        <v>0</v>
      </c>
      <c r="S35" s="2"/>
      <c r="T35" s="7">
        <v>145950</v>
      </c>
      <c r="U35" s="2"/>
      <c r="V35" s="6">
        <f t="shared" si="21"/>
        <v>0</v>
      </c>
      <c r="W35" s="2"/>
      <c r="X35" s="7">
        <f t="shared" si="22"/>
        <v>-114063.43</v>
      </c>
      <c r="Y35" s="2"/>
      <c r="Z35" s="6">
        <f t="shared" si="23"/>
        <v>-0.78152401507365532</v>
      </c>
    </row>
    <row r="36" spans="1:26" s="24" customFormat="1" hidden="1" outlineLevel="2" x14ac:dyDescent="0.25">
      <c r="A36" s="25"/>
      <c r="B36" s="11" t="str">
        <f>CONCATENATE("          ", "6005", " - ", "TEMPORARY WAGES-HOURLY")</f>
        <v xml:space="preserve">          6005 - TEMPORARY WAGES-HOURLY</v>
      </c>
      <c r="C36" s="11"/>
      <c r="D36" s="7">
        <v>3180.04</v>
      </c>
      <c r="E36" s="2"/>
      <c r="F36" s="6">
        <f t="shared" si="16"/>
        <v>0</v>
      </c>
      <c r="G36" s="2"/>
      <c r="H36" s="7">
        <v>0</v>
      </c>
      <c r="I36" s="2"/>
      <c r="J36" s="6">
        <f t="shared" si="17"/>
        <v>0</v>
      </c>
      <c r="K36" s="2"/>
      <c r="L36" s="7">
        <f t="shared" si="18"/>
        <v>3180.04</v>
      </c>
      <c r="M36" s="2"/>
      <c r="N36" s="6">
        <f t="shared" si="19"/>
        <v>0</v>
      </c>
      <c r="O36" s="11"/>
      <c r="P36" s="7">
        <v>74582.42</v>
      </c>
      <c r="Q36" s="2"/>
      <c r="R36" s="6">
        <f t="shared" si="20"/>
        <v>0</v>
      </c>
      <c r="S36" s="2"/>
      <c r="T36" s="7">
        <v>0</v>
      </c>
      <c r="U36" s="2"/>
      <c r="V36" s="6">
        <f t="shared" si="21"/>
        <v>0</v>
      </c>
      <c r="W36" s="2"/>
      <c r="X36" s="7">
        <f t="shared" si="22"/>
        <v>74582.42</v>
      </c>
      <c r="Y36" s="2"/>
      <c r="Z36" s="6">
        <f t="shared" si="23"/>
        <v>0</v>
      </c>
    </row>
    <row r="37" spans="1:26" s="24" customFormat="1" hidden="1" outlineLevel="2" x14ac:dyDescent="0.25">
      <c r="A37" s="25"/>
      <c r="B37" s="11" t="str">
        <f>CONCATENATE("          ", "6006", " - ", "TEMPORARY PART TIME")</f>
        <v xml:space="preserve">          6006 - TEMPORARY PART TIME</v>
      </c>
      <c r="C37" s="11"/>
      <c r="D37" s="7">
        <v>1043.7</v>
      </c>
      <c r="E37" s="2"/>
      <c r="F37" s="6">
        <f t="shared" si="16"/>
        <v>0</v>
      </c>
      <c r="G37" s="2"/>
      <c r="H37" s="7">
        <v>0</v>
      </c>
      <c r="I37" s="2"/>
      <c r="J37" s="6">
        <f t="shared" si="17"/>
        <v>0</v>
      </c>
      <c r="K37" s="2"/>
      <c r="L37" s="7">
        <f t="shared" si="18"/>
        <v>1043.7</v>
      </c>
      <c r="M37" s="2"/>
      <c r="N37" s="6">
        <f t="shared" si="19"/>
        <v>0</v>
      </c>
      <c r="O37" s="11"/>
      <c r="P37" s="7">
        <v>12510.09</v>
      </c>
      <c r="Q37" s="2"/>
      <c r="R37" s="6">
        <f t="shared" si="20"/>
        <v>0</v>
      </c>
      <c r="S37" s="2"/>
      <c r="T37" s="7">
        <v>0</v>
      </c>
      <c r="U37" s="2"/>
      <c r="V37" s="6">
        <f t="shared" si="21"/>
        <v>0</v>
      </c>
      <c r="W37" s="2"/>
      <c r="X37" s="7">
        <f t="shared" si="22"/>
        <v>12510.09</v>
      </c>
      <c r="Y37" s="2"/>
      <c r="Z37" s="6">
        <f t="shared" si="23"/>
        <v>0</v>
      </c>
    </row>
    <row r="38" spans="1:26" s="24" customFormat="1" hidden="1" outlineLevel="2" x14ac:dyDescent="0.25">
      <c r="A38" s="25"/>
      <c r="B38" s="11" t="str">
        <f>CONCATENATE("          ", "6007", " - ", "STUDENT HOURLY")</f>
        <v xml:space="preserve">          6007 - STUDENT HOURLY</v>
      </c>
      <c r="C38" s="11"/>
      <c r="D38" s="7">
        <v>15776.93</v>
      </c>
      <c r="E38" s="2"/>
      <c r="F38" s="6">
        <f t="shared" si="16"/>
        <v>0</v>
      </c>
      <c r="G38" s="2"/>
      <c r="H38" s="7">
        <v>0</v>
      </c>
      <c r="I38" s="2"/>
      <c r="J38" s="6">
        <f t="shared" si="17"/>
        <v>0</v>
      </c>
      <c r="K38" s="2"/>
      <c r="L38" s="7">
        <f t="shared" si="18"/>
        <v>15776.93</v>
      </c>
      <c r="M38" s="2"/>
      <c r="N38" s="6">
        <f t="shared" si="19"/>
        <v>0</v>
      </c>
      <c r="O38" s="11"/>
      <c r="P38" s="7">
        <v>180900.09</v>
      </c>
      <c r="Q38" s="2"/>
      <c r="R38" s="6">
        <f t="shared" si="20"/>
        <v>0</v>
      </c>
      <c r="S38" s="2"/>
      <c r="T38" s="7">
        <v>42926</v>
      </c>
      <c r="U38" s="2"/>
      <c r="V38" s="6">
        <f t="shared" si="21"/>
        <v>0</v>
      </c>
      <c r="W38" s="2"/>
      <c r="X38" s="7">
        <f t="shared" si="22"/>
        <v>137974.09</v>
      </c>
      <c r="Y38" s="2"/>
      <c r="Z38" s="6">
        <f t="shared" si="23"/>
        <v>3.2142312351488607</v>
      </c>
    </row>
    <row r="39" spans="1:26" s="24" customFormat="1" hidden="1" outlineLevel="2" x14ac:dyDescent="0.25">
      <c r="A39" s="25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16"/>
        <v>0</v>
      </c>
      <c r="G39" s="2"/>
      <c r="H39" s="7">
        <v>11063.52</v>
      </c>
      <c r="I39" s="2"/>
      <c r="J39" s="6">
        <f t="shared" si="17"/>
        <v>0</v>
      </c>
      <c r="K39" s="2"/>
      <c r="L39" s="7">
        <f t="shared" si="18"/>
        <v>-11063.52</v>
      </c>
      <c r="M39" s="2"/>
      <c r="N39" s="6">
        <f t="shared" si="19"/>
        <v>-1</v>
      </c>
      <c r="O39" s="11"/>
      <c r="P39" s="7"/>
      <c r="Q39" s="2"/>
      <c r="R39" s="6">
        <f t="shared" si="20"/>
        <v>0</v>
      </c>
      <c r="S39" s="2"/>
      <c r="T39" s="7">
        <v>198356.61</v>
      </c>
      <c r="U39" s="2"/>
      <c r="V39" s="6">
        <f t="shared" si="21"/>
        <v>0</v>
      </c>
      <c r="W39" s="2"/>
      <c r="X39" s="7">
        <f t="shared" si="22"/>
        <v>-198356.61</v>
      </c>
      <c r="Y39" s="2"/>
      <c r="Z39" s="6">
        <f t="shared" si="23"/>
        <v>-1</v>
      </c>
    </row>
    <row r="40" spans="1:26" s="24" customFormat="1" hidden="1" outlineLevel="2" x14ac:dyDescent="0.25">
      <c r="A40" s="25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6"/>
        <v>0</v>
      </c>
      <c r="G40" s="2"/>
      <c r="H40" s="7">
        <v>0</v>
      </c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0</v>
      </c>
      <c r="U40" s="2"/>
      <c r="V40" s="6">
        <f t="shared" si="21"/>
        <v>0</v>
      </c>
      <c r="W40" s="2"/>
      <c r="X40" s="7">
        <f t="shared" si="22"/>
        <v>0</v>
      </c>
      <c r="Y40" s="2"/>
      <c r="Z40" s="6">
        <f t="shared" si="23"/>
        <v>0</v>
      </c>
    </row>
    <row r="41" spans="1:26" s="24" customFormat="1" hidden="1" outlineLevel="2" x14ac:dyDescent="0.25">
      <c r="A41" s="25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6"/>
        <v>0</v>
      </c>
      <c r="G41" s="2"/>
      <c r="H41" s="7">
        <v>0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/>
      <c r="Q41" s="2"/>
      <c r="R41" s="6">
        <f t="shared" si="20"/>
        <v>0</v>
      </c>
      <c r="S41" s="2"/>
      <c r="T41" s="7">
        <v>0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7" customFormat="1" outlineLevel="1" collapsed="1" x14ac:dyDescent="0.25">
      <c r="A42" s="26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46" si="24">IF(D$12=0,0,D42/D$12)</f>
        <v>0</v>
      </c>
      <c r="G42" s="1"/>
      <c r="H42" s="1">
        <f>SUM(OSRRefH22_2x_0)</f>
        <v>0</v>
      </c>
      <c r="I42" s="1"/>
      <c r="J42" s="5">
        <f t="shared" ref="J42:J46" si="25">IF(H$12=0,0,H42/H$12)</f>
        <v>0</v>
      </c>
      <c r="K42" s="1"/>
      <c r="L42" s="1">
        <f t="shared" ref="L42:L46" si="26">+D42-H42</f>
        <v>0</v>
      </c>
      <c r="M42" s="1"/>
      <c r="N42" s="5">
        <f t="shared" ref="N42:N46" si="27">IF(H42=0,0,L42/H42)</f>
        <v>0</v>
      </c>
      <c r="O42" s="13"/>
      <c r="P42" s="1">
        <f>SUM(OSRRefP22_2x_0)</f>
        <v>525</v>
      </c>
      <c r="Q42" s="1"/>
      <c r="R42" s="5">
        <f t="shared" ref="R42:R46" si="28">IF(P$12=0,0,P42/P$12)</f>
        <v>0</v>
      </c>
      <c r="S42" s="1"/>
      <c r="T42" s="1">
        <f>SUM(OSRRefT22_2x_0)</f>
        <v>0</v>
      </c>
      <c r="U42" s="1"/>
      <c r="V42" s="5">
        <f t="shared" ref="V42:V46" si="29">IF(T$12=0,0,T42/T$12)</f>
        <v>0</v>
      </c>
      <c r="W42" s="1"/>
      <c r="X42" s="1">
        <f t="shared" ref="X42:X46" si="30">+P42-T42</f>
        <v>525</v>
      </c>
      <c r="Y42" s="1"/>
      <c r="Z42" s="5">
        <f t="shared" ref="Z42:Z46" si="31">IF(T42=0,0,X42/T42)</f>
        <v>0</v>
      </c>
    </row>
    <row r="43" spans="1:26" s="24" customFormat="1" hidden="1" outlineLevel="2" x14ac:dyDescent="0.25">
      <c r="A43" s="25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4"/>
        <v>0</v>
      </c>
      <c r="G43" s="2"/>
      <c r="H43" s="7"/>
      <c r="I43" s="2"/>
      <c r="J43" s="6">
        <f t="shared" si="25"/>
        <v>0</v>
      </c>
      <c r="K43" s="2"/>
      <c r="L43" s="7">
        <f t="shared" si="26"/>
        <v>0</v>
      </c>
      <c r="M43" s="2"/>
      <c r="N43" s="6">
        <f t="shared" si="27"/>
        <v>0</v>
      </c>
      <c r="O43" s="11"/>
      <c r="P43" s="7">
        <v>525</v>
      </c>
      <c r="Q43" s="2"/>
      <c r="R43" s="6">
        <f t="shared" si="28"/>
        <v>0</v>
      </c>
      <c r="S43" s="2"/>
      <c r="T43" s="7"/>
      <c r="U43" s="2"/>
      <c r="V43" s="6">
        <f t="shared" si="29"/>
        <v>0</v>
      </c>
      <c r="W43" s="2"/>
      <c r="X43" s="7">
        <f t="shared" si="30"/>
        <v>525</v>
      </c>
      <c r="Y43" s="2"/>
      <c r="Z43" s="6">
        <f t="shared" si="31"/>
        <v>0</v>
      </c>
    </row>
    <row r="44" spans="1:26" s="27" customFormat="1" outlineLevel="1" collapsed="1" x14ac:dyDescent="0.25">
      <c r="A44" s="26"/>
      <c r="B44" s="13" t="str">
        <f>CONCATENATE("     ","Bad Debts/Over/Short                              ")</f>
        <v xml:space="preserve">     Bad Debts/Over/Short                              </v>
      </c>
      <c r="C44" s="13"/>
      <c r="D44" s="1">
        <f>SUM(OSRRefD22_3x_0)</f>
        <v>22.96</v>
      </c>
      <c r="E44" s="1"/>
      <c r="F44" s="5">
        <f t="shared" si="24"/>
        <v>0</v>
      </c>
      <c r="G44" s="1"/>
      <c r="H44" s="1">
        <f>SUM(OSRRefH22_3x_0)</f>
        <v>100</v>
      </c>
      <c r="I44" s="1"/>
      <c r="J44" s="5">
        <f t="shared" si="25"/>
        <v>0</v>
      </c>
      <c r="K44" s="1"/>
      <c r="L44" s="1">
        <f t="shared" si="26"/>
        <v>-77.039999999999992</v>
      </c>
      <c r="M44" s="1"/>
      <c r="N44" s="5">
        <f t="shared" si="27"/>
        <v>-0.77039999999999997</v>
      </c>
      <c r="O44" s="13"/>
      <c r="P44" s="1">
        <f>SUM(OSRRefP22_3x_0)</f>
        <v>5227.66</v>
      </c>
      <c r="Q44" s="1"/>
      <c r="R44" s="5">
        <f t="shared" si="28"/>
        <v>0</v>
      </c>
      <c r="S44" s="1"/>
      <c r="T44" s="1">
        <f>SUM(OSRRefT22_3x_0)</f>
        <v>1100</v>
      </c>
      <c r="U44" s="1"/>
      <c r="V44" s="5">
        <f t="shared" si="29"/>
        <v>0</v>
      </c>
      <c r="W44" s="1"/>
      <c r="X44" s="1">
        <f t="shared" si="30"/>
        <v>4127.66</v>
      </c>
      <c r="Y44" s="1"/>
      <c r="Z44" s="5">
        <f t="shared" si="31"/>
        <v>3.7524181818181819</v>
      </c>
    </row>
    <row r="45" spans="1:26" s="24" customFormat="1" hidden="1" outlineLevel="2" x14ac:dyDescent="0.25">
      <c r="A45" s="25"/>
      <c r="B45" s="11" t="str">
        <f>CONCATENATE("          ", "6272", " - ", "CASH (OVER/SHORT)")</f>
        <v xml:space="preserve">          6272 - CASH (OVER/SHORT)</v>
      </c>
      <c r="C45" s="11"/>
      <c r="D45" s="7">
        <v>22.96</v>
      </c>
      <c r="E45" s="2"/>
      <c r="F45" s="6">
        <f t="shared" si="24"/>
        <v>0</v>
      </c>
      <c r="G45" s="2"/>
      <c r="H45" s="7">
        <v>50</v>
      </c>
      <c r="I45" s="2"/>
      <c r="J45" s="6">
        <f t="shared" si="25"/>
        <v>0</v>
      </c>
      <c r="K45" s="2"/>
      <c r="L45" s="7">
        <f t="shared" si="26"/>
        <v>-27.04</v>
      </c>
      <c r="M45" s="2"/>
      <c r="N45" s="6">
        <f t="shared" si="27"/>
        <v>-0.54079999999999995</v>
      </c>
      <c r="O45" s="11"/>
      <c r="P45" s="7">
        <v>-121.76</v>
      </c>
      <c r="Q45" s="2"/>
      <c r="R45" s="6">
        <f t="shared" si="28"/>
        <v>0</v>
      </c>
      <c r="S45" s="2"/>
      <c r="T45" s="7">
        <v>550</v>
      </c>
      <c r="U45" s="2"/>
      <c r="V45" s="6">
        <f t="shared" si="29"/>
        <v>0</v>
      </c>
      <c r="W45" s="2"/>
      <c r="X45" s="7">
        <f t="shared" si="30"/>
        <v>-671.76</v>
      </c>
      <c r="Y45" s="2"/>
      <c r="Z45" s="6">
        <f t="shared" si="31"/>
        <v>-1.2213818181818181</v>
      </c>
    </row>
    <row r="46" spans="1:26" s="24" customFormat="1" hidden="1" outlineLevel="2" x14ac:dyDescent="0.25">
      <c r="A46" s="25"/>
      <c r="B46" s="11" t="str">
        <f>CONCATENATE("          ", "6342", " - ", "BAD DEBT")</f>
        <v xml:space="preserve">          6342 - BAD DEBT</v>
      </c>
      <c r="C46" s="11"/>
      <c r="D46" s="7"/>
      <c r="E46" s="2"/>
      <c r="F46" s="6">
        <f t="shared" si="24"/>
        <v>0</v>
      </c>
      <c r="G46" s="2"/>
      <c r="H46" s="7">
        <v>50</v>
      </c>
      <c r="I46" s="2"/>
      <c r="J46" s="6">
        <f t="shared" si="25"/>
        <v>0</v>
      </c>
      <c r="K46" s="2"/>
      <c r="L46" s="7">
        <f t="shared" si="26"/>
        <v>-50</v>
      </c>
      <c r="M46" s="2"/>
      <c r="N46" s="6">
        <f t="shared" si="27"/>
        <v>-1</v>
      </c>
      <c r="O46" s="11"/>
      <c r="P46" s="7">
        <v>5349.42</v>
      </c>
      <c r="Q46" s="2"/>
      <c r="R46" s="6">
        <f t="shared" si="28"/>
        <v>0</v>
      </c>
      <c r="S46" s="2"/>
      <c r="T46" s="7">
        <v>550</v>
      </c>
      <c r="U46" s="2"/>
      <c r="V46" s="6">
        <f t="shared" si="29"/>
        <v>0</v>
      </c>
      <c r="W46" s="2"/>
      <c r="X46" s="7">
        <f t="shared" si="30"/>
        <v>4799.42</v>
      </c>
      <c r="Y46" s="2"/>
      <c r="Z46" s="6">
        <f t="shared" si="31"/>
        <v>8.7262181818181812</v>
      </c>
    </row>
    <row r="47" spans="1:26" s="27" customFormat="1" outlineLevel="1" collapsed="1" x14ac:dyDescent="0.25">
      <c r="A47" s="26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SUM(OSRRefD22_4x_0)</f>
        <v>3321.18</v>
      </c>
      <c r="E47" s="1"/>
      <c r="F47" s="5">
        <f t="shared" ref="F47:F51" si="32">IF(D$12=0,0,D47/D$12)</f>
        <v>0</v>
      </c>
      <c r="G47" s="1"/>
      <c r="H47" s="1">
        <f>SUM(OSRRefH22_4x_0)</f>
        <v>8000</v>
      </c>
      <c r="I47" s="1"/>
      <c r="J47" s="5">
        <f t="shared" ref="J47:J51" si="33">IF(H$12=0,0,H47/H$12)</f>
        <v>0</v>
      </c>
      <c r="K47" s="1"/>
      <c r="L47" s="1">
        <f t="shared" ref="L47:L51" si="34">+D47-H47</f>
        <v>-4678.82</v>
      </c>
      <c r="M47" s="1"/>
      <c r="N47" s="5">
        <f t="shared" ref="N47:N51" si="35">IF(H47=0,0,L47/H47)</f>
        <v>-0.5848525</v>
      </c>
      <c r="O47" s="13"/>
      <c r="P47" s="1">
        <f>SUM(OSRRefP22_4x_0)</f>
        <v>74124.69</v>
      </c>
      <c r="Q47" s="1"/>
      <c r="R47" s="5">
        <f t="shared" ref="R47:R51" si="36">IF(P$12=0,0,P47/P$12)</f>
        <v>0</v>
      </c>
      <c r="S47" s="1"/>
      <c r="T47" s="1">
        <f>SUM(OSRRefT22_4x_0)</f>
        <v>179000</v>
      </c>
      <c r="U47" s="1"/>
      <c r="V47" s="5">
        <f t="shared" ref="V47:V51" si="37">IF(T$12=0,0,T47/T$12)</f>
        <v>0</v>
      </c>
      <c r="W47" s="1"/>
      <c r="X47" s="1">
        <f t="shared" ref="X47:X51" si="38">+P47-T47</f>
        <v>-104875.31</v>
      </c>
      <c r="Y47" s="1"/>
      <c r="Z47" s="5">
        <f t="shared" ref="Z47:Z51" si="39">IF(T47=0,0,X47/T47)</f>
        <v>-0.58589558659217877</v>
      </c>
    </row>
    <row r="48" spans="1:26" s="24" customFormat="1" hidden="1" outlineLevel="2" x14ac:dyDescent="0.25">
      <c r="A48" s="25"/>
      <c r="B48" s="11" t="str">
        <f>CONCATENATE("          ", "6381", " - ", "BANK/CREDIT CARD FEES")</f>
        <v xml:space="preserve">          6381 - BANK/CREDIT CARD FEES</v>
      </c>
      <c r="C48" s="11"/>
      <c r="D48" s="7">
        <v>3321.18</v>
      </c>
      <c r="E48" s="2"/>
      <c r="F48" s="6">
        <f t="shared" si="32"/>
        <v>0</v>
      </c>
      <c r="G48" s="2"/>
      <c r="H48" s="7">
        <v>8000</v>
      </c>
      <c r="I48" s="2"/>
      <c r="J48" s="6">
        <f t="shared" si="33"/>
        <v>0</v>
      </c>
      <c r="K48" s="2"/>
      <c r="L48" s="7">
        <f t="shared" si="34"/>
        <v>-4678.82</v>
      </c>
      <c r="M48" s="2"/>
      <c r="N48" s="6">
        <f t="shared" si="35"/>
        <v>-0.5848525</v>
      </c>
      <c r="O48" s="11"/>
      <c r="P48" s="7">
        <v>74124.69</v>
      </c>
      <c r="Q48" s="2"/>
      <c r="R48" s="6">
        <f t="shared" si="36"/>
        <v>0</v>
      </c>
      <c r="S48" s="2"/>
      <c r="T48" s="7">
        <v>179000</v>
      </c>
      <c r="U48" s="2"/>
      <c r="V48" s="6">
        <f t="shared" si="37"/>
        <v>0</v>
      </c>
      <c r="W48" s="2"/>
      <c r="X48" s="7">
        <f t="shared" si="38"/>
        <v>-104875.31</v>
      </c>
      <c r="Y48" s="2"/>
      <c r="Z48" s="6">
        <f t="shared" si="39"/>
        <v>-0.58589558659217877</v>
      </c>
    </row>
    <row r="49" spans="1:26" s="27" customFormat="1" outlineLevel="1" collapsed="1" x14ac:dyDescent="0.25">
      <c r="A49" s="26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30565.97</v>
      </c>
      <c r="E49" s="1"/>
      <c r="F49" s="5">
        <f t="shared" si="32"/>
        <v>0</v>
      </c>
      <c r="G49" s="1"/>
      <c r="H49" s="1">
        <f>SUM(OSRRefH22_5x_0)</f>
        <v>30124</v>
      </c>
      <c r="I49" s="1"/>
      <c r="J49" s="5">
        <f t="shared" si="33"/>
        <v>0</v>
      </c>
      <c r="K49" s="1"/>
      <c r="L49" s="1">
        <f t="shared" si="34"/>
        <v>441.97000000000116</v>
      </c>
      <c r="M49" s="1"/>
      <c r="N49" s="5">
        <f t="shared" si="35"/>
        <v>1.4671690346567559E-2</v>
      </c>
      <c r="O49" s="13"/>
      <c r="P49" s="1">
        <f>SUM(OSRRefP22_5x_0)</f>
        <v>336521.16000000003</v>
      </c>
      <c r="Q49" s="1"/>
      <c r="R49" s="5">
        <f t="shared" si="36"/>
        <v>0</v>
      </c>
      <c r="S49" s="1"/>
      <c r="T49" s="1">
        <f>SUM(OSRRefT22_5x_0)</f>
        <v>332372</v>
      </c>
      <c r="U49" s="1"/>
      <c r="V49" s="5">
        <f t="shared" si="37"/>
        <v>0</v>
      </c>
      <c r="W49" s="1"/>
      <c r="X49" s="1">
        <f t="shared" si="38"/>
        <v>4149.1600000000326</v>
      </c>
      <c r="Y49" s="1"/>
      <c r="Z49" s="5">
        <f t="shared" si="39"/>
        <v>1.248348236313538E-2</v>
      </c>
    </row>
    <row r="50" spans="1:26" s="24" customFormat="1" hidden="1" outlineLevel="2" x14ac:dyDescent="0.25">
      <c r="A50" s="25"/>
      <c r="B50" s="11" t="str">
        <f>CONCATENATE("          ", "6321", " - ", "BUILDING DEPRECIATION")</f>
        <v xml:space="preserve">          6321 - BUILDING DEPRECIATION</v>
      </c>
      <c r="C50" s="11"/>
      <c r="D50" s="7">
        <v>16396.52</v>
      </c>
      <c r="E50" s="2"/>
      <c r="F50" s="6">
        <f t="shared" si="32"/>
        <v>0</v>
      </c>
      <c r="G50" s="2"/>
      <c r="H50" s="7"/>
      <c r="I50" s="2"/>
      <c r="J50" s="6">
        <f t="shared" si="33"/>
        <v>0</v>
      </c>
      <c r="K50" s="2"/>
      <c r="L50" s="7">
        <f t="shared" si="34"/>
        <v>16396.52</v>
      </c>
      <c r="M50" s="2"/>
      <c r="N50" s="6">
        <f t="shared" si="35"/>
        <v>0</v>
      </c>
      <c r="O50" s="11"/>
      <c r="P50" s="7">
        <v>180361.72</v>
      </c>
      <c r="Q50" s="2"/>
      <c r="R50" s="6">
        <f t="shared" si="36"/>
        <v>0</v>
      </c>
      <c r="S50" s="2"/>
      <c r="T50" s="7"/>
      <c r="U50" s="2"/>
      <c r="V50" s="6">
        <f t="shared" si="37"/>
        <v>0</v>
      </c>
      <c r="W50" s="2"/>
      <c r="X50" s="7">
        <f t="shared" si="38"/>
        <v>180361.72</v>
      </c>
      <c r="Y50" s="2"/>
      <c r="Z50" s="6">
        <f t="shared" si="39"/>
        <v>0</v>
      </c>
    </row>
    <row r="51" spans="1:26" s="24" customFormat="1" hidden="1" outlineLevel="2" x14ac:dyDescent="0.25">
      <c r="A51" s="25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14169.45</v>
      </c>
      <c r="E51" s="2"/>
      <c r="F51" s="6">
        <f t="shared" si="32"/>
        <v>0</v>
      </c>
      <c r="G51" s="2"/>
      <c r="H51" s="7">
        <v>30124</v>
      </c>
      <c r="I51" s="2"/>
      <c r="J51" s="6">
        <f t="shared" si="33"/>
        <v>0</v>
      </c>
      <c r="K51" s="2"/>
      <c r="L51" s="7">
        <f t="shared" si="34"/>
        <v>-15954.55</v>
      </c>
      <c r="M51" s="2"/>
      <c r="N51" s="6">
        <f t="shared" si="35"/>
        <v>-0.52962919930952057</v>
      </c>
      <c r="O51" s="11"/>
      <c r="P51" s="7">
        <v>156159.44</v>
      </c>
      <c r="Q51" s="2"/>
      <c r="R51" s="6">
        <f t="shared" si="36"/>
        <v>0</v>
      </c>
      <c r="S51" s="2"/>
      <c r="T51" s="7">
        <v>332372</v>
      </c>
      <c r="U51" s="2"/>
      <c r="V51" s="6">
        <f t="shared" si="37"/>
        <v>0</v>
      </c>
      <c r="W51" s="2"/>
      <c r="X51" s="7">
        <f t="shared" si="38"/>
        <v>-176212.56</v>
      </c>
      <c r="Y51" s="2"/>
      <c r="Z51" s="6">
        <f t="shared" si="39"/>
        <v>-0.53016668070715944</v>
      </c>
    </row>
    <row r="52" spans="1:26" s="27" customFormat="1" outlineLevel="1" collapsed="1" x14ac:dyDescent="0.25">
      <c r="A52" s="26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SUM(OSRRefD22_6x_0)</f>
        <v>0</v>
      </c>
      <c r="E52" s="1"/>
      <c r="F52" s="5">
        <f t="shared" ref="F52:F74" si="40">IF(D$12=0,0,D52/D$12)</f>
        <v>0</v>
      </c>
      <c r="G52" s="1"/>
      <c r="H52" s="1">
        <f>SUM(OSRRefH22_6x_0)</f>
        <v>0</v>
      </c>
      <c r="I52" s="1"/>
      <c r="J52" s="5">
        <f t="shared" ref="J52:J74" si="41">IF(H$12=0,0,H52/H$12)</f>
        <v>0</v>
      </c>
      <c r="K52" s="1"/>
      <c r="L52" s="1">
        <f t="shared" ref="L52:L74" si="42">+D52-H52</f>
        <v>0</v>
      </c>
      <c r="M52" s="1"/>
      <c r="N52" s="5">
        <f t="shared" ref="N52:N74" si="43">IF(H52=0,0,L52/H52)</f>
        <v>0</v>
      </c>
      <c r="O52" s="13"/>
      <c r="P52" s="1">
        <f>SUM(OSRRefP22_6x_0)</f>
        <v>-15.43</v>
      </c>
      <c r="Q52" s="1"/>
      <c r="R52" s="5">
        <f t="shared" ref="R52:R74" si="44">IF(P$12=0,0,P52/P$12)</f>
        <v>0</v>
      </c>
      <c r="S52" s="1"/>
      <c r="T52" s="1">
        <f>SUM(OSRRefT22_6x_0)</f>
        <v>0</v>
      </c>
      <c r="U52" s="1"/>
      <c r="V52" s="5">
        <f t="shared" ref="V52:V74" si="45">IF(T$12=0,0,T52/T$12)</f>
        <v>0</v>
      </c>
      <c r="W52" s="1"/>
      <c r="X52" s="1">
        <f t="shared" ref="X52:X74" si="46">+P52-T52</f>
        <v>-15.43</v>
      </c>
      <c r="Y52" s="1"/>
      <c r="Z52" s="5">
        <f t="shared" ref="Z52:Z74" si="47">IF(T52=0,0,X52/T52)</f>
        <v>0</v>
      </c>
    </row>
    <row r="53" spans="1:26" s="24" customFormat="1" hidden="1" outlineLevel="2" x14ac:dyDescent="0.25">
      <c r="A53" s="25"/>
      <c r="B53" s="11" t="str">
        <f>CONCATENATE("          ", "9175", " - ", "EARNED DISCOUNTS")</f>
        <v xml:space="preserve">          9175 - EARNED DISCOUNTS</v>
      </c>
      <c r="C53" s="11"/>
      <c r="D53" s="7"/>
      <c r="E53" s="2"/>
      <c r="F53" s="6">
        <f t="shared" si="40"/>
        <v>0</v>
      </c>
      <c r="G53" s="2"/>
      <c r="H53" s="7"/>
      <c r="I53" s="2"/>
      <c r="J53" s="6">
        <f t="shared" si="41"/>
        <v>0</v>
      </c>
      <c r="K53" s="2"/>
      <c r="L53" s="7">
        <f t="shared" si="42"/>
        <v>0</v>
      </c>
      <c r="M53" s="2"/>
      <c r="N53" s="6">
        <f t="shared" si="43"/>
        <v>0</v>
      </c>
      <c r="O53" s="11"/>
      <c r="P53" s="7">
        <v>-15.43</v>
      </c>
      <c r="Q53" s="2"/>
      <c r="R53" s="6">
        <f t="shared" si="44"/>
        <v>0</v>
      </c>
      <c r="S53" s="2"/>
      <c r="T53" s="7"/>
      <c r="U53" s="2"/>
      <c r="V53" s="6">
        <f t="shared" si="45"/>
        <v>0</v>
      </c>
      <c r="W53" s="2"/>
      <c r="X53" s="7">
        <f t="shared" si="46"/>
        <v>-15.43</v>
      </c>
      <c r="Y53" s="2"/>
      <c r="Z53" s="6">
        <f t="shared" si="47"/>
        <v>0</v>
      </c>
    </row>
    <row r="54" spans="1:26" s="27" customFormat="1" outlineLevel="1" collapsed="1" x14ac:dyDescent="0.25">
      <c r="A54" s="26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SUM(OSRRefD22_7x_0)</f>
        <v>0</v>
      </c>
      <c r="E54" s="1"/>
      <c r="F54" s="5">
        <f t="shared" si="40"/>
        <v>0</v>
      </c>
      <c r="G54" s="1"/>
      <c r="H54" s="1">
        <f>SUM(OSRRefH22_7x_0)</f>
        <v>1000</v>
      </c>
      <c r="I54" s="1"/>
      <c r="J54" s="5">
        <f t="shared" si="41"/>
        <v>0</v>
      </c>
      <c r="K54" s="1"/>
      <c r="L54" s="1">
        <f t="shared" si="42"/>
        <v>-1000</v>
      </c>
      <c r="M54" s="1"/>
      <c r="N54" s="5">
        <f t="shared" si="43"/>
        <v>-1</v>
      </c>
      <c r="O54" s="13"/>
      <c r="P54" s="1">
        <f>SUM(OSRRefP22_7x_0)</f>
        <v>360.9</v>
      </c>
      <c r="Q54" s="1"/>
      <c r="R54" s="5">
        <f t="shared" si="44"/>
        <v>0</v>
      </c>
      <c r="S54" s="1"/>
      <c r="T54" s="1">
        <f>SUM(OSRRefT22_7x_0)</f>
        <v>11000</v>
      </c>
      <c r="U54" s="1"/>
      <c r="V54" s="5">
        <f t="shared" si="45"/>
        <v>0</v>
      </c>
      <c r="W54" s="1"/>
      <c r="X54" s="1">
        <f t="shared" si="46"/>
        <v>-10639.1</v>
      </c>
      <c r="Y54" s="1"/>
      <c r="Z54" s="5">
        <f t="shared" si="47"/>
        <v>-0.9671909090909091</v>
      </c>
    </row>
    <row r="55" spans="1:26" s="24" customFormat="1" hidden="1" outlineLevel="2" x14ac:dyDescent="0.25">
      <c r="A55" s="25"/>
      <c r="B55" s="11" t="str">
        <f>CONCATENATE("          ", "6399", " - ", "DONATION-ON CAMPUS")</f>
        <v xml:space="preserve">          6399 - DONATION-ON CAMPUS</v>
      </c>
      <c r="C55" s="11"/>
      <c r="D55" s="7"/>
      <c r="E55" s="2"/>
      <c r="F55" s="6">
        <f t="shared" si="40"/>
        <v>0</v>
      </c>
      <c r="G55" s="2"/>
      <c r="H55" s="7">
        <v>1000</v>
      </c>
      <c r="I55" s="2"/>
      <c r="J55" s="6">
        <f t="shared" si="41"/>
        <v>0</v>
      </c>
      <c r="K55" s="2"/>
      <c r="L55" s="7">
        <f t="shared" si="42"/>
        <v>-1000</v>
      </c>
      <c r="M55" s="2"/>
      <c r="N55" s="6">
        <f t="shared" si="43"/>
        <v>-1</v>
      </c>
      <c r="O55" s="11"/>
      <c r="P55" s="7">
        <v>360.9</v>
      </c>
      <c r="Q55" s="2"/>
      <c r="R55" s="6">
        <f t="shared" si="44"/>
        <v>0</v>
      </c>
      <c r="S55" s="2"/>
      <c r="T55" s="7">
        <v>11000</v>
      </c>
      <c r="U55" s="2"/>
      <c r="V55" s="6">
        <f t="shared" si="45"/>
        <v>0</v>
      </c>
      <c r="W55" s="2"/>
      <c r="X55" s="7">
        <f t="shared" si="46"/>
        <v>-10639.1</v>
      </c>
      <c r="Y55" s="2"/>
      <c r="Z55" s="6">
        <f t="shared" si="47"/>
        <v>-0.9671909090909091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SUM(OSRRefD22_8x_0)</f>
        <v>0</v>
      </c>
      <c r="E56" s="1"/>
      <c r="F56" s="5">
        <f t="shared" si="40"/>
        <v>0</v>
      </c>
      <c r="G56" s="1"/>
      <c r="H56" s="1">
        <f>SUM(OSRRefH22_8x_0)</f>
        <v>125</v>
      </c>
      <c r="I56" s="1"/>
      <c r="J56" s="5">
        <f t="shared" si="41"/>
        <v>0</v>
      </c>
      <c r="K56" s="1"/>
      <c r="L56" s="1">
        <f t="shared" si="42"/>
        <v>-125</v>
      </c>
      <c r="M56" s="1"/>
      <c r="N56" s="5">
        <f t="shared" si="43"/>
        <v>-1</v>
      </c>
      <c r="O56" s="13"/>
      <c r="P56" s="1">
        <f>SUM(OSRRefP22_8x_0)</f>
        <v>78.33</v>
      </c>
      <c r="Q56" s="1"/>
      <c r="R56" s="5">
        <f t="shared" si="44"/>
        <v>0</v>
      </c>
      <c r="S56" s="1"/>
      <c r="T56" s="1">
        <f>SUM(OSRRefT22_8x_0)</f>
        <v>1475</v>
      </c>
      <c r="U56" s="1"/>
      <c r="V56" s="5">
        <f t="shared" si="45"/>
        <v>0</v>
      </c>
      <c r="W56" s="1"/>
      <c r="X56" s="1">
        <f t="shared" si="46"/>
        <v>-1396.67</v>
      </c>
      <c r="Y56" s="1"/>
      <c r="Z56" s="5">
        <f t="shared" si="47"/>
        <v>-0.9468949152542373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40"/>
        <v>0</v>
      </c>
      <c r="G57" s="2"/>
      <c r="H57" s="7">
        <v>125</v>
      </c>
      <c r="I57" s="2"/>
      <c r="J57" s="6">
        <f t="shared" si="41"/>
        <v>0</v>
      </c>
      <c r="K57" s="2"/>
      <c r="L57" s="7">
        <f t="shared" si="42"/>
        <v>-125</v>
      </c>
      <c r="M57" s="2"/>
      <c r="N57" s="6">
        <f t="shared" si="43"/>
        <v>-1</v>
      </c>
      <c r="O57" s="11"/>
      <c r="P57" s="7">
        <v>78.33</v>
      </c>
      <c r="Q57" s="2"/>
      <c r="R57" s="6">
        <f t="shared" si="44"/>
        <v>0</v>
      </c>
      <c r="S57" s="2"/>
      <c r="T57" s="7">
        <v>1475</v>
      </c>
      <c r="U57" s="2"/>
      <c r="V57" s="6">
        <f t="shared" si="45"/>
        <v>0</v>
      </c>
      <c r="W57" s="2"/>
      <c r="X57" s="7">
        <f t="shared" si="46"/>
        <v>-1396.67</v>
      </c>
      <c r="Y57" s="2"/>
      <c r="Z57" s="6">
        <f t="shared" si="47"/>
        <v>-0.9468949152542373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SUM(OSRRefD22_9x_0)</f>
        <v>415.15</v>
      </c>
      <c r="E58" s="1"/>
      <c r="F58" s="5">
        <f t="shared" si="40"/>
        <v>0</v>
      </c>
      <c r="G58" s="1"/>
      <c r="H58" s="1">
        <f>SUM(OSRRefH22_9x_0)</f>
        <v>1700</v>
      </c>
      <c r="I58" s="1"/>
      <c r="J58" s="5">
        <f t="shared" si="41"/>
        <v>0</v>
      </c>
      <c r="K58" s="1"/>
      <c r="L58" s="1">
        <f t="shared" si="42"/>
        <v>-1284.8499999999999</v>
      </c>
      <c r="M58" s="1"/>
      <c r="N58" s="5">
        <f t="shared" si="43"/>
        <v>-0.75579411764705873</v>
      </c>
      <c r="O58" s="13"/>
      <c r="P58" s="1">
        <f>SUM(OSRRefP22_9x_0)</f>
        <v>2280.3200000000002</v>
      </c>
      <c r="Q58" s="1"/>
      <c r="R58" s="5">
        <f t="shared" si="44"/>
        <v>0</v>
      </c>
      <c r="S58" s="1"/>
      <c r="T58" s="1">
        <f>SUM(OSRRefT22_9x_0)</f>
        <v>18700</v>
      </c>
      <c r="U58" s="1"/>
      <c r="V58" s="5">
        <f t="shared" si="45"/>
        <v>0</v>
      </c>
      <c r="W58" s="1"/>
      <c r="X58" s="1">
        <f t="shared" si="46"/>
        <v>-16419.68</v>
      </c>
      <c r="Y58" s="1"/>
      <c r="Z58" s="5">
        <f t="shared" si="47"/>
        <v>-0.87805775401069519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7">
        <v>415.15</v>
      </c>
      <c r="E59" s="2"/>
      <c r="F59" s="6">
        <f t="shared" si="40"/>
        <v>0</v>
      </c>
      <c r="G59" s="2"/>
      <c r="H59" s="7">
        <v>1700</v>
      </c>
      <c r="I59" s="2"/>
      <c r="J59" s="6">
        <f t="shared" si="41"/>
        <v>0</v>
      </c>
      <c r="K59" s="2"/>
      <c r="L59" s="7">
        <f t="shared" si="42"/>
        <v>-1284.8499999999999</v>
      </c>
      <c r="M59" s="2"/>
      <c r="N59" s="6">
        <f t="shared" si="43"/>
        <v>-0.75579411764705873</v>
      </c>
      <c r="O59" s="11"/>
      <c r="P59" s="7">
        <v>2280.3200000000002</v>
      </c>
      <c r="Q59" s="2"/>
      <c r="R59" s="6">
        <f t="shared" si="44"/>
        <v>0</v>
      </c>
      <c r="S59" s="2"/>
      <c r="T59" s="7">
        <v>18700</v>
      </c>
      <c r="U59" s="2"/>
      <c r="V59" s="6">
        <f t="shared" si="45"/>
        <v>0</v>
      </c>
      <c r="W59" s="2"/>
      <c r="X59" s="7">
        <f t="shared" si="46"/>
        <v>-16419.68</v>
      </c>
      <c r="Y59" s="2"/>
      <c r="Z59" s="6">
        <f t="shared" si="47"/>
        <v>-0.87805775401069519</v>
      </c>
    </row>
    <row r="60" spans="1:26" s="27" customFormat="1" outlineLevel="1" collapsed="1" x14ac:dyDescent="0.25">
      <c r="A60" s="26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SUM(OSRRefD22_10x_0)</f>
        <v>225.95</v>
      </c>
      <c r="E60" s="1"/>
      <c r="F60" s="5">
        <f t="shared" si="40"/>
        <v>0</v>
      </c>
      <c r="G60" s="1"/>
      <c r="H60" s="1">
        <f>SUM(OSRRefH22_10x_0)</f>
        <v>10</v>
      </c>
      <c r="I60" s="1"/>
      <c r="J60" s="5">
        <f t="shared" si="41"/>
        <v>0</v>
      </c>
      <c r="K60" s="1"/>
      <c r="L60" s="1">
        <f t="shared" si="42"/>
        <v>215.95</v>
      </c>
      <c r="M60" s="1"/>
      <c r="N60" s="5">
        <f t="shared" si="43"/>
        <v>21.594999999999999</v>
      </c>
      <c r="O60" s="13"/>
      <c r="P60" s="1">
        <f>SUM(OSRRefP22_10x_0)</f>
        <v>2276.0100000000002</v>
      </c>
      <c r="Q60" s="1"/>
      <c r="R60" s="5">
        <f t="shared" si="44"/>
        <v>0</v>
      </c>
      <c r="S60" s="1"/>
      <c r="T60" s="1">
        <f>SUM(OSRRefT22_10x_0)</f>
        <v>110</v>
      </c>
      <c r="U60" s="1"/>
      <c r="V60" s="5">
        <f t="shared" si="45"/>
        <v>0</v>
      </c>
      <c r="W60" s="1"/>
      <c r="X60" s="1">
        <f t="shared" si="46"/>
        <v>2166.0100000000002</v>
      </c>
      <c r="Y60" s="1"/>
      <c r="Z60" s="5">
        <f t="shared" si="47"/>
        <v>19.691000000000003</v>
      </c>
    </row>
    <row r="61" spans="1:26" s="24" customFormat="1" hidden="1" outlineLevel="2" x14ac:dyDescent="0.25">
      <c r="A61" s="25"/>
      <c r="B61" s="11" t="str">
        <f>CONCATENATE("          ", "6307", " - ", "POSTAGE")</f>
        <v xml:space="preserve">          6307 - POSTAGE</v>
      </c>
      <c r="C61" s="11"/>
      <c r="D61" s="7">
        <v>225.95</v>
      </c>
      <c r="E61" s="2"/>
      <c r="F61" s="6">
        <f t="shared" si="40"/>
        <v>0</v>
      </c>
      <c r="G61" s="2"/>
      <c r="H61" s="7">
        <v>10</v>
      </c>
      <c r="I61" s="2"/>
      <c r="J61" s="6">
        <f t="shared" si="41"/>
        <v>0</v>
      </c>
      <c r="K61" s="2"/>
      <c r="L61" s="7">
        <f t="shared" si="42"/>
        <v>215.95</v>
      </c>
      <c r="M61" s="2"/>
      <c r="N61" s="6">
        <f t="shared" si="43"/>
        <v>21.594999999999999</v>
      </c>
      <c r="O61" s="11"/>
      <c r="P61" s="7">
        <v>2276.0100000000002</v>
      </c>
      <c r="Q61" s="2"/>
      <c r="R61" s="6">
        <f t="shared" si="44"/>
        <v>0</v>
      </c>
      <c r="S61" s="2"/>
      <c r="T61" s="7">
        <v>110</v>
      </c>
      <c r="U61" s="2"/>
      <c r="V61" s="6">
        <f t="shared" si="45"/>
        <v>0</v>
      </c>
      <c r="W61" s="2"/>
      <c r="X61" s="7">
        <f t="shared" si="46"/>
        <v>2166.0100000000002</v>
      </c>
      <c r="Y61" s="2"/>
      <c r="Z61" s="6">
        <f t="shared" si="47"/>
        <v>19.691000000000003</v>
      </c>
    </row>
    <row r="62" spans="1:26" s="27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SUM(OSRRefD22_11x_0)</f>
        <v>0</v>
      </c>
      <c r="E62" s="1"/>
      <c r="F62" s="5">
        <f t="shared" si="40"/>
        <v>0</v>
      </c>
      <c r="G62" s="1"/>
      <c r="H62" s="1">
        <f>SUM(OSRRefH22_11x_0)</f>
        <v>500</v>
      </c>
      <c r="I62" s="1"/>
      <c r="J62" s="5">
        <f t="shared" si="41"/>
        <v>0</v>
      </c>
      <c r="K62" s="1"/>
      <c r="L62" s="1">
        <f t="shared" si="42"/>
        <v>-500</v>
      </c>
      <c r="M62" s="1"/>
      <c r="N62" s="5">
        <f t="shared" si="43"/>
        <v>-1</v>
      </c>
      <c r="O62" s="13"/>
      <c r="P62" s="1">
        <f>SUM(OSRRefP22_11x_0)</f>
        <v>1386.81</v>
      </c>
      <c r="Q62" s="1"/>
      <c r="R62" s="5">
        <f t="shared" si="44"/>
        <v>0</v>
      </c>
      <c r="S62" s="1"/>
      <c r="T62" s="1">
        <f>SUM(OSRRefT22_11x_0)</f>
        <v>5500</v>
      </c>
      <c r="U62" s="1"/>
      <c r="V62" s="5">
        <f t="shared" si="45"/>
        <v>0</v>
      </c>
      <c r="W62" s="1"/>
      <c r="X62" s="1">
        <f t="shared" si="46"/>
        <v>-4113.1900000000005</v>
      </c>
      <c r="Y62" s="1"/>
      <c r="Z62" s="5">
        <f t="shared" si="47"/>
        <v>-0.74785272727272734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40"/>
        <v>0</v>
      </c>
      <c r="G63" s="2"/>
      <c r="H63" s="7">
        <v>500</v>
      </c>
      <c r="I63" s="2"/>
      <c r="J63" s="6">
        <f t="shared" si="41"/>
        <v>0</v>
      </c>
      <c r="K63" s="2"/>
      <c r="L63" s="7">
        <f t="shared" si="42"/>
        <v>-500</v>
      </c>
      <c r="M63" s="2"/>
      <c r="N63" s="6">
        <f t="shared" si="43"/>
        <v>-1</v>
      </c>
      <c r="O63" s="11"/>
      <c r="P63" s="7">
        <v>1386.81</v>
      </c>
      <c r="Q63" s="2"/>
      <c r="R63" s="6">
        <f t="shared" si="44"/>
        <v>0</v>
      </c>
      <c r="S63" s="2"/>
      <c r="T63" s="7">
        <v>5500</v>
      </c>
      <c r="U63" s="2"/>
      <c r="V63" s="6">
        <f t="shared" si="45"/>
        <v>0</v>
      </c>
      <c r="W63" s="2"/>
      <c r="X63" s="7">
        <f t="shared" si="46"/>
        <v>-4113.1900000000005</v>
      </c>
      <c r="Y63" s="2"/>
      <c r="Z63" s="6">
        <f t="shared" si="47"/>
        <v>-0.74785272727272734</v>
      </c>
    </row>
    <row r="64" spans="1:26" s="27" customFormat="1" outlineLevel="1" collapsed="1" x14ac:dyDescent="0.25">
      <c r="A64" s="26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SUM(OSRRefD22_12x_0)</f>
        <v>3883.56</v>
      </c>
      <c r="E64" s="1"/>
      <c r="F64" s="5">
        <f t="shared" si="40"/>
        <v>0</v>
      </c>
      <c r="G64" s="1"/>
      <c r="H64" s="1">
        <f>SUM(OSRRefH22_12x_0)</f>
        <v>4270</v>
      </c>
      <c r="I64" s="1"/>
      <c r="J64" s="5">
        <f t="shared" si="41"/>
        <v>0</v>
      </c>
      <c r="K64" s="1"/>
      <c r="L64" s="1">
        <f t="shared" si="42"/>
        <v>-386.44000000000005</v>
      </c>
      <c r="M64" s="1"/>
      <c r="N64" s="5">
        <f t="shared" si="43"/>
        <v>-9.0501170960187366E-2</v>
      </c>
      <c r="O64" s="13"/>
      <c r="P64" s="1">
        <f>SUM(OSRRefP22_12x_0)</f>
        <v>42719.16</v>
      </c>
      <c r="Q64" s="1"/>
      <c r="R64" s="5">
        <f t="shared" si="44"/>
        <v>0</v>
      </c>
      <c r="S64" s="1"/>
      <c r="T64" s="1">
        <f>SUM(OSRRefT22_12x_0)</f>
        <v>46970</v>
      </c>
      <c r="U64" s="1"/>
      <c r="V64" s="5">
        <f t="shared" si="45"/>
        <v>0</v>
      </c>
      <c r="W64" s="1"/>
      <c r="X64" s="1">
        <f t="shared" si="46"/>
        <v>-4250.8399999999965</v>
      </c>
      <c r="Y64" s="1"/>
      <c r="Z64" s="5">
        <f t="shared" si="47"/>
        <v>-9.0501170960187283E-2</v>
      </c>
    </row>
    <row r="65" spans="1:26" s="24" customFormat="1" hidden="1" outlineLevel="2" x14ac:dyDescent="0.25">
      <c r="A65" s="25"/>
      <c r="B65" s="11" t="str">
        <f>CONCATENATE("          ", "6314", " - ", "LIABILITY INSURANCE")</f>
        <v xml:space="preserve">          6314 - LIABILITY INSURANCE</v>
      </c>
      <c r="C65" s="11"/>
      <c r="D65" s="7">
        <v>3883.56</v>
      </c>
      <c r="E65" s="2"/>
      <c r="F65" s="6">
        <f t="shared" si="40"/>
        <v>0</v>
      </c>
      <c r="G65" s="2"/>
      <c r="H65" s="7">
        <v>4270</v>
      </c>
      <c r="I65" s="2"/>
      <c r="J65" s="6">
        <f t="shared" si="41"/>
        <v>0</v>
      </c>
      <c r="K65" s="2"/>
      <c r="L65" s="7">
        <f t="shared" si="42"/>
        <v>-386.44000000000005</v>
      </c>
      <c r="M65" s="2"/>
      <c r="N65" s="6">
        <f t="shared" si="43"/>
        <v>-9.0501170960187366E-2</v>
      </c>
      <c r="O65" s="11"/>
      <c r="P65" s="7">
        <v>42719.16</v>
      </c>
      <c r="Q65" s="2"/>
      <c r="R65" s="6">
        <f t="shared" si="44"/>
        <v>0</v>
      </c>
      <c r="S65" s="2"/>
      <c r="T65" s="7">
        <v>46970</v>
      </c>
      <c r="U65" s="2"/>
      <c r="V65" s="6">
        <f t="shared" si="45"/>
        <v>0</v>
      </c>
      <c r="W65" s="2"/>
      <c r="X65" s="7">
        <f t="shared" si="46"/>
        <v>-4250.8399999999965</v>
      </c>
      <c r="Y65" s="2"/>
      <c r="Z65" s="6">
        <f t="shared" si="47"/>
        <v>-9.0501170960187283E-2</v>
      </c>
    </row>
    <row r="66" spans="1:26" s="27" customFormat="1" outlineLevel="1" collapsed="1" x14ac:dyDescent="0.25">
      <c r="A66" s="26"/>
      <c r="B66" s="13" t="str">
        <f>CONCATENATE("     ","Inventory Adjustment                              ")</f>
        <v xml:space="preserve">     Inventory Adjustment                              </v>
      </c>
      <c r="C66" s="13"/>
      <c r="D66" s="1">
        <f>SUM(OSRRefD22_13x_0)</f>
        <v>0</v>
      </c>
      <c r="E66" s="1"/>
      <c r="F66" s="5">
        <f t="shared" si="40"/>
        <v>0</v>
      </c>
      <c r="G66" s="1"/>
      <c r="H66" s="1">
        <f>SUM(OSRRefH22_13x_0)</f>
        <v>1000</v>
      </c>
      <c r="I66" s="1"/>
      <c r="J66" s="5">
        <f t="shared" si="41"/>
        <v>0</v>
      </c>
      <c r="K66" s="1"/>
      <c r="L66" s="1">
        <f t="shared" si="42"/>
        <v>-1000</v>
      </c>
      <c r="M66" s="1"/>
      <c r="N66" s="5">
        <f t="shared" si="43"/>
        <v>-1</v>
      </c>
      <c r="O66" s="13"/>
      <c r="P66" s="1">
        <f>SUM(OSRRefP22_13x_0)</f>
        <v>0</v>
      </c>
      <c r="Q66" s="1"/>
      <c r="R66" s="5">
        <f t="shared" si="44"/>
        <v>0</v>
      </c>
      <c r="S66" s="1"/>
      <c r="T66" s="1">
        <f>SUM(OSRRefT22_13x_0)</f>
        <v>11000</v>
      </c>
      <c r="U66" s="1"/>
      <c r="V66" s="5">
        <f t="shared" si="45"/>
        <v>0</v>
      </c>
      <c r="W66" s="1"/>
      <c r="X66" s="1">
        <f t="shared" si="46"/>
        <v>-11000</v>
      </c>
      <c r="Y66" s="1"/>
      <c r="Z66" s="5">
        <f t="shared" si="47"/>
        <v>-1</v>
      </c>
    </row>
    <row r="67" spans="1:26" s="24" customFormat="1" hidden="1" outlineLevel="2" x14ac:dyDescent="0.25">
      <c r="A67" s="25"/>
      <c r="B67" s="11" t="str">
        <f>CONCATENATE("          ", "6408", " - ", "INVENTORY ADJUSTMENT")</f>
        <v xml:space="preserve">          6408 - INVENTORY ADJUSTMENT</v>
      </c>
      <c r="C67" s="11"/>
      <c r="D67" s="7"/>
      <c r="E67" s="2"/>
      <c r="F67" s="6">
        <f t="shared" si="40"/>
        <v>0</v>
      </c>
      <c r="G67" s="2"/>
      <c r="H67" s="7">
        <v>1000</v>
      </c>
      <c r="I67" s="2"/>
      <c r="J67" s="6">
        <f t="shared" si="41"/>
        <v>0</v>
      </c>
      <c r="K67" s="2"/>
      <c r="L67" s="7">
        <f t="shared" si="42"/>
        <v>-1000</v>
      </c>
      <c r="M67" s="2"/>
      <c r="N67" s="6">
        <f t="shared" si="43"/>
        <v>-1</v>
      </c>
      <c r="O67" s="11"/>
      <c r="P67" s="7"/>
      <c r="Q67" s="2"/>
      <c r="R67" s="6">
        <f t="shared" si="44"/>
        <v>0</v>
      </c>
      <c r="S67" s="2"/>
      <c r="T67" s="7">
        <v>11000</v>
      </c>
      <c r="U67" s="2"/>
      <c r="V67" s="6">
        <f t="shared" si="45"/>
        <v>0</v>
      </c>
      <c r="W67" s="2"/>
      <c r="X67" s="7">
        <f t="shared" si="46"/>
        <v>-11000</v>
      </c>
      <c r="Y67" s="2"/>
      <c r="Z67" s="6">
        <f t="shared" si="47"/>
        <v>-1</v>
      </c>
    </row>
    <row r="68" spans="1:26" s="27" customFormat="1" outlineLevel="1" collapsed="1" x14ac:dyDescent="0.25">
      <c r="A68" s="26"/>
      <c r="B68" s="13" t="str">
        <f>CONCATENATE("     ","Rent                                              ")</f>
        <v xml:space="preserve">     Rent                                              </v>
      </c>
      <c r="C68" s="13"/>
      <c r="D68" s="1">
        <f>SUM(OSRRefD22_14x_0)</f>
        <v>-800</v>
      </c>
      <c r="E68" s="1"/>
      <c r="F68" s="5">
        <f t="shared" si="40"/>
        <v>0</v>
      </c>
      <c r="G68" s="1"/>
      <c r="H68" s="1">
        <f>SUM(OSRRefH22_14x_0)</f>
        <v>-800</v>
      </c>
      <c r="I68" s="1"/>
      <c r="J68" s="5">
        <f t="shared" si="41"/>
        <v>0</v>
      </c>
      <c r="K68" s="1"/>
      <c r="L68" s="1">
        <f t="shared" si="42"/>
        <v>0</v>
      </c>
      <c r="M68" s="1"/>
      <c r="N68" s="5">
        <f t="shared" si="43"/>
        <v>0</v>
      </c>
      <c r="O68" s="13"/>
      <c r="P68" s="1">
        <f>SUM(OSRRefP22_14x_0)</f>
        <v>-8800</v>
      </c>
      <c r="Q68" s="1"/>
      <c r="R68" s="5">
        <f t="shared" si="44"/>
        <v>0</v>
      </c>
      <c r="S68" s="1"/>
      <c r="T68" s="1">
        <f>SUM(OSRRefT22_14x_0)</f>
        <v>-8800</v>
      </c>
      <c r="U68" s="1"/>
      <c r="V68" s="5">
        <f t="shared" si="45"/>
        <v>0</v>
      </c>
      <c r="W68" s="1"/>
      <c r="X68" s="1">
        <f t="shared" si="46"/>
        <v>0</v>
      </c>
      <c r="Y68" s="1"/>
      <c r="Z68" s="5">
        <f t="shared" si="47"/>
        <v>0</v>
      </c>
    </row>
    <row r="69" spans="1:26" s="24" customFormat="1" hidden="1" outlineLevel="2" x14ac:dyDescent="0.25">
      <c r="A69" s="25"/>
      <c r="B69" s="11" t="str">
        <f>CONCATENATE("          ", "6273", " - ", "RENT")</f>
        <v xml:space="preserve">          6273 - RENT</v>
      </c>
      <c r="C69" s="11"/>
      <c r="D69" s="7">
        <v>-800</v>
      </c>
      <c r="E69" s="2"/>
      <c r="F69" s="6">
        <f t="shared" si="40"/>
        <v>0</v>
      </c>
      <c r="G69" s="2"/>
      <c r="H69" s="7">
        <v>-800</v>
      </c>
      <c r="I69" s="2"/>
      <c r="J69" s="6">
        <f t="shared" si="41"/>
        <v>0</v>
      </c>
      <c r="K69" s="2"/>
      <c r="L69" s="7">
        <f t="shared" si="42"/>
        <v>0</v>
      </c>
      <c r="M69" s="2"/>
      <c r="N69" s="6">
        <f t="shared" si="43"/>
        <v>0</v>
      </c>
      <c r="O69" s="11"/>
      <c r="P69" s="7">
        <v>-8800</v>
      </c>
      <c r="Q69" s="2"/>
      <c r="R69" s="6">
        <f t="shared" si="44"/>
        <v>0</v>
      </c>
      <c r="S69" s="2"/>
      <c r="T69" s="7">
        <v>-8800</v>
      </c>
      <c r="U69" s="2"/>
      <c r="V69" s="6">
        <f t="shared" si="45"/>
        <v>0</v>
      </c>
      <c r="W69" s="2"/>
      <c r="X69" s="7">
        <f t="shared" si="46"/>
        <v>0</v>
      </c>
      <c r="Y69" s="2"/>
      <c r="Z69" s="6">
        <f t="shared" si="47"/>
        <v>0</v>
      </c>
    </row>
    <row r="70" spans="1:26" s="27" customFormat="1" outlineLevel="1" collapsed="1" x14ac:dyDescent="0.25">
      <c r="A70" s="26"/>
      <c r="B70" s="13" t="str">
        <f>CONCATENATE("     ","Repair and Maintenance                            ")</f>
        <v xml:space="preserve">     Repair and Maintenance                            </v>
      </c>
      <c r="C70" s="13"/>
      <c r="D70" s="1">
        <f>SUM(OSRRefD22_15x_0)</f>
        <v>5441.37</v>
      </c>
      <c r="E70" s="1"/>
      <c r="F70" s="5">
        <f t="shared" si="40"/>
        <v>0</v>
      </c>
      <c r="G70" s="1"/>
      <c r="H70" s="1">
        <f>SUM(OSRRefH22_15x_0)</f>
        <v>9000</v>
      </c>
      <c r="I70" s="1"/>
      <c r="J70" s="5">
        <f t="shared" si="41"/>
        <v>0</v>
      </c>
      <c r="K70" s="1"/>
      <c r="L70" s="1">
        <f t="shared" si="42"/>
        <v>-3558.63</v>
      </c>
      <c r="M70" s="1"/>
      <c r="N70" s="5">
        <f t="shared" si="43"/>
        <v>-0.39540333333333333</v>
      </c>
      <c r="O70" s="13"/>
      <c r="P70" s="1">
        <f>SUM(OSRRefP22_15x_0)</f>
        <v>106229.47</v>
      </c>
      <c r="Q70" s="1"/>
      <c r="R70" s="5">
        <f t="shared" si="44"/>
        <v>0</v>
      </c>
      <c r="S70" s="1"/>
      <c r="T70" s="1">
        <f>SUM(OSRRefT22_15x_0)</f>
        <v>144000</v>
      </c>
      <c r="U70" s="1"/>
      <c r="V70" s="5">
        <f t="shared" si="45"/>
        <v>0</v>
      </c>
      <c r="W70" s="1"/>
      <c r="X70" s="1">
        <f t="shared" si="46"/>
        <v>-37770.53</v>
      </c>
      <c r="Y70" s="1"/>
      <c r="Z70" s="5">
        <f t="shared" si="47"/>
        <v>-0.2622953472222222</v>
      </c>
    </row>
    <row r="71" spans="1:26" s="24" customFormat="1" hidden="1" outlineLevel="2" x14ac:dyDescent="0.25">
      <c r="A71" s="25"/>
      <c r="B71" s="11" t="str">
        <f>CONCATENATE("          ", "6371", " - ", "COMPUTER SOFTWARE MAINTENANCE")</f>
        <v xml:space="preserve">          6371 - COMPUTER SOFTWARE MAINTENANCE</v>
      </c>
      <c r="C71" s="11"/>
      <c r="D71" s="7"/>
      <c r="E71" s="2"/>
      <c r="F71" s="6">
        <f t="shared" si="40"/>
        <v>0</v>
      </c>
      <c r="G71" s="2"/>
      <c r="H71" s="7"/>
      <c r="I71" s="2"/>
      <c r="J71" s="6">
        <f t="shared" si="41"/>
        <v>0</v>
      </c>
      <c r="K71" s="2"/>
      <c r="L71" s="7">
        <f t="shared" si="42"/>
        <v>0</v>
      </c>
      <c r="M71" s="2"/>
      <c r="N71" s="6">
        <f t="shared" si="43"/>
        <v>0</v>
      </c>
      <c r="O71" s="11"/>
      <c r="P71" s="7">
        <v>59760.03</v>
      </c>
      <c r="Q71" s="2"/>
      <c r="R71" s="6">
        <f t="shared" si="44"/>
        <v>0</v>
      </c>
      <c r="S71" s="2"/>
      <c r="T71" s="7">
        <v>45000</v>
      </c>
      <c r="U71" s="2"/>
      <c r="V71" s="6">
        <f t="shared" si="45"/>
        <v>0</v>
      </c>
      <c r="W71" s="2"/>
      <c r="X71" s="7">
        <f t="shared" si="46"/>
        <v>14760.029999999999</v>
      </c>
      <c r="Y71" s="2"/>
      <c r="Z71" s="6">
        <f t="shared" si="47"/>
        <v>0.32800066666666666</v>
      </c>
    </row>
    <row r="72" spans="1:26" s="24" customFormat="1" hidden="1" outlineLevel="2" x14ac:dyDescent="0.25">
      <c r="A72" s="25"/>
      <c r="B72" s="11" t="str">
        <f>CONCATENATE("          ", "6372", " - ", "COMPUTER HARDWARE MAINTENANCE")</f>
        <v xml:space="preserve">          6372 - COMPUTER HARDWARE MAINTENANCE</v>
      </c>
      <c r="C72" s="11"/>
      <c r="D72" s="7"/>
      <c r="E72" s="2"/>
      <c r="F72" s="6">
        <f t="shared" si="40"/>
        <v>0</v>
      </c>
      <c r="G72" s="2"/>
      <c r="H72" s="7"/>
      <c r="I72" s="2"/>
      <c r="J72" s="6">
        <f t="shared" si="41"/>
        <v>0</v>
      </c>
      <c r="K72" s="2"/>
      <c r="L72" s="7">
        <f t="shared" si="42"/>
        <v>0</v>
      </c>
      <c r="M72" s="2"/>
      <c r="N72" s="6">
        <f t="shared" si="43"/>
        <v>0</v>
      </c>
      <c r="O72" s="11"/>
      <c r="P72" s="7">
        <v>-0.63</v>
      </c>
      <c r="Q72" s="2"/>
      <c r="R72" s="6">
        <f t="shared" si="44"/>
        <v>0</v>
      </c>
      <c r="S72" s="2"/>
      <c r="T72" s="7"/>
      <c r="U72" s="2"/>
      <c r="V72" s="6">
        <f t="shared" si="45"/>
        <v>0</v>
      </c>
      <c r="W72" s="2"/>
      <c r="X72" s="7">
        <f t="shared" si="46"/>
        <v>-0.63</v>
      </c>
      <c r="Y72" s="2"/>
      <c r="Z72" s="6">
        <f t="shared" si="47"/>
        <v>0</v>
      </c>
    </row>
    <row r="73" spans="1:26" s="24" customFormat="1" hidden="1" outlineLevel="2" x14ac:dyDescent="0.25">
      <c r="A73" s="25"/>
      <c r="B73" s="11" t="str">
        <f>CONCATENATE("          ", "6373", " - ", "MAINTENANCE CONTRACTS")</f>
        <v xml:space="preserve">          6373 - MAINTENANCE CONTRACTS</v>
      </c>
      <c r="C73" s="11"/>
      <c r="D73" s="7">
        <v>2901.77</v>
      </c>
      <c r="E73" s="2"/>
      <c r="F73" s="6">
        <f t="shared" si="40"/>
        <v>0</v>
      </c>
      <c r="G73" s="2"/>
      <c r="H73" s="7">
        <v>1000</v>
      </c>
      <c r="I73" s="2"/>
      <c r="J73" s="6">
        <f t="shared" si="41"/>
        <v>0</v>
      </c>
      <c r="K73" s="2"/>
      <c r="L73" s="7">
        <f t="shared" si="42"/>
        <v>1901.77</v>
      </c>
      <c r="M73" s="2"/>
      <c r="N73" s="6">
        <f t="shared" si="43"/>
        <v>1.90177</v>
      </c>
      <c r="O73" s="11"/>
      <c r="P73" s="7">
        <v>17327.599999999999</v>
      </c>
      <c r="Q73" s="2"/>
      <c r="R73" s="6">
        <f t="shared" si="44"/>
        <v>0</v>
      </c>
      <c r="S73" s="2"/>
      <c r="T73" s="7">
        <v>11000</v>
      </c>
      <c r="U73" s="2"/>
      <c r="V73" s="6">
        <f t="shared" si="45"/>
        <v>0</v>
      </c>
      <c r="W73" s="2"/>
      <c r="X73" s="7">
        <f t="shared" si="46"/>
        <v>6327.5999999999985</v>
      </c>
      <c r="Y73" s="2"/>
      <c r="Z73" s="6">
        <f t="shared" si="47"/>
        <v>0.57523636363636355</v>
      </c>
    </row>
    <row r="74" spans="1:26" s="24" customFormat="1" hidden="1" outlineLevel="2" x14ac:dyDescent="0.25">
      <c r="A74" s="25"/>
      <c r="B74" s="11" t="str">
        <f>CONCATENATE("          ", "6375", " - ", "OUTSIDE REPAIRS &amp; MAINTENANCE")</f>
        <v xml:space="preserve">          6375 - OUTSIDE REPAIRS &amp; MAINTENANCE</v>
      </c>
      <c r="C74" s="11"/>
      <c r="D74" s="7">
        <v>2539.6</v>
      </c>
      <c r="E74" s="2"/>
      <c r="F74" s="6">
        <f t="shared" si="40"/>
        <v>0</v>
      </c>
      <c r="G74" s="2"/>
      <c r="H74" s="7">
        <v>8000</v>
      </c>
      <c r="I74" s="2"/>
      <c r="J74" s="6">
        <f t="shared" si="41"/>
        <v>0</v>
      </c>
      <c r="K74" s="2"/>
      <c r="L74" s="7">
        <f t="shared" si="42"/>
        <v>-5460.4</v>
      </c>
      <c r="M74" s="2"/>
      <c r="N74" s="6">
        <f t="shared" si="43"/>
        <v>-0.68254999999999999</v>
      </c>
      <c r="O74" s="11"/>
      <c r="P74" s="7">
        <v>29142.47</v>
      </c>
      <c r="Q74" s="2"/>
      <c r="R74" s="6">
        <f t="shared" si="44"/>
        <v>0</v>
      </c>
      <c r="S74" s="2"/>
      <c r="T74" s="7">
        <v>88000</v>
      </c>
      <c r="U74" s="2"/>
      <c r="V74" s="6">
        <f t="shared" si="45"/>
        <v>0</v>
      </c>
      <c r="W74" s="2"/>
      <c r="X74" s="7">
        <f t="shared" si="46"/>
        <v>-58857.53</v>
      </c>
      <c r="Y74" s="2"/>
      <c r="Z74" s="6">
        <f t="shared" si="47"/>
        <v>-0.66883556818181822</v>
      </c>
    </row>
    <row r="75" spans="1:26" s="27" customFormat="1" outlineLevel="1" collapsed="1" x14ac:dyDescent="0.25">
      <c r="A75" s="26"/>
      <c r="B75" s="13" t="str">
        <f>CONCATENATE("     ","Services                                          ")</f>
        <v xml:space="preserve">     Services                                          </v>
      </c>
      <c r="C75" s="13"/>
      <c r="D75" s="1">
        <f>SUM(OSRRefD22_16x_0)</f>
        <v>4141.7299999999996</v>
      </c>
      <c r="E75" s="1"/>
      <c r="F75" s="5">
        <f t="shared" ref="F75:F78" si="48">IF(D$12=0,0,D75/D$12)</f>
        <v>0</v>
      </c>
      <c r="G75" s="1"/>
      <c r="H75" s="1">
        <f>SUM(OSRRefH22_16x_0)</f>
        <v>4300</v>
      </c>
      <c r="I75" s="1"/>
      <c r="J75" s="5">
        <f t="shared" ref="J75:J78" si="49">IF(H$12=0,0,H75/H$12)</f>
        <v>0</v>
      </c>
      <c r="K75" s="1"/>
      <c r="L75" s="1">
        <f t="shared" ref="L75:L78" si="50">+D75-H75</f>
        <v>-158.27000000000044</v>
      </c>
      <c r="M75" s="1"/>
      <c r="N75" s="5">
        <f t="shared" ref="N75:N78" si="51">IF(H75=0,0,L75/H75)</f>
        <v>-3.6806976744186148E-2</v>
      </c>
      <c r="O75" s="13"/>
      <c r="P75" s="1">
        <f>SUM(OSRRefP22_16x_0)</f>
        <v>43504.280000000006</v>
      </c>
      <c r="Q75" s="1"/>
      <c r="R75" s="5">
        <f t="shared" ref="R75:R78" si="52">IF(P$12=0,0,P75/P$12)</f>
        <v>0</v>
      </c>
      <c r="S75" s="1"/>
      <c r="T75" s="1">
        <f>SUM(OSRRefT22_16x_0)</f>
        <v>47300</v>
      </c>
      <c r="U75" s="1"/>
      <c r="V75" s="5">
        <f t="shared" ref="V75:V78" si="53">IF(T$12=0,0,T75/T$12)</f>
        <v>0</v>
      </c>
      <c r="W75" s="1"/>
      <c r="X75" s="1">
        <f t="shared" ref="X75:X78" si="54">+P75-T75</f>
        <v>-3795.7199999999939</v>
      </c>
      <c r="Y75" s="1"/>
      <c r="Z75" s="5">
        <f t="shared" ref="Z75:Z78" si="55">IF(T75=0,0,X75/T75)</f>
        <v>-8.0247780126849771E-2</v>
      </c>
    </row>
    <row r="76" spans="1:26" s="24" customFormat="1" hidden="1" outlineLevel="2" x14ac:dyDescent="0.25">
      <c r="A76" s="25"/>
      <c r="B76" s="11" t="str">
        <f>CONCATENATE("          ", "6282", " - ", "JANITORIAL/EXTERMINATOR EXPENS")</f>
        <v xml:space="preserve">          6282 - JANITORIAL/EXTERMINATOR EXPENS</v>
      </c>
      <c r="C76" s="11"/>
      <c r="D76" s="7">
        <v>291</v>
      </c>
      <c r="E76" s="2"/>
      <c r="F76" s="6">
        <f t="shared" si="48"/>
        <v>0</v>
      </c>
      <c r="G76" s="2"/>
      <c r="H76" s="7">
        <v>4000</v>
      </c>
      <c r="I76" s="2"/>
      <c r="J76" s="6">
        <f t="shared" si="49"/>
        <v>0</v>
      </c>
      <c r="K76" s="2"/>
      <c r="L76" s="7">
        <f t="shared" si="50"/>
        <v>-3709</v>
      </c>
      <c r="M76" s="2"/>
      <c r="N76" s="6">
        <f t="shared" si="51"/>
        <v>-0.92725000000000002</v>
      </c>
      <c r="O76" s="11"/>
      <c r="P76" s="7">
        <v>7521.12</v>
      </c>
      <c r="Q76" s="2"/>
      <c r="R76" s="6">
        <f t="shared" si="52"/>
        <v>0</v>
      </c>
      <c r="S76" s="2"/>
      <c r="T76" s="7">
        <v>44000</v>
      </c>
      <c r="U76" s="2"/>
      <c r="V76" s="6">
        <f t="shared" si="53"/>
        <v>0</v>
      </c>
      <c r="W76" s="2"/>
      <c r="X76" s="7">
        <f t="shared" si="54"/>
        <v>-36478.879999999997</v>
      </c>
      <c r="Y76" s="2"/>
      <c r="Z76" s="6">
        <f t="shared" si="55"/>
        <v>-0.82906545454545444</v>
      </c>
    </row>
    <row r="77" spans="1:26" s="24" customFormat="1" hidden="1" outlineLevel="2" x14ac:dyDescent="0.25">
      <c r="A77" s="25"/>
      <c r="B77" s="11" t="str">
        <f>CONCATENATE("          ", "6283", " - ", "PLANT SERVICE")</f>
        <v xml:space="preserve">          6283 - PLANT SERVICE</v>
      </c>
      <c r="C77" s="11"/>
      <c r="D77" s="7"/>
      <c r="E77" s="2"/>
      <c r="F77" s="6">
        <f t="shared" si="48"/>
        <v>0</v>
      </c>
      <c r="G77" s="2"/>
      <c r="H77" s="7"/>
      <c r="I77" s="2"/>
      <c r="J77" s="6">
        <f t="shared" si="49"/>
        <v>0</v>
      </c>
      <c r="K77" s="2"/>
      <c r="L77" s="7">
        <f t="shared" si="50"/>
        <v>0</v>
      </c>
      <c r="M77" s="2"/>
      <c r="N77" s="6">
        <f t="shared" si="51"/>
        <v>0</v>
      </c>
      <c r="O77" s="11"/>
      <c r="P77" s="7">
        <v>130</v>
      </c>
      <c r="Q77" s="2"/>
      <c r="R77" s="6">
        <f t="shared" si="52"/>
        <v>0</v>
      </c>
      <c r="S77" s="2"/>
      <c r="T77" s="7"/>
      <c r="U77" s="2"/>
      <c r="V77" s="6">
        <f t="shared" si="53"/>
        <v>0</v>
      </c>
      <c r="W77" s="2"/>
      <c r="X77" s="7">
        <f t="shared" si="54"/>
        <v>130</v>
      </c>
      <c r="Y77" s="2"/>
      <c r="Z77" s="6">
        <f t="shared" si="55"/>
        <v>0</v>
      </c>
    </row>
    <row r="78" spans="1:26" s="24" customFormat="1" hidden="1" outlineLevel="2" x14ac:dyDescent="0.25">
      <c r="A78" s="25"/>
      <c r="B78" s="11" t="str">
        <f>CONCATENATE("          ", "6285", " - ", "JANITORIAL SERVICES")</f>
        <v xml:space="preserve">          6285 - JANITORIAL SERVICES</v>
      </c>
      <c r="C78" s="11"/>
      <c r="D78" s="7">
        <v>3850.73</v>
      </c>
      <c r="E78" s="2"/>
      <c r="F78" s="6">
        <f t="shared" si="48"/>
        <v>0</v>
      </c>
      <c r="G78" s="2"/>
      <c r="H78" s="7">
        <v>300</v>
      </c>
      <c r="I78" s="2"/>
      <c r="J78" s="6">
        <f t="shared" si="49"/>
        <v>0</v>
      </c>
      <c r="K78" s="2"/>
      <c r="L78" s="7">
        <f t="shared" si="50"/>
        <v>3550.73</v>
      </c>
      <c r="M78" s="2"/>
      <c r="N78" s="6">
        <f t="shared" si="51"/>
        <v>11.835766666666666</v>
      </c>
      <c r="O78" s="11"/>
      <c r="P78" s="7">
        <v>35853.160000000003</v>
      </c>
      <c r="Q78" s="2"/>
      <c r="R78" s="6">
        <f t="shared" si="52"/>
        <v>0</v>
      </c>
      <c r="S78" s="2"/>
      <c r="T78" s="7">
        <v>3300</v>
      </c>
      <c r="U78" s="2"/>
      <c r="V78" s="6">
        <f t="shared" si="53"/>
        <v>0</v>
      </c>
      <c r="W78" s="2"/>
      <c r="X78" s="7">
        <f t="shared" si="54"/>
        <v>32553.160000000003</v>
      </c>
      <c r="Y78" s="2"/>
      <c r="Z78" s="6">
        <f t="shared" si="55"/>
        <v>9.8645939393939397</v>
      </c>
    </row>
    <row r="79" spans="1:26" s="27" customFormat="1" outlineLevel="1" collapsed="1" x14ac:dyDescent="0.25">
      <c r="A79" s="26"/>
      <c r="B79" s="13" t="str">
        <f>CONCATENATE("     ","Subscriptions &amp; Dues                              ")</f>
        <v xml:space="preserve">     Subscriptions &amp; Dues                              </v>
      </c>
      <c r="C79" s="13"/>
      <c r="D79" s="1">
        <f>SUM(OSRRefD22_17x_0)</f>
        <v>0</v>
      </c>
      <c r="E79" s="1"/>
      <c r="F79" s="5">
        <f t="shared" ref="F79:F88" si="56">IF(D$12=0,0,D79/D$12)</f>
        <v>0</v>
      </c>
      <c r="G79" s="1"/>
      <c r="H79" s="1">
        <f>SUM(OSRRefH22_17x_0)</f>
        <v>800</v>
      </c>
      <c r="I79" s="1"/>
      <c r="J79" s="5">
        <f t="shared" ref="J79:J88" si="57">IF(H$12=0,0,H79/H$12)</f>
        <v>0</v>
      </c>
      <c r="K79" s="1"/>
      <c r="L79" s="1">
        <f t="shared" ref="L79:L88" si="58">+D79-H79</f>
        <v>-800</v>
      </c>
      <c r="M79" s="1"/>
      <c r="N79" s="5">
        <f t="shared" ref="N79:N88" si="59">IF(H79=0,0,L79/H79)</f>
        <v>-1</v>
      </c>
      <c r="O79" s="13"/>
      <c r="P79" s="1">
        <f>SUM(OSRRefP22_17x_0)</f>
        <v>0</v>
      </c>
      <c r="Q79" s="1"/>
      <c r="R79" s="5">
        <f t="shared" ref="R79:R88" si="60">IF(P$12=0,0,P79/P$12)</f>
        <v>0</v>
      </c>
      <c r="S79" s="1"/>
      <c r="T79" s="1">
        <f>SUM(OSRRefT22_17x_0)</f>
        <v>8800</v>
      </c>
      <c r="U79" s="1"/>
      <c r="V79" s="5">
        <f t="shared" ref="V79:V88" si="61">IF(T$12=0,0,T79/T$12)</f>
        <v>0</v>
      </c>
      <c r="W79" s="1"/>
      <c r="X79" s="1">
        <f t="shared" ref="X79:X88" si="62">+P79-T79</f>
        <v>-8800</v>
      </c>
      <c r="Y79" s="1"/>
      <c r="Z79" s="5">
        <f t="shared" ref="Z79:Z88" si="63">IF(T79=0,0,X79/T79)</f>
        <v>-1</v>
      </c>
    </row>
    <row r="80" spans="1:26" s="24" customFormat="1" hidden="1" outlineLevel="2" x14ac:dyDescent="0.25">
      <c r="A80" s="25"/>
      <c r="B80" s="11" t="str">
        <f>CONCATENATE("          ", "6258", " - ", "MEMBERSHIP DUES")</f>
        <v xml:space="preserve">          6258 - MEMBERSHIP DUES</v>
      </c>
      <c r="C80" s="11"/>
      <c r="D80" s="7"/>
      <c r="E80" s="2"/>
      <c r="F80" s="6">
        <f t="shared" si="56"/>
        <v>0</v>
      </c>
      <c r="G80" s="2"/>
      <c r="H80" s="7">
        <v>800</v>
      </c>
      <c r="I80" s="2"/>
      <c r="J80" s="6">
        <f t="shared" si="57"/>
        <v>0</v>
      </c>
      <c r="K80" s="2"/>
      <c r="L80" s="7">
        <f t="shared" si="58"/>
        <v>-800</v>
      </c>
      <c r="M80" s="2"/>
      <c r="N80" s="6">
        <f t="shared" si="59"/>
        <v>-1</v>
      </c>
      <c r="O80" s="11"/>
      <c r="P80" s="7"/>
      <c r="Q80" s="2"/>
      <c r="R80" s="6">
        <f t="shared" si="60"/>
        <v>0</v>
      </c>
      <c r="S80" s="2"/>
      <c r="T80" s="7">
        <v>8800</v>
      </c>
      <c r="U80" s="2"/>
      <c r="V80" s="6">
        <f t="shared" si="61"/>
        <v>0</v>
      </c>
      <c r="W80" s="2"/>
      <c r="X80" s="7">
        <f t="shared" si="62"/>
        <v>-8800</v>
      </c>
      <c r="Y80" s="2"/>
      <c r="Z80" s="6">
        <f t="shared" si="63"/>
        <v>-1</v>
      </c>
    </row>
    <row r="81" spans="1:26" s="27" customFormat="1" outlineLevel="1" collapsed="1" x14ac:dyDescent="0.25">
      <c r="A81" s="26"/>
      <c r="B81" s="13" t="str">
        <f>CONCATENATE("     ","Supplies                                          ")</f>
        <v xml:space="preserve">     Supplies                                          </v>
      </c>
      <c r="C81" s="13"/>
      <c r="D81" s="1">
        <f>SUM(OSRRefD22_18x_0)</f>
        <v>3529.18</v>
      </c>
      <c r="E81" s="1"/>
      <c r="F81" s="5">
        <f t="shared" si="56"/>
        <v>0</v>
      </c>
      <c r="G81" s="1"/>
      <c r="H81" s="1">
        <f>SUM(OSRRefH22_18x_0)</f>
        <v>3900</v>
      </c>
      <c r="I81" s="1"/>
      <c r="J81" s="5">
        <f t="shared" si="57"/>
        <v>0</v>
      </c>
      <c r="K81" s="1"/>
      <c r="L81" s="1">
        <f t="shared" si="58"/>
        <v>-370.82000000000016</v>
      </c>
      <c r="M81" s="1"/>
      <c r="N81" s="5">
        <f t="shared" si="59"/>
        <v>-9.5082051282051328E-2</v>
      </c>
      <c r="O81" s="13"/>
      <c r="P81" s="1">
        <f>SUM(OSRRefP22_18x_0)</f>
        <v>67572.900000000009</v>
      </c>
      <c r="Q81" s="1"/>
      <c r="R81" s="5">
        <f t="shared" si="60"/>
        <v>0</v>
      </c>
      <c r="S81" s="1"/>
      <c r="T81" s="1">
        <f>SUM(OSRRefT22_18x_0)</f>
        <v>102700</v>
      </c>
      <c r="U81" s="1"/>
      <c r="V81" s="5">
        <f t="shared" si="61"/>
        <v>0</v>
      </c>
      <c r="W81" s="1"/>
      <c r="X81" s="1">
        <f t="shared" si="62"/>
        <v>-35127.099999999991</v>
      </c>
      <c r="Y81" s="1"/>
      <c r="Z81" s="5">
        <f t="shared" si="63"/>
        <v>-0.34203602726387528</v>
      </c>
    </row>
    <row r="82" spans="1:26" s="24" customFormat="1" hidden="1" outlineLevel="2" x14ac:dyDescent="0.25">
      <c r="A82" s="25"/>
      <c r="B82" s="11" t="str">
        <f>CONCATENATE("          ", "6234", " - ", "EXPENDABLE SUPPLIES &amp; EQUIPMEN")</f>
        <v xml:space="preserve">          6234 - EXPENDABLE SUPPLIES &amp; EQUIPMEN</v>
      </c>
      <c r="C82" s="11"/>
      <c r="D82" s="7"/>
      <c r="E82" s="2"/>
      <c r="F82" s="6">
        <f t="shared" si="56"/>
        <v>0</v>
      </c>
      <c r="G82" s="2"/>
      <c r="H82" s="7">
        <v>100</v>
      </c>
      <c r="I82" s="2"/>
      <c r="J82" s="6">
        <f t="shared" si="57"/>
        <v>0</v>
      </c>
      <c r="K82" s="2"/>
      <c r="L82" s="7">
        <f t="shared" si="58"/>
        <v>-100</v>
      </c>
      <c r="M82" s="2"/>
      <c r="N82" s="6">
        <f t="shared" si="59"/>
        <v>-1</v>
      </c>
      <c r="O82" s="11"/>
      <c r="P82" s="7">
        <v>-449.34</v>
      </c>
      <c r="Q82" s="2"/>
      <c r="R82" s="6">
        <f t="shared" si="60"/>
        <v>0</v>
      </c>
      <c r="S82" s="2"/>
      <c r="T82" s="7">
        <v>1100</v>
      </c>
      <c r="U82" s="2"/>
      <c r="V82" s="6">
        <f t="shared" si="61"/>
        <v>0</v>
      </c>
      <c r="W82" s="2"/>
      <c r="X82" s="7">
        <f t="shared" si="62"/>
        <v>-1549.34</v>
      </c>
      <c r="Y82" s="2"/>
      <c r="Z82" s="6">
        <f t="shared" si="63"/>
        <v>-1.408490909090909</v>
      </c>
    </row>
    <row r="83" spans="1:26" s="24" customFormat="1" hidden="1" outlineLevel="2" x14ac:dyDescent="0.25">
      <c r="A83" s="25"/>
      <c r="B83" s="11" t="str">
        <f>CONCATENATE("          ", "6235", " - ", "COVID-19 EXPENSES")</f>
        <v xml:space="preserve">          6235 - COVID-19 EXPENSES</v>
      </c>
      <c r="C83" s="11"/>
      <c r="D83" s="7">
        <v>2928.27</v>
      </c>
      <c r="E83" s="2"/>
      <c r="F83" s="6">
        <f t="shared" si="56"/>
        <v>0</v>
      </c>
      <c r="G83" s="2"/>
      <c r="H83" s="7">
        <v>100</v>
      </c>
      <c r="I83" s="2"/>
      <c r="J83" s="6">
        <f t="shared" si="57"/>
        <v>0</v>
      </c>
      <c r="K83" s="2"/>
      <c r="L83" s="7">
        <f t="shared" si="58"/>
        <v>2828.27</v>
      </c>
      <c r="M83" s="2"/>
      <c r="N83" s="6">
        <f t="shared" si="59"/>
        <v>28.282699999999998</v>
      </c>
      <c r="O83" s="11"/>
      <c r="P83" s="7">
        <v>41950.720000000001</v>
      </c>
      <c r="Q83" s="2"/>
      <c r="R83" s="6">
        <f t="shared" si="60"/>
        <v>0</v>
      </c>
      <c r="S83" s="2"/>
      <c r="T83" s="7">
        <v>60900</v>
      </c>
      <c r="U83" s="2"/>
      <c r="V83" s="6">
        <f t="shared" si="61"/>
        <v>0</v>
      </c>
      <c r="W83" s="2"/>
      <c r="X83" s="7">
        <f t="shared" si="62"/>
        <v>-18949.28</v>
      </c>
      <c r="Y83" s="2"/>
      <c r="Z83" s="6">
        <f t="shared" si="63"/>
        <v>-0.31115402298850575</v>
      </c>
    </row>
    <row r="84" spans="1:26" s="24" customFormat="1" hidden="1" outlineLevel="2" x14ac:dyDescent="0.25">
      <c r="A84" s="25"/>
      <c r="B84" s="11" t="str">
        <f>CONCATENATE("          ", "6237", " - ", "JANITORIAL SUPPLIES")</f>
        <v xml:space="preserve">          6237 - JANITORIAL SUPPLIES</v>
      </c>
      <c r="C84" s="11"/>
      <c r="D84" s="7">
        <v>390.73</v>
      </c>
      <c r="E84" s="2"/>
      <c r="F84" s="6">
        <f t="shared" si="56"/>
        <v>0</v>
      </c>
      <c r="G84" s="2"/>
      <c r="H84" s="7">
        <v>200</v>
      </c>
      <c r="I84" s="2"/>
      <c r="J84" s="6">
        <f t="shared" si="57"/>
        <v>0</v>
      </c>
      <c r="K84" s="2"/>
      <c r="L84" s="7">
        <f t="shared" si="58"/>
        <v>190.73000000000002</v>
      </c>
      <c r="M84" s="2"/>
      <c r="N84" s="6">
        <f t="shared" si="59"/>
        <v>0.95365000000000011</v>
      </c>
      <c r="O84" s="11"/>
      <c r="P84" s="7">
        <v>3688.54</v>
      </c>
      <c r="Q84" s="2"/>
      <c r="R84" s="6">
        <f t="shared" si="60"/>
        <v>0</v>
      </c>
      <c r="S84" s="2"/>
      <c r="T84" s="7">
        <v>2200</v>
      </c>
      <c r="U84" s="2"/>
      <c r="V84" s="6">
        <f t="shared" si="61"/>
        <v>0</v>
      </c>
      <c r="W84" s="2"/>
      <c r="X84" s="7">
        <f t="shared" si="62"/>
        <v>1488.54</v>
      </c>
      <c r="Y84" s="2"/>
      <c r="Z84" s="6">
        <f t="shared" si="63"/>
        <v>0.67660909090909094</v>
      </c>
    </row>
    <row r="85" spans="1:26" s="24" customFormat="1" hidden="1" outlineLevel="2" x14ac:dyDescent="0.25">
      <c r="A85" s="25"/>
      <c r="B85" s="11" t="str">
        <f>CONCATENATE("          ", "6241", " - ", "OFFICE EXPENSE")</f>
        <v xml:space="preserve">          6241 - OFFICE EXPENSE</v>
      </c>
      <c r="C85" s="11"/>
      <c r="D85" s="7">
        <v>9.68</v>
      </c>
      <c r="E85" s="2"/>
      <c r="F85" s="6">
        <f t="shared" si="56"/>
        <v>0</v>
      </c>
      <c r="G85" s="2"/>
      <c r="H85" s="7"/>
      <c r="I85" s="2"/>
      <c r="J85" s="6">
        <f t="shared" si="57"/>
        <v>0</v>
      </c>
      <c r="K85" s="2"/>
      <c r="L85" s="7">
        <f t="shared" si="58"/>
        <v>9.68</v>
      </c>
      <c r="M85" s="2"/>
      <c r="N85" s="6">
        <f t="shared" si="59"/>
        <v>0</v>
      </c>
      <c r="O85" s="11"/>
      <c r="P85" s="7">
        <v>2882.25</v>
      </c>
      <c r="Q85" s="2"/>
      <c r="R85" s="6">
        <f t="shared" si="60"/>
        <v>0</v>
      </c>
      <c r="S85" s="2"/>
      <c r="T85" s="7"/>
      <c r="U85" s="2"/>
      <c r="V85" s="6">
        <f t="shared" si="61"/>
        <v>0</v>
      </c>
      <c r="W85" s="2"/>
      <c r="X85" s="7">
        <f t="shared" si="62"/>
        <v>2882.25</v>
      </c>
      <c r="Y85" s="2"/>
      <c r="Z85" s="6">
        <f t="shared" si="63"/>
        <v>0</v>
      </c>
    </row>
    <row r="86" spans="1:26" s="24" customFormat="1" hidden="1" outlineLevel="2" x14ac:dyDescent="0.25">
      <c r="A86" s="25"/>
      <c r="B86" s="11" t="str">
        <f>CONCATENATE("          ", "6245", " - ", "PRINTING")</f>
        <v xml:space="preserve">          6245 - PRINTING</v>
      </c>
      <c r="C86" s="11"/>
      <c r="D86" s="7"/>
      <c r="E86" s="2"/>
      <c r="F86" s="6">
        <f t="shared" si="56"/>
        <v>0</v>
      </c>
      <c r="G86" s="2"/>
      <c r="H86" s="7"/>
      <c r="I86" s="2"/>
      <c r="J86" s="6">
        <f t="shared" si="57"/>
        <v>0</v>
      </c>
      <c r="K86" s="2"/>
      <c r="L86" s="7">
        <f t="shared" si="58"/>
        <v>0</v>
      </c>
      <c r="M86" s="2"/>
      <c r="N86" s="6">
        <f t="shared" si="59"/>
        <v>0</v>
      </c>
      <c r="O86" s="11"/>
      <c r="P86" s="7">
        <v>68.66</v>
      </c>
      <c r="Q86" s="2"/>
      <c r="R86" s="6">
        <f t="shared" si="60"/>
        <v>0</v>
      </c>
      <c r="S86" s="2"/>
      <c r="T86" s="7"/>
      <c r="U86" s="2"/>
      <c r="V86" s="6">
        <f t="shared" si="61"/>
        <v>0</v>
      </c>
      <c r="W86" s="2"/>
      <c r="X86" s="7">
        <f t="shared" si="62"/>
        <v>68.66</v>
      </c>
      <c r="Y86" s="2"/>
      <c r="Z86" s="6">
        <f t="shared" si="63"/>
        <v>0</v>
      </c>
    </row>
    <row r="87" spans="1:26" s="24" customFormat="1" hidden="1" outlineLevel="2" x14ac:dyDescent="0.25">
      <c r="A87" s="25"/>
      <c r="B87" s="11" t="str">
        <f>CONCATENATE("          ", "6247", " - ", "STORE SUPPLIES")</f>
        <v xml:space="preserve">          6247 - STORE SUPPLIES</v>
      </c>
      <c r="C87" s="11"/>
      <c r="D87" s="7">
        <v>200.5</v>
      </c>
      <c r="E87" s="2"/>
      <c r="F87" s="6">
        <f t="shared" si="56"/>
        <v>0</v>
      </c>
      <c r="G87" s="2"/>
      <c r="H87" s="7">
        <v>2000</v>
      </c>
      <c r="I87" s="2"/>
      <c r="J87" s="6">
        <f t="shared" si="57"/>
        <v>0</v>
      </c>
      <c r="K87" s="2"/>
      <c r="L87" s="7">
        <f t="shared" si="58"/>
        <v>-1799.5</v>
      </c>
      <c r="M87" s="2"/>
      <c r="N87" s="6">
        <f t="shared" si="59"/>
        <v>-0.89975000000000005</v>
      </c>
      <c r="O87" s="11"/>
      <c r="P87" s="7">
        <v>19432.07</v>
      </c>
      <c r="Q87" s="2"/>
      <c r="R87" s="6">
        <f t="shared" si="60"/>
        <v>0</v>
      </c>
      <c r="S87" s="2"/>
      <c r="T87" s="7">
        <v>22000</v>
      </c>
      <c r="U87" s="2"/>
      <c r="V87" s="6">
        <f t="shared" si="61"/>
        <v>0</v>
      </c>
      <c r="W87" s="2"/>
      <c r="X87" s="7">
        <f t="shared" si="62"/>
        <v>-2567.9300000000003</v>
      </c>
      <c r="Y87" s="2"/>
      <c r="Z87" s="6">
        <f t="shared" si="63"/>
        <v>-0.11672409090909092</v>
      </c>
    </row>
    <row r="88" spans="1:26" s="24" customFormat="1" hidden="1" outlineLevel="2" x14ac:dyDescent="0.25">
      <c r="A88" s="25"/>
      <c r="B88" s="11" t="str">
        <f>CONCATENATE("          ", "6248", " - ", "UNIFORMS")</f>
        <v xml:space="preserve">          6248 - UNIFORMS</v>
      </c>
      <c r="C88" s="11"/>
      <c r="D88" s="7"/>
      <c r="E88" s="2"/>
      <c r="F88" s="6">
        <f t="shared" si="56"/>
        <v>0</v>
      </c>
      <c r="G88" s="2"/>
      <c r="H88" s="7">
        <v>1500</v>
      </c>
      <c r="I88" s="2"/>
      <c r="J88" s="6">
        <f t="shared" si="57"/>
        <v>0</v>
      </c>
      <c r="K88" s="2"/>
      <c r="L88" s="7">
        <f t="shared" si="58"/>
        <v>-1500</v>
      </c>
      <c r="M88" s="2"/>
      <c r="N88" s="6">
        <f t="shared" si="59"/>
        <v>-1</v>
      </c>
      <c r="O88" s="11"/>
      <c r="P88" s="7"/>
      <c r="Q88" s="2"/>
      <c r="R88" s="6">
        <f t="shared" si="60"/>
        <v>0</v>
      </c>
      <c r="S88" s="2"/>
      <c r="T88" s="7">
        <v>16500</v>
      </c>
      <c r="U88" s="2"/>
      <c r="V88" s="6">
        <f t="shared" si="61"/>
        <v>0</v>
      </c>
      <c r="W88" s="2"/>
      <c r="X88" s="7">
        <f t="shared" si="62"/>
        <v>-16500</v>
      </c>
      <c r="Y88" s="2"/>
      <c r="Z88" s="6">
        <f t="shared" si="63"/>
        <v>-1</v>
      </c>
    </row>
    <row r="89" spans="1:26" s="27" customFormat="1" outlineLevel="1" collapsed="1" x14ac:dyDescent="0.25">
      <c r="A89" s="26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SUM(OSRRefD22_19x_0)</f>
        <v>580</v>
      </c>
      <c r="E89" s="1"/>
      <c r="F89" s="5">
        <f t="shared" ref="F89:F95" si="64">IF(D$12=0,0,D89/D$12)</f>
        <v>0</v>
      </c>
      <c r="G89" s="1"/>
      <c r="H89" s="1">
        <f>SUM(OSRRefH22_19x_0)</f>
        <v>600</v>
      </c>
      <c r="I89" s="1"/>
      <c r="J89" s="5">
        <f t="shared" ref="J89:J95" si="65">IF(H$12=0,0,H89/H$12)</f>
        <v>0</v>
      </c>
      <c r="K89" s="1"/>
      <c r="L89" s="1">
        <f t="shared" ref="L89:L95" si="66">+D89-H89</f>
        <v>-20</v>
      </c>
      <c r="M89" s="1"/>
      <c r="N89" s="5">
        <f t="shared" ref="N89:N95" si="67">IF(H89=0,0,L89/H89)</f>
        <v>-3.3333333333333333E-2</v>
      </c>
      <c r="O89" s="13"/>
      <c r="P89" s="1">
        <f>SUM(OSRRefP22_19x_0)</f>
        <v>6303.25</v>
      </c>
      <c r="Q89" s="1"/>
      <c r="R89" s="5">
        <f t="shared" ref="R89:R95" si="68">IF(P$12=0,0,P89/P$12)</f>
        <v>0</v>
      </c>
      <c r="S89" s="1"/>
      <c r="T89" s="1">
        <f>SUM(OSRRefT22_19x_0)</f>
        <v>6600</v>
      </c>
      <c r="U89" s="1"/>
      <c r="V89" s="5">
        <f t="shared" ref="V89:V95" si="69">IF(T$12=0,0,T89/T$12)</f>
        <v>0</v>
      </c>
      <c r="W89" s="1"/>
      <c r="X89" s="1">
        <f t="shared" ref="X89:X95" si="70">+P89-T89</f>
        <v>-296.75</v>
      </c>
      <c r="Y89" s="1"/>
      <c r="Z89" s="5">
        <f t="shared" ref="Z89:Z95" si="71">IF(T89=0,0,X89/T89)</f>
        <v>-4.496212121212121E-2</v>
      </c>
    </row>
    <row r="90" spans="1:26" s="24" customFormat="1" hidden="1" outlineLevel="2" x14ac:dyDescent="0.25">
      <c r="A90" s="25"/>
      <c r="B90" s="11" t="str">
        <f>CONCATENATE("          ", "6309", " - ", "TELEPHONE")</f>
        <v xml:space="preserve">          6309 - TELEPHONE</v>
      </c>
      <c r="C90" s="11"/>
      <c r="D90" s="7">
        <v>580</v>
      </c>
      <c r="E90" s="2"/>
      <c r="F90" s="6">
        <f t="shared" si="64"/>
        <v>0</v>
      </c>
      <c r="G90" s="2"/>
      <c r="H90" s="7">
        <v>600</v>
      </c>
      <c r="I90" s="2"/>
      <c r="J90" s="6">
        <f t="shared" si="65"/>
        <v>0</v>
      </c>
      <c r="K90" s="2"/>
      <c r="L90" s="7">
        <f t="shared" si="66"/>
        <v>-20</v>
      </c>
      <c r="M90" s="2"/>
      <c r="N90" s="6">
        <f t="shared" si="67"/>
        <v>-3.3333333333333333E-2</v>
      </c>
      <c r="O90" s="11"/>
      <c r="P90" s="7">
        <v>6303.25</v>
      </c>
      <c r="Q90" s="2"/>
      <c r="R90" s="6">
        <f t="shared" si="68"/>
        <v>0</v>
      </c>
      <c r="S90" s="2"/>
      <c r="T90" s="7">
        <v>6600</v>
      </c>
      <c r="U90" s="2"/>
      <c r="V90" s="6">
        <f t="shared" si="69"/>
        <v>0</v>
      </c>
      <c r="W90" s="2"/>
      <c r="X90" s="7">
        <f t="shared" si="70"/>
        <v>-296.75</v>
      </c>
      <c r="Y90" s="2"/>
      <c r="Z90" s="6">
        <f t="shared" si="71"/>
        <v>-4.496212121212121E-2</v>
      </c>
    </row>
    <row r="91" spans="1:26" s="27" customFormat="1" outlineLevel="1" collapsed="1" x14ac:dyDescent="0.25">
      <c r="A91" s="26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SUM(OSRRefD22_20x_0)</f>
        <v>0</v>
      </c>
      <c r="E91" s="1"/>
      <c r="F91" s="5">
        <f t="shared" si="64"/>
        <v>0</v>
      </c>
      <c r="G91" s="1"/>
      <c r="H91" s="1">
        <f>SUM(OSRRefH22_20x_0)</f>
        <v>0</v>
      </c>
      <c r="I91" s="1"/>
      <c r="J91" s="5">
        <f t="shared" si="65"/>
        <v>0</v>
      </c>
      <c r="K91" s="1"/>
      <c r="L91" s="1">
        <f t="shared" si="66"/>
        <v>0</v>
      </c>
      <c r="M91" s="1"/>
      <c r="N91" s="5">
        <f t="shared" si="67"/>
        <v>0</v>
      </c>
      <c r="O91" s="13"/>
      <c r="P91" s="1">
        <f>SUM(OSRRefP22_20x_0)</f>
        <v>881.63</v>
      </c>
      <c r="Q91" s="1"/>
      <c r="R91" s="5">
        <f t="shared" si="68"/>
        <v>0</v>
      </c>
      <c r="S91" s="1"/>
      <c r="T91" s="1">
        <f>SUM(OSRRefT22_20x_0)</f>
        <v>3250</v>
      </c>
      <c r="U91" s="1"/>
      <c r="V91" s="5">
        <f t="shared" si="69"/>
        <v>0</v>
      </c>
      <c r="W91" s="1"/>
      <c r="X91" s="1">
        <f t="shared" si="70"/>
        <v>-2368.37</v>
      </c>
      <c r="Y91" s="1"/>
      <c r="Z91" s="5">
        <f t="shared" si="71"/>
        <v>-0.72872923076923068</v>
      </c>
    </row>
    <row r="92" spans="1:26" s="24" customFormat="1" hidden="1" outlineLevel="2" x14ac:dyDescent="0.25">
      <c r="A92" s="25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64"/>
        <v>0</v>
      </c>
      <c r="G92" s="2"/>
      <c r="H92" s="7"/>
      <c r="I92" s="2"/>
      <c r="J92" s="6">
        <f t="shared" si="65"/>
        <v>0</v>
      </c>
      <c r="K92" s="2"/>
      <c r="L92" s="7">
        <f t="shared" si="66"/>
        <v>0</v>
      </c>
      <c r="M92" s="2"/>
      <c r="N92" s="6">
        <f t="shared" si="67"/>
        <v>0</v>
      </c>
      <c r="O92" s="11"/>
      <c r="P92" s="7">
        <v>881.63</v>
      </c>
      <c r="Q92" s="2"/>
      <c r="R92" s="6">
        <f t="shared" si="68"/>
        <v>0</v>
      </c>
      <c r="S92" s="2"/>
      <c r="T92" s="7">
        <v>3250</v>
      </c>
      <c r="U92" s="2"/>
      <c r="V92" s="6">
        <f t="shared" si="69"/>
        <v>0</v>
      </c>
      <c r="W92" s="2"/>
      <c r="X92" s="7">
        <f t="shared" si="70"/>
        <v>-2368.37</v>
      </c>
      <c r="Y92" s="2"/>
      <c r="Z92" s="6">
        <f t="shared" si="71"/>
        <v>-0.72872923076923068</v>
      </c>
    </row>
    <row r="93" spans="1:26" s="27" customFormat="1" outlineLevel="1" collapsed="1" x14ac:dyDescent="0.25">
      <c r="A93" s="26"/>
      <c r="B93" s="13" t="str">
        <f>CONCATENATE("     ","Travel                                            ")</f>
        <v xml:space="preserve">     Travel                                            </v>
      </c>
      <c r="C93" s="13"/>
      <c r="D93" s="1">
        <f>SUM(OSRRefD22_21x_0)</f>
        <v>0</v>
      </c>
      <c r="E93" s="1"/>
      <c r="F93" s="5">
        <f t="shared" si="64"/>
        <v>0</v>
      </c>
      <c r="G93" s="1"/>
      <c r="H93" s="1">
        <f>SUM(OSRRefH22_21x_0)</f>
        <v>0</v>
      </c>
      <c r="I93" s="1"/>
      <c r="J93" s="5">
        <f t="shared" si="65"/>
        <v>0</v>
      </c>
      <c r="K93" s="1"/>
      <c r="L93" s="1">
        <f t="shared" si="66"/>
        <v>0</v>
      </c>
      <c r="M93" s="1"/>
      <c r="N93" s="5">
        <f t="shared" si="67"/>
        <v>0</v>
      </c>
      <c r="O93" s="13"/>
      <c r="P93" s="1">
        <f>SUM(OSRRefP22_21x_0)</f>
        <v>358.89</v>
      </c>
      <c r="Q93" s="1"/>
      <c r="R93" s="5">
        <f t="shared" si="68"/>
        <v>0</v>
      </c>
      <c r="S93" s="1"/>
      <c r="T93" s="1">
        <f>SUM(OSRRefT22_21x_0)</f>
        <v>0</v>
      </c>
      <c r="U93" s="1"/>
      <c r="V93" s="5">
        <f t="shared" si="69"/>
        <v>0</v>
      </c>
      <c r="W93" s="1"/>
      <c r="X93" s="1">
        <f t="shared" si="70"/>
        <v>358.89</v>
      </c>
      <c r="Y93" s="1"/>
      <c r="Z93" s="5">
        <f t="shared" si="71"/>
        <v>0</v>
      </c>
    </row>
    <row r="94" spans="1:26" s="24" customFormat="1" hidden="1" outlineLevel="2" x14ac:dyDescent="0.25">
      <c r="A94" s="25"/>
      <c r="B94" s="11" t="str">
        <f>CONCATENATE("          ", "6292", " - ", "TRAVEL/CONFERENCE")</f>
        <v xml:space="preserve">          6292 - TRAVEL/CONFERENCE</v>
      </c>
      <c r="C94" s="11"/>
      <c r="D94" s="7"/>
      <c r="E94" s="2"/>
      <c r="F94" s="6">
        <f t="shared" si="64"/>
        <v>0</v>
      </c>
      <c r="G94" s="2"/>
      <c r="H94" s="7"/>
      <c r="I94" s="2"/>
      <c r="J94" s="6">
        <f t="shared" si="65"/>
        <v>0</v>
      </c>
      <c r="K94" s="2"/>
      <c r="L94" s="7">
        <f t="shared" si="66"/>
        <v>0</v>
      </c>
      <c r="M94" s="2"/>
      <c r="N94" s="6">
        <f t="shared" si="67"/>
        <v>0</v>
      </c>
      <c r="O94" s="11"/>
      <c r="P94" s="7">
        <v>299</v>
      </c>
      <c r="Q94" s="2"/>
      <c r="R94" s="6">
        <f t="shared" si="68"/>
        <v>0</v>
      </c>
      <c r="S94" s="2"/>
      <c r="T94" s="7"/>
      <c r="U94" s="2"/>
      <c r="V94" s="6">
        <f t="shared" si="69"/>
        <v>0</v>
      </c>
      <c r="W94" s="2"/>
      <c r="X94" s="7">
        <f t="shared" si="70"/>
        <v>299</v>
      </c>
      <c r="Y94" s="2"/>
      <c r="Z94" s="6">
        <f t="shared" si="71"/>
        <v>0</v>
      </c>
    </row>
    <row r="95" spans="1:26" s="24" customFormat="1" hidden="1" outlineLevel="2" x14ac:dyDescent="0.25">
      <c r="A95" s="25"/>
      <c r="B95" s="11" t="str">
        <f>CONCATENATE("          ", "6298", " - ", "VEHICLE MILEAGE")</f>
        <v xml:space="preserve">          6298 - VEHICLE MILEAGE</v>
      </c>
      <c r="C95" s="11"/>
      <c r="D95" s="7"/>
      <c r="E95" s="2"/>
      <c r="F95" s="6">
        <f t="shared" si="64"/>
        <v>0</v>
      </c>
      <c r="G95" s="2"/>
      <c r="H95" s="7"/>
      <c r="I95" s="2"/>
      <c r="J95" s="6">
        <f t="shared" si="65"/>
        <v>0</v>
      </c>
      <c r="K95" s="2"/>
      <c r="L95" s="7">
        <f t="shared" si="66"/>
        <v>0</v>
      </c>
      <c r="M95" s="2"/>
      <c r="N95" s="6">
        <f t="shared" si="67"/>
        <v>0</v>
      </c>
      <c r="O95" s="11"/>
      <c r="P95" s="7">
        <v>59.89</v>
      </c>
      <c r="Q95" s="2"/>
      <c r="R95" s="6">
        <f t="shared" si="68"/>
        <v>0</v>
      </c>
      <c r="S95" s="2"/>
      <c r="T95" s="7"/>
      <c r="U95" s="2"/>
      <c r="V95" s="6">
        <f t="shared" si="69"/>
        <v>0</v>
      </c>
      <c r="W95" s="2"/>
      <c r="X95" s="7">
        <f t="shared" si="70"/>
        <v>59.89</v>
      </c>
      <c r="Y95" s="2"/>
      <c r="Z95" s="6">
        <f t="shared" si="71"/>
        <v>0</v>
      </c>
    </row>
    <row r="96" spans="1:26" s="27" customFormat="1" outlineLevel="1" collapsed="1" x14ac:dyDescent="0.25">
      <c r="A96" s="26"/>
      <c r="B96" s="13" t="str">
        <f>CONCATENATE("     ","Utilities                                         ")</f>
        <v xml:space="preserve">     Utilities                                         </v>
      </c>
      <c r="C96" s="13"/>
      <c r="D96" s="1">
        <f>SUM(OSRRefD22_22x_0)</f>
        <v>6133</v>
      </c>
      <c r="E96" s="1"/>
      <c r="F96" s="5">
        <f t="shared" ref="F96:F97" si="72">IF(D$12=0,0,D96/D$12)</f>
        <v>0</v>
      </c>
      <c r="G96" s="1"/>
      <c r="H96" s="1">
        <f>SUM(OSRRefH22_22x_0)</f>
        <v>6000</v>
      </c>
      <c r="I96" s="1"/>
      <c r="J96" s="5">
        <f t="shared" ref="J96:J97" si="73">IF(H$12=0,0,H96/H$12)</f>
        <v>0</v>
      </c>
      <c r="K96" s="1"/>
      <c r="L96" s="1">
        <f t="shared" ref="L96:L97" si="74">+D96-H96</f>
        <v>133</v>
      </c>
      <c r="M96" s="1"/>
      <c r="N96" s="5">
        <f t="shared" ref="N96:N97" si="75">IF(H96=0,0,L96/H96)</f>
        <v>2.2166666666666668E-2</v>
      </c>
      <c r="O96" s="13"/>
      <c r="P96" s="1">
        <f>SUM(OSRRefP22_22x_0)</f>
        <v>64533</v>
      </c>
      <c r="Q96" s="1"/>
      <c r="R96" s="5">
        <f t="shared" ref="R96:R97" si="76">IF(P$12=0,0,P96/P$12)</f>
        <v>0</v>
      </c>
      <c r="S96" s="1"/>
      <c r="T96" s="1">
        <f>SUM(OSRRefT22_22x_0)</f>
        <v>66000</v>
      </c>
      <c r="U96" s="1"/>
      <c r="V96" s="5">
        <f t="shared" ref="V96:V97" si="77">IF(T$12=0,0,T96/T$12)</f>
        <v>0</v>
      </c>
      <c r="W96" s="1"/>
      <c r="X96" s="1">
        <f t="shared" ref="X96:X97" si="78">+P96-T96</f>
        <v>-1467</v>
      </c>
      <c r="Y96" s="1"/>
      <c r="Z96" s="5">
        <f t="shared" ref="Z96:Z97" si="79">IF(T96=0,0,X96/T96)</f>
        <v>-2.2227272727272727E-2</v>
      </c>
    </row>
    <row r="97" spans="1:26" s="24" customFormat="1" hidden="1" outlineLevel="2" x14ac:dyDescent="0.25">
      <c r="A97" s="25"/>
      <c r="B97" s="11" t="str">
        <f>CONCATENATE("          ", "6274", " - ", "UTILITIES")</f>
        <v xml:space="preserve">          6274 - UTILITIES</v>
      </c>
      <c r="C97" s="11"/>
      <c r="D97" s="7">
        <v>6133</v>
      </c>
      <c r="E97" s="2"/>
      <c r="F97" s="6">
        <f t="shared" si="72"/>
        <v>0</v>
      </c>
      <c r="G97" s="2"/>
      <c r="H97" s="7">
        <v>6000</v>
      </c>
      <c r="I97" s="2"/>
      <c r="J97" s="6">
        <f t="shared" si="73"/>
        <v>0</v>
      </c>
      <c r="K97" s="2"/>
      <c r="L97" s="7">
        <f t="shared" si="74"/>
        <v>133</v>
      </c>
      <c r="M97" s="2"/>
      <c r="N97" s="6">
        <f t="shared" si="75"/>
        <v>2.2166666666666668E-2</v>
      </c>
      <c r="O97" s="11"/>
      <c r="P97" s="7">
        <v>64533</v>
      </c>
      <c r="Q97" s="2"/>
      <c r="R97" s="6">
        <f t="shared" si="76"/>
        <v>0</v>
      </c>
      <c r="S97" s="2"/>
      <c r="T97" s="7">
        <v>66000</v>
      </c>
      <c r="U97" s="2"/>
      <c r="V97" s="6">
        <f t="shared" si="77"/>
        <v>0</v>
      </c>
      <c r="W97" s="2"/>
      <c r="X97" s="7">
        <f t="shared" si="78"/>
        <v>-1467</v>
      </c>
      <c r="Y97" s="2"/>
      <c r="Z97" s="6">
        <f t="shared" si="79"/>
        <v>-2.2227272727272727E-2</v>
      </c>
    </row>
    <row r="98" spans="1:26" s="56" customFormat="1" x14ac:dyDescent="0.25">
      <c r="A98" s="36"/>
      <c r="B98" s="36"/>
      <c r="C98" s="36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6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collapsed="1" x14ac:dyDescent="0.25">
      <c r="A99" s="10"/>
      <c r="B99" s="29" t="s">
        <v>293</v>
      </c>
      <c r="C99" s="10"/>
      <c r="D99" s="4">
        <f>SUM(OSRRefD25x_0)</f>
        <v>48445.65</v>
      </c>
      <c r="E99" s="4"/>
      <c r="F99" s="12">
        <f t="shared" ref="F99:F101" si="80">IF(D$12=0,0,D99/D$12)</f>
        <v>0</v>
      </c>
      <c r="G99" s="4"/>
      <c r="H99" s="4">
        <f>SUM(OSRRefH25x_0)</f>
        <v>18675</v>
      </c>
      <c r="I99" s="4"/>
      <c r="J99" s="12">
        <f t="shared" ref="J99:J101" si="81">IF(H$12=0,0,H99/H$12)</f>
        <v>0</v>
      </c>
      <c r="K99" s="4"/>
      <c r="L99" s="4">
        <f t="shared" ref="L99:L101" si="82">+D99-H99</f>
        <v>29770.65</v>
      </c>
      <c r="M99" s="4"/>
      <c r="N99" s="12">
        <f t="shared" ref="N99:N101" si="83">IF(H99=0,0,L99/H99)</f>
        <v>1.5941445783132531</v>
      </c>
      <c r="O99" s="10"/>
      <c r="P99" s="4">
        <f>SUM(OSRRefP25x_0)</f>
        <v>231485.97</v>
      </c>
      <c r="Q99" s="4"/>
      <c r="R99" s="12">
        <f t="shared" ref="R99:R101" si="84">IF(P$12=0,0,P99/P$12)</f>
        <v>0</v>
      </c>
      <c r="S99" s="4"/>
      <c r="T99" s="4">
        <f>SUM(OSRRefT25x_0)</f>
        <v>195625</v>
      </c>
      <c r="U99" s="4"/>
      <c r="V99" s="12">
        <f t="shared" ref="V99:V101" si="85">IF(T$12=0,0,T99/T$12)</f>
        <v>0</v>
      </c>
      <c r="W99" s="4"/>
      <c r="X99" s="4">
        <f t="shared" ref="X99:X101" si="86">+P99-T99</f>
        <v>35860.97</v>
      </c>
      <c r="Y99" s="4"/>
      <c r="Z99" s="12">
        <f t="shared" ref="Z99:Z101" si="87">IF(T99=0,0,X99/T99)</f>
        <v>0.18331486261980831</v>
      </c>
    </row>
    <row r="100" spans="1:26" s="24" customFormat="1" hidden="1" outlineLevel="1" x14ac:dyDescent="0.25">
      <c r="A100" s="44"/>
      <c r="B100" s="11" t="str">
        <f>CONCATENATE("          ", "9150", " - ", "MISC. INCOME")</f>
        <v xml:space="preserve">          9150 - MISC. INCOME</v>
      </c>
      <c r="C100" s="11"/>
      <c r="D100" s="2">
        <f>--48445.65</f>
        <v>48445.65</v>
      </c>
      <c r="E100" s="2"/>
      <c r="F100" s="19">
        <f t="shared" si="80"/>
        <v>0</v>
      </c>
      <c r="G100" s="2"/>
      <c r="H100" s="2">
        <v>3200</v>
      </c>
      <c r="I100" s="2"/>
      <c r="J100" s="19">
        <f t="shared" si="81"/>
        <v>0</v>
      </c>
      <c r="K100" s="2"/>
      <c r="L100" s="2">
        <f t="shared" si="82"/>
        <v>45245.65</v>
      </c>
      <c r="M100" s="2"/>
      <c r="N100" s="19">
        <f t="shared" si="83"/>
        <v>14.139265625</v>
      </c>
      <c r="O100" s="11"/>
      <c r="P100" s="2">
        <f>--231485.97</f>
        <v>231485.97</v>
      </c>
      <c r="Q100" s="2"/>
      <c r="R100" s="19">
        <f t="shared" si="84"/>
        <v>0</v>
      </c>
      <c r="S100" s="2"/>
      <c r="T100" s="2">
        <v>27500</v>
      </c>
      <c r="U100" s="2"/>
      <c r="V100" s="19">
        <f t="shared" si="85"/>
        <v>0</v>
      </c>
      <c r="W100" s="2"/>
      <c r="X100" s="2">
        <f t="shared" si="86"/>
        <v>203985.97</v>
      </c>
      <c r="Y100" s="2"/>
      <c r="Z100" s="19">
        <f t="shared" si="87"/>
        <v>7.4176716363636368</v>
      </c>
    </row>
    <row r="101" spans="1:26" s="24" customFormat="1" hidden="1" outlineLevel="1" x14ac:dyDescent="0.25">
      <c r="A101" s="44"/>
      <c r="B101" s="11" t="str">
        <f>CONCATENATE("          ", "9151", " - ", "MISC. INCOME")</f>
        <v xml:space="preserve">          9151 - MISC. INCOME</v>
      </c>
      <c r="C101" s="11"/>
      <c r="D101" s="2">
        <f>0</f>
        <v>0</v>
      </c>
      <c r="E101" s="2"/>
      <c r="F101" s="19">
        <f t="shared" si="80"/>
        <v>0</v>
      </c>
      <c r="G101" s="2"/>
      <c r="H101" s="2">
        <v>15475</v>
      </c>
      <c r="I101" s="2"/>
      <c r="J101" s="19">
        <f t="shared" si="81"/>
        <v>0</v>
      </c>
      <c r="K101" s="2"/>
      <c r="L101" s="2">
        <f t="shared" si="82"/>
        <v>-15475</v>
      </c>
      <c r="M101" s="2"/>
      <c r="N101" s="19">
        <f t="shared" si="83"/>
        <v>-1</v>
      </c>
      <c r="O101" s="11"/>
      <c r="P101" s="2">
        <f>0</f>
        <v>0</v>
      </c>
      <c r="Q101" s="2"/>
      <c r="R101" s="19">
        <f t="shared" si="84"/>
        <v>0</v>
      </c>
      <c r="S101" s="2"/>
      <c r="T101" s="2">
        <v>168125</v>
      </c>
      <c r="U101" s="2"/>
      <c r="V101" s="19">
        <f t="shared" si="85"/>
        <v>0</v>
      </c>
      <c r="W101" s="2"/>
      <c r="X101" s="2">
        <f t="shared" si="86"/>
        <v>-168125</v>
      </c>
      <c r="Y101" s="2"/>
      <c r="Z101" s="19">
        <f t="shared" si="87"/>
        <v>-1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8" t="s">
        <v>277</v>
      </c>
      <c r="C103" s="28"/>
      <c r="D103" s="20">
        <f>+D17-D19+D99</f>
        <v>-58785.749999999978</v>
      </c>
      <c r="E103" s="14"/>
      <c r="F103" s="21">
        <f>IF(D$12=0,0,D103/D$12)</f>
        <v>0</v>
      </c>
      <c r="G103" s="14"/>
      <c r="H103" s="20">
        <f>+H17-H19+H99</f>
        <v>-90845.137118201543</v>
      </c>
      <c r="I103" s="14"/>
      <c r="J103" s="21">
        <f>IF(H$12=0,0,H103/H$12)</f>
        <v>0</v>
      </c>
      <c r="K103" s="15"/>
      <c r="L103" s="20">
        <f>+D103-H103</f>
        <v>32059.387118201565</v>
      </c>
      <c r="M103" s="15"/>
      <c r="N103" s="21">
        <f>IF(H103=0,0,L103/H103)</f>
        <v>-0.35290152159149762</v>
      </c>
      <c r="O103" s="29"/>
      <c r="P103" s="20">
        <f>+P17-P19+P99</f>
        <v>-1077384.2799999998</v>
      </c>
      <c r="Q103" s="14"/>
      <c r="R103" s="21">
        <f>IF(P$12=0,0,P103/P$12)</f>
        <v>0</v>
      </c>
      <c r="S103" s="14"/>
      <c r="T103" s="20">
        <f>+T17-T19+T99</f>
        <v>-1358301.2513673084</v>
      </c>
      <c r="U103" s="14"/>
      <c r="V103" s="21">
        <f>IF(T$12=0,0,T103/T$12)</f>
        <v>0</v>
      </c>
      <c r="W103" s="15"/>
      <c r="X103" s="20">
        <f>+P103-T103</f>
        <v>280916.97136730864</v>
      </c>
      <c r="Y103" s="15"/>
      <c r="Z103" s="21">
        <f>IF(T103=0,0,X103/T103)</f>
        <v>-0.20681492495462905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128</v>
      </c>
      <c r="C105" s="10"/>
      <c r="D105" s="4"/>
      <c r="E105" s="4"/>
      <c r="F105" s="12">
        <f>IF(D$12=0,0,D105/D$12)</f>
        <v>0</v>
      </c>
      <c r="G105" s="4"/>
      <c r="H105" s="4"/>
      <c r="I105" s="4"/>
      <c r="J105" s="12">
        <f>IF(H$12=0,0,H105/H$12)</f>
        <v>0</v>
      </c>
      <c r="K105" s="4"/>
      <c r="L105" s="4">
        <f>+D105-H105</f>
        <v>0</v>
      </c>
      <c r="M105" s="4"/>
      <c r="N105" s="12">
        <f>IF(H105=0,0,L105/H105)</f>
        <v>0</v>
      </c>
      <c r="O105" s="10"/>
      <c r="P105" s="4"/>
      <c r="Q105" s="4"/>
      <c r="R105" s="12">
        <f>IF(P$12=0,0,P105/P$12)</f>
        <v>0</v>
      </c>
      <c r="S105" s="4"/>
      <c r="T105" s="4"/>
      <c r="U105" s="4"/>
      <c r="V105" s="12">
        <f>IF(T$12=0,0,T105/T$12)</f>
        <v>0</v>
      </c>
      <c r="W105" s="4"/>
      <c r="X105" s="4">
        <f>+P105-T105</f>
        <v>0</v>
      </c>
      <c r="Y105" s="4"/>
      <c r="Z105" s="12">
        <f>IF(T105=0,0,X105/T105)</f>
        <v>0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126</v>
      </c>
      <c r="C107" s="28"/>
      <c r="D107" s="35">
        <f>+D103-D105</f>
        <v>-58785.749999999978</v>
      </c>
      <c r="E107" s="14"/>
      <c r="F107" s="34">
        <f>IF(D$12=0,0,D107/D$12)</f>
        <v>0</v>
      </c>
      <c r="G107" s="14"/>
      <c r="H107" s="35">
        <f>+H103-H105</f>
        <v>-90845.137118201543</v>
      </c>
      <c r="I107" s="14"/>
      <c r="J107" s="34">
        <f>IF(H$12=0,0,H107/H$12)</f>
        <v>0</v>
      </c>
      <c r="K107" s="15"/>
      <c r="L107" s="35">
        <f>D107-H107</f>
        <v>32059.387118201565</v>
      </c>
      <c r="M107" s="15"/>
      <c r="N107" s="34">
        <f>IF(H107=0,0,L107/H107)</f>
        <v>-0.35290152159149762</v>
      </c>
      <c r="O107" s="29"/>
      <c r="P107" s="35">
        <f>+P103-P105</f>
        <v>-1077384.2799999998</v>
      </c>
      <c r="Q107" s="14"/>
      <c r="R107" s="34">
        <f>IF(P$12=0,0,P107/P$12)</f>
        <v>0</v>
      </c>
      <c r="S107" s="14"/>
      <c r="T107" s="35">
        <f>+T103-T105</f>
        <v>-1358301.2513673084</v>
      </c>
      <c r="U107" s="14"/>
      <c r="V107" s="34">
        <f>IF(T$12=0,0,T107/T$12)</f>
        <v>0</v>
      </c>
      <c r="W107" s="15"/>
      <c r="X107" s="35">
        <f>P107-T107</f>
        <v>280916.97136730864</v>
      </c>
      <c r="Y107" s="15"/>
      <c r="Z107" s="34">
        <f>IF(T107=0,0,X107/T107)</f>
        <v>-0.20681492495462905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8" t="s">
        <v>294</v>
      </c>
      <c r="C110" s="28"/>
      <c r="D110" s="33">
        <f>SUM(D107:D109)</f>
        <v>-58785.749999999978</v>
      </c>
      <c r="E110" s="14"/>
      <c r="F110" s="32">
        <f>IF(D$12=0,0,D110/D$12)</f>
        <v>0</v>
      </c>
      <c r="G110" s="14"/>
      <c r="H110" s="33">
        <f>SUM(H107:H109)</f>
        <v>-90845.137118201543</v>
      </c>
      <c r="I110" s="14"/>
      <c r="J110" s="32">
        <f>IF(H$12=0,0,H110/H$12)</f>
        <v>0</v>
      </c>
      <c r="K110" s="15"/>
      <c r="L110" s="33">
        <f>+D110-H110</f>
        <v>32059.387118201565</v>
      </c>
      <c r="M110" s="15"/>
      <c r="N110" s="32">
        <f>IF(H110=0,0,L110/H110)</f>
        <v>-0.35290152159149762</v>
      </c>
      <c r="O110" s="29"/>
      <c r="P110" s="33">
        <f>SUM(P107:P109)</f>
        <v>-1077384.2799999998</v>
      </c>
      <c r="Q110" s="14"/>
      <c r="R110" s="32">
        <f>IF(P$12=0,0,P110/P$12)</f>
        <v>0</v>
      </c>
      <c r="S110" s="14"/>
      <c r="T110" s="33">
        <f>SUM(T107:T109)</f>
        <v>-1358301.2513673084</v>
      </c>
      <c r="U110" s="14"/>
      <c r="V110" s="32">
        <f>IF(T$12=0,0,T110/T$12)</f>
        <v>0</v>
      </c>
      <c r="W110" s="15"/>
      <c r="X110" s="33">
        <f>+P110-T110</f>
        <v>280916.97136730864</v>
      </c>
      <c r="Y110" s="15"/>
      <c r="Z110" s="32">
        <f>IF(T110=0,0,X110/T110)</f>
        <v>-0.20681492495462905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60">
        <v>44356.891834571761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5" t="s">
        <v>56</v>
      </c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63"/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81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8198</v>
      </c>
      <c r="I12" s="4"/>
      <c r="J12" s="12"/>
      <c r="K12" s="4"/>
      <c r="L12" s="4">
        <f t="shared" ref="L12:L26" si="0">+D12-H12</f>
        <v>-8198</v>
      </c>
      <c r="M12" s="4"/>
      <c r="N12" s="12">
        <f t="shared" ref="N12:N26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160730</v>
      </c>
      <c r="U12" s="4"/>
      <c r="V12" s="12"/>
      <c r="W12" s="4"/>
      <c r="X12" s="4">
        <f t="shared" ref="X12:X26" si="2">+P12-T12</f>
        <v>-139418.08000000002</v>
      </c>
      <c r="Y12" s="4"/>
      <c r="Z12" s="12">
        <f t="shared" ref="Z12:Z26" si="3">IF(T12=0,0,X12/T12)</f>
        <v>-0.86740546257699258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2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/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--17.51</f>
        <v>17.510000000000002</v>
      </c>
      <c r="Q14" s="2"/>
      <c r="R14" s="19"/>
      <c r="S14" s="2"/>
      <c r="T14" s="2"/>
      <c r="U14" s="2"/>
      <c r="V14" s="19"/>
      <c r="W14" s="2"/>
      <c r="X14" s="2">
        <f t="shared" si="2"/>
        <v>17.510000000000002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--7990.32</f>
        <v>7990.32</v>
      </c>
      <c r="Q15" s="2"/>
      <c r="R15" s="19"/>
      <c r="S15" s="2"/>
      <c r="T15" s="2"/>
      <c r="U15" s="2"/>
      <c r="V15" s="19"/>
      <c r="W15" s="2"/>
      <c r="X15" s="2">
        <f t="shared" si="2"/>
        <v>7990.32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--12479.05</f>
        <v>12479.05</v>
      </c>
      <c r="Q16" s="2"/>
      <c r="R16" s="19"/>
      <c r="S16" s="2"/>
      <c r="T16" s="2"/>
      <c r="U16" s="2"/>
      <c r="V16" s="19"/>
      <c r="W16" s="2"/>
      <c r="X16" s="2">
        <f t="shared" si="2"/>
        <v>12479.05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--374.55</f>
        <v>374.55</v>
      </c>
      <c r="Q17" s="2"/>
      <c r="R17" s="19"/>
      <c r="S17" s="2"/>
      <c r="T17" s="2"/>
      <c r="U17" s="2"/>
      <c r="V17" s="19"/>
      <c r="W17" s="2"/>
      <c r="X17" s="2">
        <f t="shared" si="2"/>
        <v>374.55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--71.95</f>
        <v>71.95</v>
      </c>
      <c r="Q18" s="2"/>
      <c r="R18" s="19"/>
      <c r="S18" s="2"/>
      <c r="T18" s="2"/>
      <c r="U18" s="2"/>
      <c r="V18" s="19"/>
      <c r="W18" s="2"/>
      <c r="X18" s="2">
        <f t="shared" si="2"/>
        <v>71.95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--9.99</f>
        <v>9.99</v>
      </c>
      <c r="Q19" s="2"/>
      <c r="R19" s="19"/>
      <c r="S19" s="2"/>
      <c r="T19" s="2"/>
      <c r="U19" s="2"/>
      <c r="V19" s="19"/>
      <c r="W19" s="2"/>
      <c r="X19" s="2">
        <f t="shared" si="2"/>
        <v>9.99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 t="shared" si="4"/>
        <v>0</v>
      </c>
      <c r="E20" s="2"/>
      <c r="F20" s="19"/>
      <c r="G20" s="2"/>
      <c r="H20" s="2">
        <v>8198</v>
      </c>
      <c r="I20" s="2"/>
      <c r="J20" s="19"/>
      <c r="K20" s="2"/>
      <c r="L20" s="2">
        <f t="shared" si="0"/>
        <v>-8198</v>
      </c>
      <c r="M20" s="2"/>
      <c r="N20" s="19">
        <f t="shared" si="1"/>
        <v>-1</v>
      </c>
      <c r="O20" s="11"/>
      <c r="P20" s="2">
        <f t="shared" ref="P20:P21" si="5">0</f>
        <v>0</v>
      </c>
      <c r="Q20" s="2"/>
      <c r="R20" s="19"/>
      <c r="S20" s="2"/>
      <c r="T20" s="2">
        <v>160730</v>
      </c>
      <c r="U20" s="2"/>
      <c r="V20" s="19"/>
      <c r="W20" s="2"/>
      <c r="X20" s="2">
        <f t="shared" si="2"/>
        <v>-160730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si="5"/>
        <v>0</v>
      </c>
      <c r="Q21" s="2"/>
      <c r="R21" s="19"/>
      <c r="S21" s="2"/>
      <c r="T21" s="2"/>
      <c r="U21" s="2"/>
      <c r="V21" s="19"/>
      <c r="W21" s="2"/>
      <c r="X21" s="2">
        <f t="shared" si="2"/>
        <v>0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"4131", " - ", "NON-TAXABLE SALES-FOOD")</f>
        <v xml:space="preserve">          4131 - NON-TAXABLE SALES-FOOD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--1847.16</f>
        <v>1847.16</v>
      </c>
      <c r="Q22" s="2"/>
      <c r="R22" s="19"/>
      <c r="S22" s="2"/>
      <c r="T22" s="2"/>
      <c r="U22" s="2"/>
      <c r="V22" s="19"/>
      <c r="W22" s="2"/>
      <c r="X22" s="2">
        <f t="shared" si="2"/>
        <v>1847.16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"4133", " - ", "NON-TAXABLE SALES-CANDY")</f>
        <v xml:space="preserve">          4133 - NON-TAXABLE SALES-CANDY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6">0</f>
        <v>0</v>
      </c>
      <c r="Q23" s="2"/>
      <c r="R23" s="19"/>
      <c r="S23" s="2"/>
      <c r="T23" s="2"/>
      <c r="U23" s="2"/>
      <c r="V23" s="19"/>
      <c r="W23" s="2"/>
      <c r="X23" s="2">
        <f t="shared" si="2"/>
        <v>0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"4226", " - ", "SALES RETURN TAXABLE-WRITING I")</f>
        <v xml:space="preserve">          4226 - SALES RETURN TAXABLE-WRITING I</v>
      </c>
      <c r="C24" s="11"/>
      <c r="D24" s="2">
        <f t="shared" si="4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6"/>
        <v>0</v>
      </c>
      <c r="Q24" s="2"/>
      <c r="R24" s="19"/>
      <c r="S24" s="2"/>
      <c r="T24" s="2"/>
      <c r="U24" s="2"/>
      <c r="V24" s="19"/>
      <c r="W24" s="2"/>
      <c r="X24" s="2">
        <f t="shared" si="2"/>
        <v>0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"4227", " - ", "SALES RETURN TAXABLE-SCHOOL SU")</f>
        <v xml:space="preserve">          4227 - SALES RETURN TAXABLE-SCHOOL SU</v>
      </c>
      <c r="C25" s="11"/>
      <c r="D25" s="2">
        <f t="shared" si="4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-159.97</f>
        <v>-159.97</v>
      </c>
      <c r="Q25" s="2"/>
      <c r="R25" s="19"/>
      <c r="S25" s="2"/>
      <c r="T25" s="2"/>
      <c r="U25" s="2"/>
      <c r="V25" s="19"/>
      <c r="W25" s="2"/>
      <c r="X25" s="2">
        <f t="shared" si="2"/>
        <v>-159.97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"4228", " - ", "SALES RETURN TAXABLE-ART/TECH")</f>
        <v xml:space="preserve">          4228 - SALES RETURN TAXABLE-ART/TECH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-222.2</f>
        <v>-222.2</v>
      </c>
      <c r="Q26" s="2"/>
      <c r="R26" s="19"/>
      <c r="S26" s="2"/>
      <c r="T26" s="2"/>
      <c r="U26" s="2"/>
      <c r="V26" s="19"/>
      <c r="W26" s="2"/>
      <c r="X26" s="2">
        <f t="shared" si="2"/>
        <v>-222.2</v>
      </c>
      <c r="Y26" s="2"/>
      <c r="Z26" s="19">
        <f t="shared" si="3"/>
        <v>0</v>
      </c>
    </row>
    <row r="27" spans="1:26" x14ac:dyDescent="0.25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collapsed="1" x14ac:dyDescent="0.25">
      <c r="A28" s="10"/>
      <c r="B28" s="29" t="s">
        <v>257</v>
      </c>
      <c r="C28" s="10"/>
      <c r="D28" s="4">
        <f>SUM(OSRRefD16x_0)</f>
        <v>28.53</v>
      </c>
      <c r="E28" s="4"/>
      <c r="F28" s="12">
        <f t="shared" ref="F28:F36" si="7">IF(D$12=0,0,D28/D$12)</f>
        <v>0</v>
      </c>
      <c r="G28" s="4"/>
      <c r="H28" s="4">
        <f>SUM(OSRRefH16x_0)</f>
        <v>4265</v>
      </c>
      <c r="I28" s="4"/>
      <c r="J28" s="12">
        <f t="shared" ref="J28:J36" si="8">IF(H$12=0,0,H28/H$12)</f>
        <v>0.52024884118077575</v>
      </c>
      <c r="K28" s="4"/>
      <c r="L28" s="4">
        <f t="shared" ref="L28:L36" si="9">+D28-H28</f>
        <v>-4236.47</v>
      </c>
      <c r="M28" s="4"/>
      <c r="N28" s="12">
        <f t="shared" ref="N28:N36" si="10">IF(H28=0,0,L28/H28)</f>
        <v>-0.99331066822977732</v>
      </c>
      <c r="O28" s="10"/>
      <c r="P28" s="4">
        <f>SUM(OSRRefP16x_0)</f>
        <v>13821.519999999993</v>
      </c>
      <c r="Q28" s="4"/>
      <c r="R28" s="12">
        <f t="shared" ref="R28:R36" si="11">IF(P$12=0,0,P28/P$12)</f>
        <v>0.64853471672190932</v>
      </c>
      <c r="S28" s="4"/>
      <c r="T28" s="4">
        <f>SUM(OSRRefT16x_0)</f>
        <v>81486</v>
      </c>
      <c r="U28" s="4"/>
      <c r="V28" s="12">
        <f t="shared" ref="V28:V36" si="12">IF(T$12=0,0,T28/T$12)</f>
        <v>0.50697442916692592</v>
      </c>
      <c r="W28" s="4"/>
      <c r="X28" s="4">
        <f t="shared" ref="X28:X36" si="13">+P28-T28</f>
        <v>-67664.48000000001</v>
      </c>
      <c r="Y28" s="4"/>
      <c r="Z28" s="12">
        <f t="shared" ref="Z28:Z36" si="14">IF(T28=0,0,X28/T28)</f>
        <v>-0.83038166065336394</v>
      </c>
    </row>
    <row r="29" spans="1:26" s="24" customFormat="1" hidden="1" outlineLevel="1" x14ac:dyDescent="0.25">
      <c r="A29" s="44"/>
      <c r="B29" s="11" t="str">
        <f>CONCATENATE("          ", "5000", " - ", "PURCHASES @ COST")</f>
        <v xml:space="preserve">          5000 - PURCHASES @ COST</v>
      </c>
      <c r="C29" s="11"/>
      <c r="D29" s="2"/>
      <c r="E29" s="2"/>
      <c r="F29" s="19">
        <f t="shared" si="7"/>
        <v>0</v>
      </c>
      <c r="G29" s="2"/>
      <c r="H29" s="2">
        <v>4265</v>
      </c>
      <c r="I29" s="2"/>
      <c r="J29" s="19">
        <f t="shared" si="8"/>
        <v>0.52024884118077575</v>
      </c>
      <c r="K29" s="2"/>
      <c r="L29" s="2">
        <f t="shared" si="9"/>
        <v>-4265</v>
      </c>
      <c r="M29" s="2"/>
      <c r="N29" s="19">
        <f t="shared" si="10"/>
        <v>-1</v>
      </c>
      <c r="O29" s="11"/>
      <c r="P29" s="2"/>
      <c r="Q29" s="2"/>
      <c r="R29" s="19">
        <f t="shared" si="11"/>
        <v>0</v>
      </c>
      <c r="S29" s="2"/>
      <c r="T29" s="2">
        <v>81486</v>
      </c>
      <c r="U29" s="2"/>
      <c r="V29" s="19">
        <f t="shared" si="12"/>
        <v>0.50697442916692592</v>
      </c>
      <c r="W29" s="2"/>
      <c r="X29" s="2">
        <f t="shared" si="13"/>
        <v>-81486</v>
      </c>
      <c r="Y29" s="2"/>
      <c r="Z29" s="19">
        <f t="shared" si="14"/>
        <v>-1</v>
      </c>
    </row>
    <row r="30" spans="1:26" s="24" customFormat="1" hidden="1" outlineLevel="1" x14ac:dyDescent="0.25">
      <c r="A30" s="44"/>
      <c r="B30" s="11" t="str">
        <f>CONCATENATE("          ", "5026", " - ", "PURCHASES @ COST-WRITING INSTR")</f>
        <v xml:space="preserve">          5026 - PURCHASES @ COST-WRITING INSTR</v>
      </c>
      <c r="C30" s="11"/>
      <c r="D30" s="2"/>
      <c r="E30" s="2"/>
      <c r="F30" s="19">
        <f t="shared" si="7"/>
        <v>0</v>
      </c>
      <c r="G30" s="2"/>
      <c r="H30" s="2"/>
      <c r="I30" s="2"/>
      <c r="J30" s="19">
        <f t="shared" si="8"/>
        <v>0</v>
      </c>
      <c r="K30" s="2"/>
      <c r="L30" s="2">
        <f t="shared" si="9"/>
        <v>0</v>
      </c>
      <c r="M30" s="2"/>
      <c r="N30" s="19">
        <f t="shared" si="10"/>
        <v>0</v>
      </c>
      <c r="O30" s="11"/>
      <c r="P30" s="2">
        <v>364.91</v>
      </c>
      <c r="Q30" s="2"/>
      <c r="R30" s="19">
        <f t="shared" si="11"/>
        <v>1.7122342801587094E-2</v>
      </c>
      <c r="S30" s="2"/>
      <c r="T30" s="2"/>
      <c r="U30" s="2"/>
      <c r="V30" s="19">
        <f t="shared" si="12"/>
        <v>0</v>
      </c>
      <c r="W30" s="2"/>
      <c r="X30" s="2">
        <f t="shared" si="13"/>
        <v>364.91</v>
      </c>
      <c r="Y30" s="2"/>
      <c r="Z30" s="19">
        <f t="shared" si="14"/>
        <v>0</v>
      </c>
    </row>
    <row r="31" spans="1:26" s="24" customFormat="1" hidden="1" outlineLevel="1" x14ac:dyDescent="0.25">
      <c r="A31" s="44"/>
      <c r="B31" s="11" t="str">
        <f>CONCATENATE("          ", "5027", " - ", "PURCHASES @ COST-SCHOOL SUPPLI")</f>
        <v xml:space="preserve">          5027 - PURCHASES @ COST-SCHOOL SUPPLI</v>
      </c>
      <c r="C31" s="11"/>
      <c r="D31" s="2"/>
      <c r="E31" s="2"/>
      <c r="F31" s="19">
        <f t="shared" si="7"/>
        <v>0</v>
      </c>
      <c r="G31" s="2"/>
      <c r="H31" s="2"/>
      <c r="I31" s="2"/>
      <c r="J31" s="19">
        <f t="shared" si="8"/>
        <v>0</v>
      </c>
      <c r="K31" s="2"/>
      <c r="L31" s="2">
        <f t="shared" si="9"/>
        <v>0</v>
      </c>
      <c r="M31" s="2"/>
      <c r="N31" s="19">
        <f t="shared" si="10"/>
        <v>0</v>
      </c>
      <c r="O31" s="11"/>
      <c r="P31" s="2">
        <v>895.47</v>
      </c>
      <c r="Q31" s="2"/>
      <c r="R31" s="19">
        <f t="shared" si="11"/>
        <v>4.201733114613794E-2</v>
      </c>
      <c r="S31" s="2"/>
      <c r="T31" s="2"/>
      <c r="U31" s="2"/>
      <c r="V31" s="19">
        <f t="shared" si="12"/>
        <v>0</v>
      </c>
      <c r="W31" s="2"/>
      <c r="X31" s="2">
        <f t="shared" si="13"/>
        <v>895.47</v>
      </c>
      <c r="Y31" s="2"/>
      <c r="Z31" s="19">
        <f t="shared" si="14"/>
        <v>0</v>
      </c>
    </row>
    <row r="32" spans="1:26" s="24" customFormat="1" hidden="1" outlineLevel="1" x14ac:dyDescent="0.25">
      <c r="A32" s="44"/>
      <c r="B32" s="11" t="str">
        <f>CONCATENATE("          ", "5028", " - ", "PURCHASES @ COST-ART/TECH")</f>
        <v xml:space="preserve">          5028 - PURCHASES @ COST-ART/TECH</v>
      </c>
      <c r="C32" s="11"/>
      <c r="D32" s="2"/>
      <c r="E32" s="2"/>
      <c r="F32" s="19">
        <f t="shared" si="7"/>
        <v>0</v>
      </c>
      <c r="G32" s="2"/>
      <c r="H32" s="2"/>
      <c r="I32" s="2"/>
      <c r="J32" s="19">
        <f t="shared" si="8"/>
        <v>0</v>
      </c>
      <c r="K32" s="2"/>
      <c r="L32" s="2">
        <f t="shared" si="9"/>
        <v>0</v>
      </c>
      <c r="M32" s="2"/>
      <c r="N32" s="19">
        <f t="shared" si="10"/>
        <v>0</v>
      </c>
      <c r="O32" s="11"/>
      <c r="P32" s="2">
        <v>41441.85</v>
      </c>
      <c r="Q32" s="2"/>
      <c r="R32" s="19">
        <f t="shared" si="11"/>
        <v>1.9445385493188789</v>
      </c>
      <c r="S32" s="2"/>
      <c r="T32" s="2"/>
      <c r="U32" s="2"/>
      <c r="V32" s="19">
        <f t="shared" si="12"/>
        <v>0</v>
      </c>
      <c r="W32" s="2"/>
      <c r="X32" s="2">
        <f t="shared" si="13"/>
        <v>41441.85</v>
      </c>
      <c r="Y32" s="2"/>
      <c r="Z32" s="19">
        <f t="shared" si="14"/>
        <v>0</v>
      </c>
    </row>
    <row r="33" spans="1:26" s="24" customFormat="1" hidden="1" outlineLevel="1" x14ac:dyDescent="0.25">
      <c r="A33" s="44"/>
      <c r="B33" s="11" t="str">
        <f>CONCATENATE("          ", "5031", " - ", "PURCHASES @ COST-FOOD")</f>
        <v xml:space="preserve">          5031 - PURCHASES @ COST-FOOD</v>
      </c>
      <c r="C33" s="11"/>
      <c r="D33" s="2"/>
      <c r="E33" s="2"/>
      <c r="F33" s="19">
        <f t="shared" si="7"/>
        <v>0</v>
      </c>
      <c r="G33" s="2"/>
      <c r="H33" s="2"/>
      <c r="I33" s="2"/>
      <c r="J33" s="19">
        <f t="shared" si="8"/>
        <v>0</v>
      </c>
      <c r="K33" s="2"/>
      <c r="L33" s="2">
        <f t="shared" si="9"/>
        <v>0</v>
      </c>
      <c r="M33" s="2"/>
      <c r="N33" s="19">
        <f t="shared" si="10"/>
        <v>0</v>
      </c>
      <c r="O33" s="11"/>
      <c r="P33" s="2">
        <v>2441.5700000000002</v>
      </c>
      <c r="Q33" s="2"/>
      <c r="R33" s="19">
        <f t="shared" si="11"/>
        <v>0.11456358695040149</v>
      </c>
      <c r="S33" s="2"/>
      <c r="T33" s="2"/>
      <c r="U33" s="2"/>
      <c r="V33" s="19">
        <f t="shared" si="12"/>
        <v>0</v>
      </c>
      <c r="W33" s="2"/>
      <c r="X33" s="2">
        <f t="shared" si="13"/>
        <v>2441.5700000000002</v>
      </c>
      <c r="Y33" s="2"/>
      <c r="Z33" s="19">
        <f t="shared" si="14"/>
        <v>0</v>
      </c>
    </row>
    <row r="34" spans="1:26" s="24" customFormat="1" hidden="1" outlineLevel="1" x14ac:dyDescent="0.25">
      <c r="A34" s="44"/>
      <c r="B34" s="11" t="str">
        <f>CONCATENATE("          ", "5200", " - ", "PURCHASES OFFSET")</f>
        <v xml:space="preserve">          5200 - PURCHASES OFFSET</v>
      </c>
      <c r="C34" s="11"/>
      <c r="D34" s="2"/>
      <c r="E34" s="2"/>
      <c r="F34" s="19">
        <f t="shared" si="7"/>
        <v>0</v>
      </c>
      <c r="G34" s="2"/>
      <c r="H34" s="2"/>
      <c r="I34" s="2"/>
      <c r="J34" s="19">
        <f t="shared" si="8"/>
        <v>0</v>
      </c>
      <c r="K34" s="2"/>
      <c r="L34" s="2">
        <f t="shared" si="9"/>
        <v>0</v>
      </c>
      <c r="M34" s="2"/>
      <c r="N34" s="19">
        <f t="shared" si="10"/>
        <v>0</v>
      </c>
      <c r="O34" s="11"/>
      <c r="P34" s="2">
        <v>-45863.33</v>
      </c>
      <c r="Q34" s="2"/>
      <c r="R34" s="19">
        <f t="shared" si="11"/>
        <v>-2.1520036674311842</v>
      </c>
      <c r="S34" s="2"/>
      <c r="T34" s="2"/>
      <c r="U34" s="2"/>
      <c r="V34" s="19">
        <f t="shared" si="12"/>
        <v>0</v>
      </c>
      <c r="W34" s="2"/>
      <c r="X34" s="2">
        <f t="shared" si="13"/>
        <v>-45863.33</v>
      </c>
      <c r="Y34" s="2"/>
      <c r="Z34" s="19">
        <f t="shared" si="14"/>
        <v>0</v>
      </c>
    </row>
    <row r="35" spans="1:26" s="24" customFormat="1" hidden="1" outlineLevel="1" x14ac:dyDescent="0.25">
      <c r="A35" s="44"/>
      <c r="B35" s="11" t="str">
        <f>CONCATENATE("          ", "5300", " - ", "COG$ OFFSET")</f>
        <v xml:space="preserve">          5300 - COG$ OFFSET</v>
      </c>
      <c r="C35" s="11"/>
      <c r="D35" s="2"/>
      <c r="E35" s="2"/>
      <c r="F35" s="19">
        <f t="shared" si="7"/>
        <v>0</v>
      </c>
      <c r="G35" s="2"/>
      <c r="H35" s="2"/>
      <c r="I35" s="2"/>
      <c r="J35" s="19">
        <f t="shared" si="8"/>
        <v>0</v>
      </c>
      <c r="K35" s="2"/>
      <c r="L35" s="2">
        <f t="shared" si="9"/>
        <v>0</v>
      </c>
      <c r="M35" s="2"/>
      <c r="N35" s="19">
        <f t="shared" si="10"/>
        <v>0</v>
      </c>
      <c r="O35" s="11"/>
      <c r="P35" s="2">
        <v>14145</v>
      </c>
      <c r="Q35" s="2"/>
      <c r="R35" s="19">
        <f t="shared" si="11"/>
        <v>0.66371307700103988</v>
      </c>
      <c r="S35" s="2"/>
      <c r="T35" s="2"/>
      <c r="U35" s="2"/>
      <c r="V35" s="19">
        <f t="shared" si="12"/>
        <v>0</v>
      </c>
      <c r="W35" s="2"/>
      <c r="X35" s="2">
        <f t="shared" si="13"/>
        <v>14145</v>
      </c>
      <c r="Y35" s="2"/>
      <c r="Z35" s="19">
        <f t="shared" si="14"/>
        <v>0</v>
      </c>
    </row>
    <row r="36" spans="1:26" s="24" customFormat="1" hidden="1" outlineLevel="1" x14ac:dyDescent="0.25">
      <c r="A36" s="44"/>
      <c r="B36" s="11" t="str">
        <f>CONCATENATE("          ", "5528", " - ", "FREIGHT-IN-ART/TECH")</f>
        <v xml:space="preserve">          5528 - FREIGHT-IN-ART/TECH</v>
      </c>
      <c r="C36" s="11"/>
      <c r="D36" s="2">
        <v>28.53</v>
      </c>
      <c r="E36" s="2"/>
      <c r="F36" s="19">
        <f t="shared" si="7"/>
        <v>0</v>
      </c>
      <c r="G36" s="2"/>
      <c r="H36" s="2"/>
      <c r="I36" s="2"/>
      <c r="J36" s="19">
        <f t="shared" si="8"/>
        <v>0</v>
      </c>
      <c r="K36" s="2"/>
      <c r="L36" s="2">
        <f t="shared" si="9"/>
        <v>28.53</v>
      </c>
      <c r="M36" s="2"/>
      <c r="N36" s="19">
        <f t="shared" si="10"/>
        <v>0</v>
      </c>
      <c r="O36" s="11"/>
      <c r="P36" s="2">
        <v>396.05</v>
      </c>
      <c r="Q36" s="2"/>
      <c r="R36" s="19">
        <f t="shared" si="11"/>
        <v>1.8583496935048557E-2</v>
      </c>
      <c r="S36" s="2"/>
      <c r="T36" s="2"/>
      <c r="U36" s="2"/>
      <c r="V36" s="19">
        <f t="shared" si="12"/>
        <v>0</v>
      </c>
      <c r="W36" s="2"/>
      <c r="X36" s="2">
        <f t="shared" si="13"/>
        <v>396.05</v>
      </c>
      <c r="Y36" s="2"/>
      <c r="Z36" s="19">
        <f t="shared" si="14"/>
        <v>0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10"/>
      <c r="B38" s="28" t="s">
        <v>108</v>
      </c>
      <c r="C38" s="28"/>
      <c r="D38" s="20">
        <f>D12-D28</f>
        <v>-28.53</v>
      </c>
      <c r="E38" s="14"/>
      <c r="F38" s="21">
        <f>IF(D$12=0,0,D38/D$12)</f>
        <v>0</v>
      </c>
      <c r="G38" s="14"/>
      <c r="H38" s="20">
        <f>H12-H28</f>
        <v>3933</v>
      </c>
      <c r="I38" s="14"/>
      <c r="J38" s="21">
        <f>IF(H$12=0,0,H38/H$12)</f>
        <v>0.4797511588192242</v>
      </c>
      <c r="K38" s="15"/>
      <c r="L38" s="20">
        <f>+D38-H38</f>
        <v>-3961.53</v>
      </c>
      <c r="M38" s="15"/>
      <c r="N38" s="21">
        <f>IF(H38=0,0,L38/H38)</f>
        <v>-1.0072540045766591</v>
      </c>
      <c r="O38" s="29"/>
      <c r="P38" s="20">
        <f>P12-P28</f>
        <v>7490.4000000000051</v>
      </c>
      <c r="Q38" s="14"/>
      <c r="R38" s="21">
        <f>IF(P$12=0,0,P38/P$12)</f>
        <v>0.35146528327809062</v>
      </c>
      <c r="S38" s="14"/>
      <c r="T38" s="20">
        <f>T12-T28</f>
        <v>79244</v>
      </c>
      <c r="U38" s="14"/>
      <c r="V38" s="21">
        <f>IF(T$12=0,0,T38/T$12)</f>
        <v>0.49302557083307408</v>
      </c>
      <c r="W38" s="15"/>
      <c r="X38" s="20">
        <f>+P38-T38</f>
        <v>-71753.599999999991</v>
      </c>
      <c r="Y38" s="15"/>
      <c r="Z38" s="21">
        <f>IF(T38=0,0,X38/T38)</f>
        <v>-0.90547675533794347</v>
      </c>
    </row>
    <row r="39" spans="1:26" x14ac:dyDescent="0.25">
      <c r="A39" s="9"/>
      <c r="B39" s="10"/>
      <c r="C39" s="9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x14ac:dyDescent="0.25">
      <c r="A40" s="10"/>
      <c r="B40" s="29" t="s">
        <v>295</v>
      </c>
      <c r="C40" s="10"/>
      <c r="D40" s="22">
        <f>SUM(OSRRefD22x_0)</f>
        <v>53</v>
      </c>
      <c r="E40" s="22"/>
      <c r="F40" s="31">
        <f t="shared" ref="F40:F50" si="15">IF(D$12=0,0,D40/D$12)</f>
        <v>0</v>
      </c>
      <c r="G40" s="22"/>
      <c r="H40" s="22">
        <f>SUM(OSRRefH22x_0)</f>
        <v>11034.155709999999</v>
      </c>
      <c r="I40" s="22"/>
      <c r="J40" s="31">
        <f t="shared" ref="J40:J50" si="16">IF(H$12=0,0,H40/H$12)</f>
        <v>1.3459570273237373</v>
      </c>
      <c r="K40" s="4"/>
      <c r="L40" s="22">
        <f t="shared" ref="L40:L50" si="17">+D40-H40</f>
        <v>-10981.155709999999</v>
      </c>
      <c r="M40" s="4"/>
      <c r="N40" s="31">
        <f t="shared" ref="N40:N50" si="18">IF(H40=0,0,L40/H40)</f>
        <v>-0.99519673263700936</v>
      </c>
      <c r="O40" s="10"/>
      <c r="P40" s="22">
        <f>SUM(OSRRefP22x_0)</f>
        <v>12753.859999999997</v>
      </c>
      <c r="Q40" s="22"/>
      <c r="R40" s="31">
        <f t="shared" ref="R40:R50" si="19">IF(P$12=0,0,P40/P$12)</f>
        <v>0.59843786951152211</v>
      </c>
      <c r="S40" s="22"/>
      <c r="T40" s="22">
        <f>SUM(OSRRefT22x_0)</f>
        <v>145433.31742400001</v>
      </c>
      <c r="U40" s="22"/>
      <c r="V40" s="31">
        <f t="shared" ref="V40:V50" si="20">IF(T$12=0,0,T40/T$12)</f>
        <v>0.90482994726560073</v>
      </c>
      <c r="W40" s="4"/>
      <c r="X40" s="22">
        <f t="shared" ref="X40:X50" si="21">+P40-T40</f>
        <v>-132679.45742400002</v>
      </c>
      <c r="Y40" s="4"/>
      <c r="Z40" s="31">
        <f t="shared" ref="Z40:Z50" si="22">IF(T40=0,0,X40/T40)</f>
        <v>-0.91230441396851958</v>
      </c>
    </row>
    <row r="41" spans="1:26" s="27" customFormat="1" outlineLevel="1" collapsed="1" x14ac:dyDescent="0.25">
      <c r="A41" s="26"/>
      <c r="B41" s="13" t="str">
        <f>CONCATENATE("     ","*Benefits                                         ")</f>
        <v xml:space="preserve">     *Benefits                                         </v>
      </c>
      <c r="C41" s="13"/>
      <c r="D41" s="1">
        <f>SUM(OSRRefD22_0x_0)</f>
        <v>0</v>
      </c>
      <c r="E41" s="1"/>
      <c r="F41" s="5">
        <f t="shared" si="15"/>
        <v>0</v>
      </c>
      <c r="G41" s="1"/>
      <c r="H41" s="1">
        <f>SUM(OSRRefH22_0x_0)</f>
        <v>1896.68571</v>
      </c>
      <c r="I41" s="1"/>
      <c r="J41" s="5">
        <f t="shared" si="16"/>
        <v>0.23135956452793363</v>
      </c>
      <c r="K41" s="1"/>
      <c r="L41" s="1">
        <f t="shared" si="17"/>
        <v>-1896.68571</v>
      </c>
      <c r="M41" s="1"/>
      <c r="N41" s="5">
        <f t="shared" si="18"/>
        <v>-1</v>
      </c>
      <c r="O41" s="13"/>
      <c r="P41" s="1">
        <f>SUM(OSRRefP22_0x_0)</f>
        <v>778.2</v>
      </c>
      <c r="Q41" s="1"/>
      <c r="R41" s="5">
        <f t="shared" si="19"/>
        <v>3.6514776707119778E-2</v>
      </c>
      <c r="S41" s="1"/>
      <c r="T41" s="1">
        <f>SUM(OSRRefT22_0x_0)</f>
        <v>22678.387423999997</v>
      </c>
      <c r="U41" s="1"/>
      <c r="V41" s="5">
        <f t="shared" si="20"/>
        <v>0.14109617012381009</v>
      </c>
      <c r="W41" s="1"/>
      <c r="X41" s="1">
        <f t="shared" si="21"/>
        <v>-21900.187423999996</v>
      </c>
      <c r="Y41" s="1"/>
      <c r="Z41" s="5">
        <f t="shared" si="22"/>
        <v>-0.96568539087675831</v>
      </c>
    </row>
    <row r="42" spans="1:26" s="24" customFormat="1" hidden="1" outlineLevel="2" x14ac:dyDescent="0.25">
      <c r="A42" s="25"/>
      <c r="B42" s="11" t="str">
        <f>CONCATENATE("          ", "6111", " - ", "F.I.C.A.")</f>
        <v xml:space="preserve">          6111 - F.I.C.A.</v>
      </c>
      <c r="C42" s="11"/>
      <c r="D42" s="7"/>
      <c r="E42" s="2"/>
      <c r="F42" s="6">
        <f t="shared" si="15"/>
        <v>0</v>
      </c>
      <c r="G42" s="2"/>
      <c r="H42" s="7">
        <v>408.52479299999999</v>
      </c>
      <c r="I42" s="2"/>
      <c r="J42" s="6">
        <f t="shared" si="16"/>
        <v>4.9832250914857282E-2</v>
      </c>
      <c r="K42" s="2"/>
      <c r="L42" s="7">
        <f t="shared" si="17"/>
        <v>-408.52479299999999</v>
      </c>
      <c r="M42" s="2"/>
      <c r="N42" s="6">
        <f t="shared" si="18"/>
        <v>-1</v>
      </c>
      <c r="O42" s="11"/>
      <c r="P42" s="7">
        <v>484.61</v>
      </c>
      <c r="Q42" s="2"/>
      <c r="R42" s="6">
        <f t="shared" si="19"/>
        <v>2.2738917938881154E-2</v>
      </c>
      <c r="S42" s="2"/>
      <c r="T42" s="7">
        <v>5095.4975009999998</v>
      </c>
      <c r="U42" s="2"/>
      <c r="V42" s="6">
        <f t="shared" si="20"/>
        <v>3.1702218011572199E-2</v>
      </c>
      <c r="W42" s="2"/>
      <c r="X42" s="7">
        <f t="shared" si="21"/>
        <v>-4610.8875010000002</v>
      </c>
      <c r="Y42" s="2"/>
      <c r="Z42" s="6">
        <f t="shared" si="22"/>
        <v>-0.90489446812506646</v>
      </c>
    </row>
    <row r="43" spans="1:26" s="24" customFormat="1" hidden="1" outlineLevel="2" x14ac:dyDescent="0.25">
      <c r="A43" s="25"/>
      <c r="B43" s="11" t="str">
        <f>CONCATENATE("          ", "6112", " - ", "COMPENSATION INSURANCE")</f>
        <v xml:space="preserve">          6112 - COMPENSATION INSURANCE</v>
      </c>
      <c r="C43" s="11"/>
      <c r="D43" s="7"/>
      <c r="E43" s="2"/>
      <c r="F43" s="6">
        <f t="shared" si="15"/>
        <v>0</v>
      </c>
      <c r="G43" s="2"/>
      <c r="H43" s="7">
        <v>138.370195</v>
      </c>
      <c r="I43" s="2"/>
      <c r="J43" s="6">
        <f t="shared" si="16"/>
        <v>1.6878530739204683E-2</v>
      </c>
      <c r="K43" s="2"/>
      <c r="L43" s="7">
        <f t="shared" si="17"/>
        <v>-138.370195</v>
      </c>
      <c r="M43" s="2"/>
      <c r="N43" s="6">
        <f t="shared" si="18"/>
        <v>-1</v>
      </c>
      <c r="O43" s="11"/>
      <c r="P43" s="7">
        <v>255.57</v>
      </c>
      <c r="Q43" s="2"/>
      <c r="R43" s="6">
        <f t="shared" si="19"/>
        <v>1.1991880600152403E-2</v>
      </c>
      <c r="S43" s="2"/>
      <c r="T43" s="7">
        <v>1801.6212049999999</v>
      </c>
      <c r="U43" s="2"/>
      <c r="V43" s="6">
        <f t="shared" si="20"/>
        <v>1.1208991507497044E-2</v>
      </c>
      <c r="W43" s="2"/>
      <c r="X43" s="7">
        <f t="shared" si="21"/>
        <v>-1546.051205</v>
      </c>
      <c r="Y43" s="2"/>
      <c r="Z43" s="6">
        <f t="shared" si="22"/>
        <v>-0.85814443164261045</v>
      </c>
    </row>
    <row r="44" spans="1:26" s="24" customFormat="1" hidden="1" outlineLevel="2" x14ac:dyDescent="0.25">
      <c r="A44" s="25"/>
      <c r="B44" s="11" t="str">
        <f>CONCATENATE("          ", "6113", " - ", "GROUP INSURANCE")</f>
        <v xml:space="preserve">          6113 - GROUP INSURANCE</v>
      </c>
      <c r="C44" s="11"/>
      <c r="D44" s="7"/>
      <c r="E44" s="2"/>
      <c r="F44" s="6">
        <f t="shared" si="15"/>
        <v>0</v>
      </c>
      <c r="G44" s="2"/>
      <c r="H44" s="7">
        <v>665</v>
      </c>
      <c r="I44" s="2"/>
      <c r="J44" s="6">
        <f t="shared" si="16"/>
        <v>8.1117345694071724E-2</v>
      </c>
      <c r="K44" s="2"/>
      <c r="L44" s="7">
        <f t="shared" si="17"/>
        <v>-665</v>
      </c>
      <c r="M44" s="2"/>
      <c r="N44" s="6">
        <f t="shared" si="18"/>
        <v>-1</v>
      </c>
      <c r="O44" s="11"/>
      <c r="P44" s="7">
        <v>0</v>
      </c>
      <c r="Q44" s="2"/>
      <c r="R44" s="6">
        <f t="shared" si="19"/>
        <v>0</v>
      </c>
      <c r="S44" s="2"/>
      <c r="T44" s="7">
        <v>7315</v>
      </c>
      <c r="U44" s="2"/>
      <c r="V44" s="6">
        <f t="shared" si="20"/>
        <v>4.5511105580787657E-2</v>
      </c>
      <c r="W44" s="2"/>
      <c r="X44" s="7">
        <f t="shared" si="21"/>
        <v>-7315</v>
      </c>
      <c r="Y44" s="2"/>
      <c r="Z44" s="6">
        <f t="shared" si="22"/>
        <v>-1</v>
      </c>
    </row>
    <row r="45" spans="1:26" s="24" customFormat="1" hidden="1" outlineLevel="2" x14ac:dyDescent="0.25">
      <c r="A45" s="25"/>
      <c r="B45" s="11" t="str">
        <f>CONCATENATE("          ", "6114", " - ", "STATE UNEMPLOYMENT INSURANCE")</f>
        <v xml:space="preserve">          6114 - STATE UNEMPLOYMENT INSURANCE</v>
      </c>
      <c r="C45" s="11"/>
      <c r="D45" s="7"/>
      <c r="E45" s="2"/>
      <c r="F45" s="6">
        <f t="shared" si="15"/>
        <v>0</v>
      </c>
      <c r="G45" s="2"/>
      <c r="H45" s="7">
        <v>19.446622000000001</v>
      </c>
      <c r="I45" s="2"/>
      <c r="J45" s="6">
        <f t="shared" si="16"/>
        <v>2.3721178336179559E-3</v>
      </c>
      <c r="K45" s="2"/>
      <c r="L45" s="7">
        <f t="shared" si="17"/>
        <v>-19.446622000000001</v>
      </c>
      <c r="M45" s="2"/>
      <c r="N45" s="6">
        <f t="shared" si="18"/>
        <v>-1</v>
      </c>
      <c r="O45" s="11"/>
      <c r="P45" s="7">
        <v>38.020000000000003</v>
      </c>
      <c r="Q45" s="2"/>
      <c r="R45" s="6">
        <f t="shared" si="19"/>
        <v>1.7839781680862169E-3</v>
      </c>
      <c r="S45" s="2"/>
      <c r="T45" s="7">
        <v>253.200818</v>
      </c>
      <c r="U45" s="2"/>
      <c r="V45" s="6">
        <f t="shared" si="20"/>
        <v>1.5753177253779631E-3</v>
      </c>
      <c r="W45" s="2"/>
      <c r="X45" s="7">
        <f t="shared" si="21"/>
        <v>-215.18081799999999</v>
      </c>
      <c r="Y45" s="2"/>
      <c r="Z45" s="6">
        <f t="shared" si="22"/>
        <v>-0.8498425072228637</v>
      </c>
    </row>
    <row r="46" spans="1:26" s="24" customFormat="1" hidden="1" outlineLevel="2" x14ac:dyDescent="0.25">
      <c r="A46" s="25"/>
      <c r="B46" s="11" t="str">
        <f>CONCATENATE("          ", "6115", " - ", "P.E.R.S.")</f>
        <v xml:space="preserve">          6115 - P.E.R.S.</v>
      </c>
      <c r="C46" s="11"/>
      <c r="D46" s="7"/>
      <c r="E46" s="2"/>
      <c r="F46" s="6">
        <f t="shared" si="15"/>
        <v>0</v>
      </c>
      <c r="G46" s="2"/>
      <c r="H46" s="7">
        <v>357.76</v>
      </c>
      <c r="I46" s="2"/>
      <c r="J46" s="6">
        <f t="shared" si="16"/>
        <v>4.3639912173700904E-2</v>
      </c>
      <c r="K46" s="2"/>
      <c r="L46" s="7">
        <f t="shared" si="17"/>
        <v>-357.76</v>
      </c>
      <c r="M46" s="2"/>
      <c r="N46" s="6">
        <f t="shared" si="18"/>
        <v>-1</v>
      </c>
      <c r="O46" s="11"/>
      <c r="P46" s="7"/>
      <c r="Q46" s="2"/>
      <c r="R46" s="6">
        <f t="shared" si="19"/>
        <v>0</v>
      </c>
      <c r="S46" s="2"/>
      <c r="T46" s="7">
        <v>4293.12</v>
      </c>
      <c r="U46" s="2"/>
      <c r="V46" s="6">
        <f t="shared" si="20"/>
        <v>2.6710135009021339E-2</v>
      </c>
      <c r="W46" s="2"/>
      <c r="X46" s="7">
        <f t="shared" si="21"/>
        <v>-4293.12</v>
      </c>
      <c r="Y46" s="2"/>
      <c r="Z46" s="6">
        <f t="shared" si="22"/>
        <v>-1</v>
      </c>
    </row>
    <row r="47" spans="1:26" s="24" customFormat="1" hidden="1" outlineLevel="2" x14ac:dyDescent="0.25">
      <c r="A47" s="25"/>
      <c r="B47" s="11" t="str">
        <f>CONCATENATE("          ", "6116", " - ", "EDUCATIONAL BENEFITS")</f>
        <v xml:space="preserve">          6116 - EDUCATIONAL BENEFITS</v>
      </c>
      <c r="C47" s="11"/>
      <c r="D47" s="7"/>
      <c r="E47" s="2"/>
      <c r="F47" s="6">
        <f t="shared" si="15"/>
        <v>0</v>
      </c>
      <c r="G47" s="2"/>
      <c r="H47" s="7">
        <v>0</v>
      </c>
      <c r="I47" s="2"/>
      <c r="J47" s="6">
        <f t="shared" si="16"/>
        <v>0</v>
      </c>
      <c r="K47" s="2"/>
      <c r="L47" s="7">
        <f t="shared" si="17"/>
        <v>0</v>
      </c>
      <c r="M47" s="2"/>
      <c r="N47" s="6">
        <f t="shared" si="18"/>
        <v>0</v>
      </c>
      <c r="O47" s="11"/>
      <c r="P47" s="7"/>
      <c r="Q47" s="2"/>
      <c r="R47" s="6">
        <f t="shared" si="19"/>
        <v>0</v>
      </c>
      <c r="S47" s="2"/>
      <c r="T47" s="7">
        <v>0</v>
      </c>
      <c r="U47" s="2"/>
      <c r="V47" s="6">
        <f t="shared" si="20"/>
        <v>0</v>
      </c>
      <c r="W47" s="2"/>
      <c r="X47" s="7">
        <f t="shared" si="21"/>
        <v>0</v>
      </c>
      <c r="Y47" s="2"/>
      <c r="Z47" s="6">
        <f t="shared" si="22"/>
        <v>0</v>
      </c>
    </row>
    <row r="48" spans="1:26" s="24" customFormat="1" hidden="1" outlineLevel="2" x14ac:dyDescent="0.25">
      <c r="A48" s="25"/>
      <c r="B48" s="11" t="str">
        <f>CONCATENATE("          ", "6117", " - ", "RETIREMENT STAFF HOURLY")</f>
        <v xml:space="preserve">          6117 - RETIREMENT STAFF HOURLY</v>
      </c>
      <c r="C48" s="11"/>
      <c r="D48" s="7"/>
      <c r="E48" s="2"/>
      <c r="F48" s="6">
        <f t="shared" si="15"/>
        <v>0</v>
      </c>
      <c r="G48" s="2"/>
      <c r="H48" s="7"/>
      <c r="I48" s="2"/>
      <c r="J48" s="6">
        <f t="shared" si="16"/>
        <v>0</v>
      </c>
      <c r="K48" s="2"/>
      <c r="L48" s="7">
        <f t="shared" si="17"/>
        <v>0</v>
      </c>
      <c r="M48" s="2"/>
      <c r="N48" s="6">
        <f t="shared" si="18"/>
        <v>0</v>
      </c>
      <c r="O48" s="11"/>
      <c r="P48" s="7">
        <v>0</v>
      </c>
      <c r="Q48" s="2"/>
      <c r="R48" s="6">
        <f t="shared" si="19"/>
        <v>0</v>
      </c>
      <c r="S48" s="2"/>
      <c r="T48" s="7"/>
      <c r="U48" s="2"/>
      <c r="V48" s="6">
        <f t="shared" si="20"/>
        <v>0</v>
      </c>
      <c r="W48" s="2"/>
      <c r="X48" s="7">
        <f t="shared" si="21"/>
        <v>0</v>
      </c>
      <c r="Y48" s="2"/>
      <c r="Z48" s="6">
        <f t="shared" si="22"/>
        <v>0</v>
      </c>
    </row>
    <row r="49" spans="1:26" s="24" customFormat="1" hidden="1" outlineLevel="2" x14ac:dyDescent="0.25">
      <c r="A49" s="25"/>
      <c r="B49" s="11" t="str">
        <f>CONCATENATE("          ", "6118", " - ", "VACATION")</f>
        <v xml:space="preserve">          6118 - VACATION</v>
      </c>
      <c r="C49" s="11"/>
      <c r="D49" s="7"/>
      <c r="E49" s="2"/>
      <c r="F49" s="6">
        <f t="shared" si="15"/>
        <v>0</v>
      </c>
      <c r="G49" s="2"/>
      <c r="H49" s="7">
        <v>124.8</v>
      </c>
      <c r="I49" s="2"/>
      <c r="J49" s="6">
        <f t="shared" si="16"/>
        <v>1.5223225176872407E-2</v>
      </c>
      <c r="K49" s="2"/>
      <c r="L49" s="7">
        <f t="shared" si="17"/>
        <v>-124.8</v>
      </c>
      <c r="M49" s="2"/>
      <c r="N49" s="6">
        <f t="shared" si="18"/>
        <v>-1</v>
      </c>
      <c r="O49" s="11"/>
      <c r="P49" s="7"/>
      <c r="Q49" s="2"/>
      <c r="R49" s="6">
        <f t="shared" si="19"/>
        <v>0</v>
      </c>
      <c r="S49" s="2"/>
      <c r="T49" s="7">
        <v>1497.6</v>
      </c>
      <c r="U49" s="2"/>
      <c r="V49" s="6">
        <f t="shared" si="20"/>
        <v>9.3174889566353513E-3</v>
      </c>
      <c r="W49" s="2"/>
      <c r="X49" s="7">
        <f t="shared" si="21"/>
        <v>-1497.6</v>
      </c>
      <c r="Y49" s="2"/>
      <c r="Z49" s="6">
        <f t="shared" si="22"/>
        <v>-1</v>
      </c>
    </row>
    <row r="50" spans="1:26" s="24" customFormat="1" hidden="1" outlineLevel="2" x14ac:dyDescent="0.25">
      <c r="A50" s="25"/>
      <c r="B50" s="11" t="str">
        <f>CONCATENATE("          ", "6119", " - ", "SICK LEAVE")</f>
        <v xml:space="preserve">          6119 - SICK LEAVE</v>
      </c>
      <c r="C50" s="11"/>
      <c r="D50" s="7"/>
      <c r="E50" s="2"/>
      <c r="F50" s="6">
        <f t="shared" si="15"/>
        <v>0</v>
      </c>
      <c r="G50" s="2"/>
      <c r="H50" s="7">
        <v>182.7841</v>
      </c>
      <c r="I50" s="2"/>
      <c r="J50" s="6">
        <f t="shared" si="16"/>
        <v>2.2296181995608684E-2</v>
      </c>
      <c r="K50" s="2"/>
      <c r="L50" s="7">
        <f t="shared" si="17"/>
        <v>-182.7841</v>
      </c>
      <c r="M50" s="2"/>
      <c r="N50" s="6">
        <f t="shared" si="18"/>
        <v>-1</v>
      </c>
      <c r="O50" s="11"/>
      <c r="P50" s="7"/>
      <c r="Q50" s="2"/>
      <c r="R50" s="6">
        <f t="shared" si="19"/>
        <v>0</v>
      </c>
      <c r="S50" s="2"/>
      <c r="T50" s="7">
        <v>2422.3479000000002</v>
      </c>
      <c r="U50" s="2"/>
      <c r="V50" s="6">
        <f t="shared" si="20"/>
        <v>1.5070913332918561E-2</v>
      </c>
      <c r="W50" s="2"/>
      <c r="X50" s="7">
        <f t="shared" si="21"/>
        <v>-2422.3479000000002</v>
      </c>
      <c r="Y50" s="2"/>
      <c r="Z50" s="6">
        <f t="shared" si="22"/>
        <v>-1</v>
      </c>
    </row>
    <row r="51" spans="1:26" s="27" customFormat="1" outlineLevel="1" collapsed="1" x14ac:dyDescent="0.25">
      <c r="A51" s="26"/>
      <c r="B51" s="13" t="str">
        <f>CONCATENATE("     ","*Payroll                                          ")</f>
        <v xml:space="preserve">     *Payroll                                          </v>
      </c>
      <c r="C51" s="13"/>
      <c r="D51" s="1">
        <f>SUM(OSRRefD22_1x_0)</f>
        <v>0</v>
      </c>
      <c r="E51" s="1"/>
      <c r="F51" s="5">
        <f t="shared" ref="F51:F61" si="23">IF(D$12=0,0,D51/D$12)</f>
        <v>0</v>
      </c>
      <c r="G51" s="1"/>
      <c r="H51" s="1">
        <f>SUM(OSRRefH22_1x_0)</f>
        <v>7271.47</v>
      </c>
      <c r="I51" s="1"/>
      <c r="J51" s="5">
        <f t="shared" ref="J51:J61" si="24">IF(H$12=0,0,H51/H$12)</f>
        <v>0.8869809709685289</v>
      </c>
      <c r="K51" s="1"/>
      <c r="L51" s="1">
        <f t="shared" ref="L51:L61" si="25">+D51-H51</f>
        <v>-7271.47</v>
      </c>
      <c r="M51" s="1"/>
      <c r="N51" s="5">
        <f t="shared" ref="N51:N61" si="26">IF(H51=0,0,L51/H51)</f>
        <v>-1</v>
      </c>
      <c r="O51" s="13"/>
      <c r="P51" s="1">
        <f>SUM(OSRRefP22_1x_0)</f>
        <v>8152.5399999999991</v>
      </c>
      <c r="Q51" s="1"/>
      <c r="R51" s="5">
        <f t="shared" ref="R51:R61" si="27">IF(P$12=0,0,P51/P$12)</f>
        <v>0.38253428128483963</v>
      </c>
      <c r="S51" s="1"/>
      <c r="T51" s="1">
        <f>SUM(OSRRefT22_1x_0)</f>
        <v>94888.93</v>
      </c>
      <c r="U51" s="1"/>
      <c r="V51" s="5">
        <f t="shared" ref="V51:V61" si="28">IF(T$12=0,0,T51/T$12)</f>
        <v>0.5903622845766191</v>
      </c>
      <c r="W51" s="1"/>
      <c r="X51" s="1">
        <f t="shared" ref="X51:X61" si="29">+P51-T51</f>
        <v>-86736.39</v>
      </c>
      <c r="Y51" s="1"/>
      <c r="Z51" s="5">
        <f t="shared" ref="Z51:Z61" si="30">IF(T51=0,0,X51/T51)</f>
        <v>-0.91408333933157437</v>
      </c>
    </row>
    <row r="52" spans="1:26" s="24" customFormat="1" hidden="1" outlineLevel="2" x14ac:dyDescent="0.25">
      <c r="A52" s="25"/>
      <c r="B52" s="11" t="str">
        <f>CONCATENATE("          ", "6001", " - ", "ADMINISTRATIVE SALARIES")</f>
        <v xml:space="preserve">          6001 - ADMINISTRATIVE SALARIES</v>
      </c>
      <c r="C52" s="11"/>
      <c r="D52" s="7"/>
      <c r="E52" s="2"/>
      <c r="F52" s="6">
        <f t="shared" si="23"/>
        <v>0</v>
      </c>
      <c r="G52" s="2"/>
      <c r="H52" s="7">
        <v>3952</v>
      </c>
      <c r="I52" s="2"/>
      <c r="J52" s="6">
        <f t="shared" si="24"/>
        <v>0.48206879726762625</v>
      </c>
      <c r="K52" s="2"/>
      <c r="L52" s="7">
        <f t="shared" si="25"/>
        <v>-3952</v>
      </c>
      <c r="M52" s="2"/>
      <c r="N52" s="6">
        <f t="shared" si="26"/>
        <v>-1</v>
      </c>
      <c r="O52" s="11"/>
      <c r="P52" s="7"/>
      <c r="Q52" s="2"/>
      <c r="R52" s="6">
        <f t="shared" si="27"/>
        <v>0</v>
      </c>
      <c r="S52" s="2"/>
      <c r="T52" s="7">
        <v>47424</v>
      </c>
      <c r="U52" s="2"/>
      <c r="V52" s="6">
        <f t="shared" si="28"/>
        <v>0.29505381696011945</v>
      </c>
      <c r="W52" s="2"/>
      <c r="X52" s="7">
        <f t="shared" si="29"/>
        <v>-47424</v>
      </c>
      <c r="Y52" s="2"/>
      <c r="Z52" s="6">
        <f t="shared" si="30"/>
        <v>-1</v>
      </c>
    </row>
    <row r="53" spans="1:26" s="24" customFormat="1" hidden="1" outlineLevel="2" x14ac:dyDescent="0.25">
      <c r="A53" s="25"/>
      <c r="B53" s="11" t="str">
        <f>CONCATENATE("          ", "6002", " - ", "STAFF SALARIES")</f>
        <v xml:space="preserve">          6002 - STAFF SALARIES</v>
      </c>
      <c r="C53" s="11"/>
      <c r="D53" s="7"/>
      <c r="E53" s="2"/>
      <c r="F53" s="6">
        <f t="shared" si="23"/>
        <v>0</v>
      </c>
      <c r="G53" s="2"/>
      <c r="H53" s="7">
        <v>0</v>
      </c>
      <c r="I53" s="2"/>
      <c r="J53" s="6">
        <f t="shared" si="24"/>
        <v>0</v>
      </c>
      <c r="K53" s="2"/>
      <c r="L53" s="7">
        <f t="shared" si="25"/>
        <v>0</v>
      </c>
      <c r="M53" s="2"/>
      <c r="N53" s="6">
        <f t="shared" si="26"/>
        <v>0</v>
      </c>
      <c r="O53" s="11"/>
      <c r="P53" s="7"/>
      <c r="Q53" s="2"/>
      <c r="R53" s="6">
        <f t="shared" si="27"/>
        <v>0</v>
      </c>
      <c r="S53" s="2"/>
      <c r="T53" s="7">
        <v>0</v>
      </c>
      <c r="U53" s="2"/>
      <c r="V53" s="6">
        <f t="shared" si="28"/>
        <v>0</v>
      </c>
      <c r="W53" s="2"/>
      <c r="X53" s="7">
        <f t="shared" si="29"/>
        <v>0</v>
      </c>
      <c r="Y53" s="2"/>
      <c r="Z53" s="6">
        <f t="shared" si="30"/>
        <v>0</v>
      </c>
    </row>
    <row r="54" spans="1:26" s="24" customFormat="1" hidden="1" outlineLevel="2" x14ac:dyDescent="0.25">
      <c r="A54" s="25"/>
      <c r="B54" s="11" t="str">
        <f>CONCATENATE("          ", "6003", " - ", "STAFF HOURLY-9 MONTH")</f>
        <v xml:space="preserve">          6003 - STAFF HOURLY-9 MONTH</v>
      </c>
      <c r="C54" s="11"/>
      <c r="D54" s="7"/>
      <c r="E54" s="2"/>
      <c r="F54" s="6">
        <f t="shared" si="23"/>
        <v>0</v>
      </c>
      <c r="G54" s="2"/>
      <c r="H54" s="7">
        <v>0</v>
      </c>
      <c r="I54" s="2"/>
      <c r="J54" s="6">
        <f t="shared" si="24"/>
        <v>0</v>
      </c>
      <c r="K54" s="2"/>
      <c r="L54" s="7">
        <f t="shared" si="25"/>
        <v>0</v>
      </c>
      <c r="M54" s="2"/>
      <c r="N54" s="6">
        <f t="shared" si="26"/>
        <v>0</v>
      </c>
      <c r="O54" s="11"/>
      <c r="P54" s="7"/>
      <c r="Q54" s="2"/>
      <c r="R54" s="6">
        <f t="shared" si="27"/>
        <v>0</v>
      </c>
      <c r="S54" s="2"/>
      <c r="T54" s="7">
        <v>0</v>
      </c>
      <c r="U54" s="2"/>
      <c r="V54" s="6">
        <f t="shared" si="28"/>
        <v>0</v>
      </c>
      <c r="W54" s="2"/>
      <c r="X54" s="7">
        <f t="shared" si="29"/>
        <v>0</v>
      </c>
      <c r="Y54" s="2"/>
      <c r="Z54" s="6">
        <f t="shared" si="30"/>
        <v>0</v>
      </c>
    </row>
    <row r="55" spans="1:26" s="24" customFormat="1" hidden="1" outlineLevel="2" x14ac:dyDescent="0.25">
      <c r="A55" s="25"/>
      <c r="B55" s="11" t="str">
        <f>CONCATENATE("          ", "6004", " - ", "STAFF HOURLY")</f>
        <v xml:space="preserve">          6004 - STAFF HOURLY</v>
      </c>
      <c r="C55" s="11"/>
      <c r="D55" s="7"/>
      <c r="E55" s="2"/>
      <c r="F55" s="6">
        <f t="shared" si="23"/>
        <v>0</v>
      </c>
      <c r="G55" s="2"/>
      <c r="H55" s="7">
        <v>1178.0999999999999</v>
      </c>
      <c r="I55" s="2"/>
      <c r="J55" s="6">
        <f t="shared" si="24"/>
        <v>0.14370578189802391</v>
      </c>
      <c r="K55" s="2"/>
      <c r="L55" s="7">
        <f t="shared" si="25"/>
        <v>-1178.0999999999999</v>
      </c>
      <c r="M55" s="2"/>
      <c r="N55" s="6">
        <f t="shared" si="26"/>
        <v>-1</v>
      </c>
      <c r="O55" s="11"/>
      <c r="P55" s="7"/>
      <c r="Q55" s="2"/>
      <c r="R55" s="6">
        <f t="shared" si="27"/>
        <v>0</v>
      </c>
      <c r="S55" s="2"/>
      <c r="T55" s="7">
        <v>16661.7</v>
      </c>
      <c r="U55" s="2"/>
      <c r="V55" s="6">
        <f t="shared" si="28"/>
        <v>0.10366266409506626</v>
      </c>
      <c r="W55" s="2"/>
      <c r="X55" s="7">
        <f t="shared" si="29"/>
        <v>-16661.7</v>
      </c>
      <c r="Y55" s="2"/>
      <c r="Z55" s="6">
        <f t="shared" si="30"/>
        <v>-1</v>
      </c>
    </row>
    <row r="56" spans="1:26" s="24" customFormat="1" hidden="1" outlineLevel="2" x14ac:dyDescent="0.25">
      <c r="A56" s="25"/>
      <c r="B56" s="11" t="str">
        <f>CONCATENATE("          ", "6005", " - ", "TEMPORARY WAGES-HOURLY")</f>
        <v xml:space="preserve">          6005 - TEMPORARY WAGES-HOURLY</v>
      </c>
      <c r="C56" s="11"/>
      <c r="D56" s="7"/>
      <c r="E56" s="2"/>
      <c r="F56" s="6">
        <f t="shared" si="23"/>
        <v>0</v>
      </c>
      <c r="G56" s="2"/>
      <c r="H56" s="7">
        <v>1078</v>
      </c>
      <c r="I56" s="2"/>
      <c r="J56" s="6">
        <f t="shared" si="24"/>
        <v>0.13149548670407415</v>
      </c>
      <c r="K56" s="2"/>
      <c r="L56" s="7">
        <f t="shared" si="25"/>
        <v>-1078</v>
      </c>
      <c r="M56" s="2"/>
      <c r="N56" s="6">
        <f t="shared" si="26"/>
        <v>-1</v>
      </c>
      <c r="O56" s="11"/>
      <c r="P56" s="7">
        <v>5379.19</v>
      </c>
      <c r="Q56" s="2"/>
      <c r="R56" s="6">
        <f t="shared" si="27"/>
        <v>0.25240288064144384</v>
      </c>
      <c r="S56" s="2"/>
      <c r="T56" s="7">
        <v>11704</v>
      </c>
      <c r="U56" s="2"/>
      <c r="V56" s="6">
        <f t="shared" si="28"/>
        <v>7.2817768929260257E-2</v>
      </c>
      <c r="W56" s="2"/>
      <c r="X56" s="7">
        <f t="shared" si="29"/>
        <v>-6324.81</v>
      </c>
      <c r="Y56" s="2"/>
      <c r="Z56" s="6">
        <f t="shared" si="30"/>
        <v>-0.54039730006835274</v>
      </c>
    </row>
    <row r="57" spans="1:26" s="24" customFormat="1" hidden="1" outlineLevel="2" x14ac:dyDescent="0.25">
      <c r="A57" s="25"/>
      <c r="B57" s="11" t="str">
        <f>CONCATENATE("          ", "6006", " - ", "TEMPORARY PART TIME")</f>
        <v xml:space="preserve">          6006 - TEMPORARY PART TIME</v>
      </c>
      <c r="C57" s="11"/>
      <c r="D57" s="7"/>
      <c r="E57" s="2"/>
      <c r="F57" s="6">
        <f t="shared" si="23"/>
        <v>0</v>
      </c>
      <c r="G57" s="2"/>
      <c r="H57" s="7">
        <v>0</v>
      </c>
      <c r="I57" s="2"/>
      <c r="J57" s="6">
        <f t="shared" si="24"/>
        <v>0</v>
      </c>
      <c r="K57" s="2"/>
      <c r="L57" s="7">
        <f t="shared" si="25"/>
        <v>0</v>
      </c>
      <c r="M57" s="2"/>
      <c r="N57" s="6">
        <f t="shared" si="26"/>
        <v>0</v>
      </c>
      <c r="O57" s="11"/>
      <c r="P57" s="7"/>
      <c r="Q57" s="2"/>
      <c r="R57" s="6">
        <f t="shared" si="27"/>
        <v>0</v>
      </c>
      <c r="S57" s="2"/>
      <c r="T57" s="7">
        <v>0</v>
      </c>
      <c r="U57" s="2"/>
      <c r="V57" s="6">
        <f t="shared" si="28"/>
        <v>0</v>
      </c>
      <c r="W57" s="2"/>
      <c r="X57" s="7">
        <f t="shared" si="29"/>
        <v>0</v>
      </c>
      <c r="Y57" s="2"/>
      <c r="Z57" s="6">
        <f t="shared" si="30"/>
        <v>0</v>
      </c>
    </row>
    <row r="58" spans="1:26" s="24" customFormat="1" hidden="1" outlineLevel="2" x14ac:dyDescent="0.25">
      <c r="A58" s="25"/>
      <c r="B58" s="11" t="str">
        <f>CONCATENATE("          ", "6007", " - ", "STUDENT HOURLY")</f>
        <v xml:space="preserve">          6007 - STUDENT HOURLY</v>
      </c>
      <c r="C58" s="11"/>
      <c r="D58" s="7"/>
      <c r="E58" s="2"/>
      <c r="F58" s="6">
        <f t="shared" si="23"/>
        <v>0</v>
      </c>
      <c r="G58" s="2"/>
      <c r="H58" s="7">
        <v>0</v>
      </c>
      <c r="I58" s="2"/>
      <c r="J58" s="6">
        <f t="shared" si="24"/>
        <v>0</v>
      </c>
      <c r="K58" s="2"/>
      <c r="L58" s="7">
        <f t="shared" si="25"/>
        <v>0</v>
      </c>
      <c r="M58" s="2"/>
      <c r="N58" s="6">
        <f t="shared" si="26"/>
        <v>0</v>
      </c>
      <c r="O58" s="11"/>
      <c r="P58" s="7">
        <v>2773.35</v>
      </c>
      <c r="Q58" s="2"/>
      <c r="R58" s="6">
        <f t="shared" si="27"/>
        <v>0.13013140064339582</v>
      </c>
      <c r="S58" s="2"/>
      <c r="T58" s="7">
        <v>0</v>
      </c>
      <c r="U58" s="2"/>
      <c r="V58" s="6">
        <f t="shared" si="28"/>
        <v>0</v>
      </c>
      <c r="W58" s="2"/>
      <c r="X58" s="7">
        <f t="shared" si="29"/>
        <v>2773.35</v>
      </c>
      <c r="Y58" s="2"/>
      <c r="Z58" s="6">
        <f t="shared" si="30"/>
        <v>0</v>
      </c>
    </row>
    <row r="59" spans="1:26" s="24" customFormat="1" hidden="1" outlineLevel="2" x14ac:dyDescent="0.25">
      <c r="A59" s="25"/>
      <c r="B59" s="11" t="str">
        <f>CONCATENATE("          ", "6008", " - ", "STUDENT HOURLY-FICA EXEMPT")</f>
        <v xml:space="preserve">          6008 - STUDENT HOURLY-FICA EXEMPT</v>
      </c>
      <c r="C59" s="11"/>
      <c r="D59" s="7"/>
      <c r="E59" s="2"/>
      <c r="F59" s="6">
        <f t="shared" si="23"/>
        <v>0</v>
      </c>
      <c r="G59" s="2"/>
      <c r="H59" s="7">
        <v>1063.3699999999999</v>
      </c>
      <c r="I59" s="2"/>
      <c r="J59" s="6">
        <f t="shared" si="24"/>
        <v>0.12971090509880456</v>
      </c>
      <c r="K59" s="2"/>
      <c r="L59" s="7">
        <f t="shared" si="25"/>
        <v>-1063.3699999999999</v>
      </c>
      <c r="M59" s="2"/>
      <c r="N59" s="6">
        <f t="shared" si="26"/>
        <v>-1</v>
      </c>
      <c r="O59" s="11"/>
      <c r="P59" s="7"/>
      <c r="Q59" s="2"/>
      <c r="R59" s="6">
        <f t="shared" si="27"/>
        <v>0</v>
      </c>
      <c r="S59" s="2"/>
      <c r="T59" s="7">
        <v>19099.23</v>
      </c>
      <c r="U59" s="2"/>
      <c r="V59" s="6">
        <f t="shared" si="28"/>
        <v>0.11882803459217321</v>
      </c>
      <c r="W59" s="2"/>
      <c r="X59" s="7">
        <f t="shared" si="29"/>
        <v>-19099.23</v>
      </c>
      <c r="Y59" s="2"/>
      <c r="Z59" s="6">
        <f t="shared" si="30"/>
        <v>-1</v>
      </c>
    </row>
    <row r="60" spans="1:26" s="24" customFormat="1" hidden="1" outlineLevel="2" x14ac:dyDescent="0.25">
      <c r="A60" s="25"/>
      <c r="B60" s="11" t="str">
        <f>CONCATENATE("          ", "6009", " - ", "TEMPORARY-SEASONAL")</f>
        <v xml:space="preserve">          6009 - TEMPORARY-SEASONAL</v>
      </c>
      <c r="C60" s="11"/>
      <c r="D60" s="7"/>
      <c r="E60" s="2"/>
      <c r="F60" s="6">
        <f t="shared" si="23"/>
        <v>0</v>
      </c>
      <c r="G60" s="2"/>
      <c r="H60" s="7">
        <v>0</v>
      </c>
      <c r="I60" s="2"/>
      <c r="J60" s="6">
        <f t="shared" si="24"/>
        <v>0</v>
      </c>
      <c r="K60" s="2"/>
      <c r="L60" s="7">
        <f t="shared" si="25"/>
        <v>0</v>
      </c>
      <c r="M60" s="2"/>
      <c r="N60" s="6">
        <f t="shared" si="26"/>
        <v>0</v>
      </c>
      <c r="O60" s="11"/>
      <c r="P60" s="7"/>
      <c r="Q60" s="2"/>
      <c r="R60" s="6">
        <f t="shared" si="27"/>
        <v>0</v>
      </c>
      <c r="S60" s="2"/>
      <c r="T60" s="7">
        <v>0</v>
      </c>
      <c r="U60" s="2"/>
      <c r="V60" s="6">
        <f t="shared" si="28"/>
        <v>0</v>
      </c>
      <c r="W60" s="2"/>
      <c r="X60" s="7">
        <f t="shared" si="29"/>
        <v>0</v>
      </c>
      <c r="Y60" s="2"/>
      <c r="Z60" s="6">
        <f t="shared" si="30"/>
        <v>0</v>
      </c>
    </row>
    <row r="61" spans="1:26" s="24" customFormat="1" hidden="1" outlineLevel="2" x14ac:dyDescent="0.25">
      <c r="A61" s="25"/>
      <c r="B61" s="11" t="str">
        <f>CONCATENATE("          ", "6010", " - ", "GRATUITY")</f>
        <v xml:space="preserve">          6010 - GRATUITY</v>
      </c>
      <c r="C61" s="11"/>
      <c r="D61" s="7"/>
      <c r="E61" s="2"/>
      <c r="F61" s="6">
        <f t="shared" si="23"/>
        <v>0</v>
      </c>
      <c r="G61" s="2"/>
      <c r="H61" s="7">
        <v>0</v>
      </c>
      <c r="I61" s="2"/>
      <c r="J61" s="6">
        <f t="shared" si="24"/>
        <v>0</v>
      </c>
      <c r="K61" s="2"/>
      <c r="L61" s="7">
        <f t="shared" si="25"/>
        <v>0</v>
      </c>
      <c r="M61" s="2"/>
      <c r="N61" s="6">
        <f t="shared" si="26"/>
        <v>0</v>
      </c>
      <c r="O61" s="11"/>
      <c r="P61" s="7"/>
      <c r="Q61" s="2"/>
      <c r="R61" s="6">
        <f t="shared" si="27"/>
        <v>0</v>
      </c>
      <c r="S61" s="2"/>
      <c r="T61" s="7">
        <v>0</v>
      </c>
      <c r="U61" s="2"/>
      <c r="V61" s="6">
        <f t="shared" si="28"/>
        <v>0</v>
      </c>
      <c r="W61" s="2"/>
      <c r="X61" s="7">
        <f t="shared" si="29"/>
        <v>0</v>
      </c>
      <c r="Y61" s="2"/>
      <c r="Z61" s="6">
        <f t="shared" si="30"/>
        <v>0</v>
      </c>
    </row>
    <row r="62" spans="1:26" s="27" customFormat="1" outlineLevel="1" collapsed="1" x14ac:dyDescent="0.25">
      <c r="A62" s="26"/>
      <c r="B62" s="13" t="str">
        <f>CONCATENATE("     ","Advertising/Promo                                 ")</f>
        <v xml:space="preserve">     Advertising/Promo                                 </v>
      </c>
      <c r="C62" s="13"/>
      <c r="D62" s="1">
        <f>SUM(OSRRefD22_2x_0)</f>
        <v>0</v>
      </c>
      <c r="E62" s="1"/>
      <c r="F62" s="5">
        <f t="shared" ref="F62:F70" si="31">IF(D$12=0,0,D62/D$12)</f>
        <v>0</v>
      </c>
      <c r="G62" s="1"/>
      <c r="H62" s="1">
        <f>SUM(OSRRefH22_2x_0)</f>
        <v>100</v>
      </c>
      <c r="I62" s="1"/>
      <c r="J62" s="5">
        <f t="shared" ref="J62:J70" si="32">IF(H$12=0,0,H62/H$12)</f>
        <v>1.2198097096852892E-2</v>
      </c>
      <c r="K62" s="1"/>
      <c r="L62" s="1">
        <f t="shared" ref="L62:L70" si="33">+D62-H62</f>
        <v>-100</v>
      </c>
      <c r="M62" s="1"/>
      <c r="N62" s="5">
        <f t="shared" ref="N62:N70" si="34">IF(H62=0,0,L62/H62)</f>
        <v>-1</v>
      </c>
      <c r="O62" s="13"/>
      <c r="P62" s="1">
        <f>SUM(OSRRefP22_2x_0)</f>
        <v>124.72</v>
      </c>
      <c r="Q62" s="1"/>
      <c r="R62" s="5">
        <f t="shared" ref="R62:R70" si="35">IF(P$12=0,0,P62/P$12)</f>
        <v>5.8521240695347957E-3</v>
      </c>
      <c r="S62" s="1"/>
      <c r="T62" s="1">
        <f>SUM(OSRRefT22_2x_0)</f>
        <v>1000</v>
      </c>
      <c r="U62" s="1"/>
      <c r="V62" s="5">
        <f t="shared" ref="V62:V70" si="36">IF(T$12=0,0,T62/T$12)</f>
        <v>6.2216138866421954E-3</v>
      </c>
      <c r="W62" s="1"/>
      <c r="X62" s="1">
        <f t="shared" ref="X62:X70" si="37">+P62-T62</f>
        <v>-875.28</v>
      </c>
      <c r="Y62" s="1"/>
      <c r="Z62" s="5">
        <f t="shared" ref="Z62:Z70" si="38">IF(T62=0,0,X62/T62)</f>
        <v>-0.87527999999999995</v>
      </c>
    </row>
    <row r="63" spans="1:26" s="24" customFormat="1" hidden="1" outlineLevel="2" x14ac:dyDescent="0.25">
      <c r="A63" s="25"/>
      <c r="B63" s="11" t="str">
        <f>CONCATENATE("          ", "6362", " - ", "ADVERTISING EXPENSE")</f>
        <v xml:space="preserve">          6362 - ADVERTISING EXPENSE</v>
      </c>
      <c r="C63" s="11"/>
      <c r="D63" s="7"/>
      <c r="E63" s="2"/>
      <c r="F63" s="6">
        <f t="shared" si="31"/>
        <v>0</v>
      </c>
      <c r="G63" s="2"/>
      <c r="H63" s="7">
        <v>100</v>
      </c>
      <c r="I63" s="2"/>
      <c r="J63" s="6">
        <f t="shared" si="32"/>
        <v>1.2198097096852892E-2</v>
      </c>
      <c r="K63" s="2"/>
      <c r="L63" s="7">
        <f t="shared" si="33"/>
        <v>-100</v>
      </c>
      <c r="M63" s="2"/>
      <c r="N63" s="6">
        <f t="shared" si="34"/>
        <v>-1</v>
      </c>
      <c r="O63" s="11"/>
      <c r="P63" s="7">
        <v>124.72</v>
      </c>
      <c r="Q63" s="2"/>
      <c r="R63" s="6">
        <f t="shared" si="35"/>
        <v>5.8521240695347957E-3</v>
      </c>
      <c r="S63" s="2"/>
      <c r="T63" s="7">
        <v>1000</v>
      </c>
      <c r="U63" s="2"/>
      <c r="V63" s="6">
        <f t="shared" si="36"/>
        <v>6.2216138866421954E-3</v>
      </c>
      <c r="W63" s="2"/>
      <c r="X63" s="7">
        <f t="shared" si="37"/>
        <v>-875.28</v>
      </c>
      <c r="Y63" s="2"/>
      <c r="Z63" s="6">
        <f t="shared" si="38"/>
        <v>-0.87527999999999995</v>
      </c>
    </row>
    <row r="64" spans="1:26" s="27" customFormat="1" outlineLevel="1" collapsed="1" x14ac:dyDescent="0.25">
      <c r="A64" s="26"/>
      <c r="B64" s="13" t="str">
        <f>CONCATENATE("     ","Bad Debts/Over/Short                              ")</f>
        <v xml:space="preserve">     Bad Debts/Over/Short                              </v>
      </c>
      <c r="C64" s="13"/>
      <c r="D64" s="1">
        <f>SUM(OSRRefD22_3x_0)</f>
        <v>0</v>
      </c>
      <c r="E64" s="1"/>
      <c r="F64" s="5">
        <f t="shared" si="31"/>
        <v>0</v>
      </c>
      <c r="G64" s="1"/>
      <c r="H64" s="1">
        <f>SUM(OSRRefH22_3x_0)</f>
        <v>0</v>
      </c>
      <c r="I64" s="1"/>
      <c r="J64" s="5">
        <f t="shared" si="32"/>
        <v>0</v>
      </c>
      <c r="K64" s="1"/>
      <c r="L64" s="1">
        <f t="shared" si="33"/>
        <v>0</v>
      </c>
      <c r="M64" s="1"/>
      <c r="N64" s="5">
        <f t="shared" si="34"/>
        <v>0</v>
      </c>
      <c r="O64" s="13"/>
      <c r="P64" s="1">
        <f>SUM(OSRRefP22_3x_0)</f>
        <v>1.1000000000000001</v>
      </c>
      <c r="Q64" s="1"/>
      <c r="R64" s="5">
        <f t="shared" si="35"/>
        <v>5.1614307861516002E-5</v>
      </c>
      <c r="S64" s="1"/>
      <c r="T64" s="1">
        <f>SUM(OSRRefT22_3x_0)</f>
        <v>0</v>
      </c>
      <c r="U64" s="1"/>
      <c r="V64" s="5">
        <f t="shared" si="36"/>
        <v>0</v>
      </c>
      <c r="W64" s="1"/>
      <c r="X64" s="1">
        <f t="shared" si="37"/>
        <v>1.1000000000000001</v>
      </c>
      <c r="Y64" s="1"/>
      <c r="Z64" s="5">
        <f t="shared" si="38"/>
        <v>0</v>
      </c>
    </row>
    <row r="65" spans="1:26" s="24" customFormat="1" hidden="1" outlineLevel="2" x14ac:dyDescent="0.25">
      <c r="A65" s="25"/>
      <c r="B65" s="11" t="str">
        <f>CONCATENATE("          ", "6272", " - ", "CASH (OVER/SHORT)")</f>
        <v xml:space="preserve">          6272 - CASH (OVER/SHORT)</v>
      </c>
      <c r="C65" s="11"/>
      <c r="D65" s="7"/>
      <c r="E65" s="2"/>
      <c r="F65" s="6">
        <f t="shared" si="31"/>
        <v>0</v>
      </c>
      <c r="G65" s="2"/>
      <c r="H65" s="7"/>
      <c r="I65" s="2"/>
      <c r="J65" s="6">
        <f t="shared" si="32"/>
        <v>0</v>
      </c>
      <c r="K65" s="2"/>
      <c r="L65" s="7">
        <f t="shared" si="33"/>
        <v>0</v>
      </c>
      <c r="M65" s="2"/>
      <c r="N65" s="6">
        <f t="shared" si="34"/>
        <v>0</v>
      </c>
      <c r="O65" s="11"/>
      <c r="P65" s="7">
        <v>1.1000000000000001</v>
      </c>
      <c r="Q65" s="2"/>
      <c r="R65" s="6">
        <f t="shared" si="35"/>
        <v>5.1614307861516002E-5</v>
      </c>
      <c r="S65" s="2"/>
      <c r="T65" s="7"/>
      <c r="U65" s="2"/>
      <c r="V65" s="6">
        <f t="shared" si="36"/>
        <v>0</v>
      </c>
      <c r="W65" s="2"/>
      <c r="X65" s="7">
        <f t="shared" si="37"/>
        <v>1.1000000000000001</v>
      </c>
      <c r="Y65" s="2"/>
      <c r="Z65" s="6">
        <f t="shared" si="38"/>
        <v>0</v>
      </c>
    </row>
    <row r="66" spans="1:26" s="27" customFormat="1" outlineLevel="1" collapsed="1" x14ac:dyDescent="0.25">
      <c r="A66" s="26"/>
      <c r="B66" s="13" t="str">
        <f>CONCATENATE("     ","Bank/card Fees                                    ")</f>
        <v xml:space="preserve">     Bank/card Fees                                    </v>
      </c>
      <c r="C66" s="13"/>
      <c r="D66" s="1">
        <f>SUM(OSRRefD22_4x_0)</f>
        <v>0</v>
      </c>
      <c r="E66" s="1"/>
      <c r="F66" s="5">
        <f t="shared" si="31"/>
        <v>0</v>
      </c>
      <c r="G66" s="1"/>
      <c r="H66" s="1">
        <f>SUM(OSRRefH22_4x_0)</f>
        <v>564</v>
      </c>
      <c r="I66" s="1"/>
      <c r="J66" s="5">
        <f t="shared" si="32"/>
        <v>6.8797267626250311E-2</v>
      </c>
      <c r="K66" s="1"/>
      <c r="L66" s="1">
        <f t="shared" si="33"/>
        <v>-564</v>
      </c>
      <c r="M66" s="1"/>
      <c r="N66" s="5">
        <f t="shared" si="34"/>
        <v>-1</v>
      </c>
      <c r="O66" s="13"/>
      <c r="P66" s="1">
        <f>SUM(OSRRefP22_4x_0)</f>
        <v>0</v>
      </c>
      <c r="Q66" s="1"/>
      <c r="R66" s="5">
        <f t="shared" si="35"/>
        <v>0</v>
      </c>
      <c r="S66" s="1"/>
      <c r="T66" s="1">
        <f>SUM(OSRRefT22_4x_0)</f>
        <v>10561</v>
      </c>
      <c r="U66" s="1"/>
      <c r="V66" s="5">
        <f t="shared" si="36"/>
        <v>6.5706464256828218E-2</v>
      </c>
      <c r="W66" s="1"/>
      <c r="X66" s="1">
        <f t="shared" si="37"/>
        <v>-10561</v>
      </c>
      <c r="Y66" s="1"/>
      <c r="Z66" s="5">
        <f t="shared" si="38"/>
        <v>-1</v>
      </c>
    </row>
    <row r="67" spans="1:26" s="24" customFormat="1" hidden="1" outlineLevel="2" x14ac:dyDescent="0.25">
      <c r="A67" s="25"/>
      <c r="B67" s="11" t="str">
        <f>CONCATENATE("          ", "6381", " - ", "BANK/CREDIT CARD FEES")</f>
        <v xml:space="preserve">          6381 - BANK/CREDIT CARD FEES</v>
      </c>
      <c r="C67" s="11"/>
      <c r="D67" s="7"/>
      <c r="E67" s="2"/>
      <c r="F67" s="6">
        <f t="shared" si="31"/>
        <v>0</v>
      </c>
      <c r="G67" s="2"/>
      <c r="H67" s="7">
        <v>564</v>
      </c>
      <c r="I67" s="2"/>
      <c r="J67" s="6">
        <f t="shared" si="32"/>
        <v>6.8797267626250311E-2</v>
      </c>
      <c r="K67" s="2"/>
      <c r="L67" s="7">
        <f t="shared" si="33"/>
        <v>-564</v>
      </c>
      <c r="M67" s="2"/>
      <c r="N67" s="6">
        <f t="shared" si="34"/>
        <v>-1</v>
      </c>
      <c r="O67" s="11"/>
      <c r="P67" s="7"/>
      <c r="Q67" s="2"/>
      <c r="R67" s="6">
        <f t="shared" si="35"/>
        <v>0</v>
      </c>
      <c r="S67" s="2"/>
      <c r="T67" s="7">
        <v>10561</v>
      </c>
      <c r="U67" s="2"/>
      <c r="V67" s="6">
        <f t="shared" si="36"/>
        <v>6.5706464256828218E-2</v>
      </c>
      <c r="W67" s="2"/>
      <c r="X67" s="7">
        <f t="shared" si="37"/>
        <v>-10561</v>
      </c>
      <c r="Y67" s="2"/>
      <c r="Z67" s="6">
        <f t="shared" si="38"/>
        <v>-1</v>
      </c>
    </row>
    <row r="68" spans="1:26" s="27" customFormat="1" outlineLevel="1" collapsed="1" x14ac:dyDescent="0.25">
      <c r="A68" s="26"/>
      <c r="B68" s="13" t="str">
        <f>CONCATENATE("     ","Discounts and Markdowns                           ")</f>
        <v xml:space="preserve">     Discounts and Markdowns                           </v>
      </c>
      <c r="C68" s="13"/>
      <c r="D68" s="1">
        <f>SUM(OSRRefD22_5x_0)</f>
        <v>0</v>
      </c>
      <c r="E68" s="1"/>
      <c r="F68" s="5">
        <f t="shared" si="31"/>
        <v>0</v>
      </c>
      <c r="G68" s="1"/>
      <c r="H68" s="1">
        <f>SUM(OSRRefH22_5x_0)</f>
        <v>180</v>
      </c>
      <c r="I68" s="1"/>
      <c r="J68" s="5">
        <f t="shared" si="32"/>
        <v>2.1956574774335203E-2</v>
      </c>
      <c r="K68" s="1"/>
      <c r="L68" s="1">
        <f t="shared" si="33"/>
        <v>-180</v>
      </c>
      <c r="M68" s="1"/>
      <c r="N68" s="5">
        <f t="shared" si="34"/>
        <v>-1</v>
      </c>
      <c r="O68" s="13"/>
      <c r="P68" s="1">
        <f>SUM(OSRRefP22_5x_0)</f>
        <v>0</v>
      </c>
      <c r="Q68" s="1"/>
      <c r="R68" s="5">
        <f t="shared" si="35"/>
        <v>0</v>
      </c>
      <c r="S68" s="1"/>
      <c r="T68" s="1">
        <f>SUM(OSRRefT22_5x_0)</f>
        <v>3518</v>
      </c>
      <c r="U68" s="1"/>
      <c r="V68" s="5">
        <f t="shared" si="36"/>
        <v>2.1887637653207243E-2</v>
      </c>
      <c r="W68" s="1"/>
      <c r="X68" s="1">
        <f t="shared" si="37"/>
        <v>-3518</v>
      </c>
      <c r="Y68" s="1"/>
      <c r="Z68" s="5">
        <f t="shared" si="38"/>
        <v>-1</v>
      </c>
    </row>
    <row r="69" spans="1:26" s="24" customFormat="1" hidden="1" outlineLevel="2" x14ac:dyDescent="0.25">
      <c r="A69" s="25"/>
      <c r="B69" s="11" t="str">
        <f>CONCATENATE("          ", "6382", " - ", "DISCOUNTS/MARK DOWNS")</f>
        <v xml:space="preserve">          6382 - DISCOUNTS/MARK DOWNS</v>
      </c>
      <c r="C69" s="11"/>
      <c r="D69" s="7"/>
      <c r="E69" s="2"/>
      <c r="F69" s="6">
        <f t="shared" si="31"/>
        <v>0</v>
      </c>
      <c r="G69" s="2"/>
      <c r="H69" s="7">
        <v>180</v>
      </c>
      <c r="I69" s="2"/>
      <c r="J69" s="6">
        <f t="shared" si="32"/>
        <v>2.1956574774335203E-2</v>
      </c>
      <c r="K69" s="2"/>
      <c r="L69" s="7">
        <f t="shared" si="33"/>
        <v>-180</v>
      </c>
      <c r="M69" s="2"/>
      <c r="N69" s="6">
        <f t="shared" si="34"/>
        <v>-1</v>
      </c>
      <c r="O69" s="11"/>
      <c r="P69" s="7">
        <v>0</v>
      </c>
      <c r="Q69" s="2"/>
      <c r="R69" s="6">
        <f t="shared" si="35"/>
        <v>0</v>
      </c>
      <c r="S69" s="2"/>
      <c r="T69" s="7">
        <v>3518</v>
      </c>
      <c r="U69" s="2"/>
      <c r="V69" s="6">
        <f t="shared" si="36"/>
        <v>2.1887637653207243E-2</v>
      </c>
      <c r="W69" s="2"/>
      <c r="X69" s="7">
        <f t="shared" si="37"/>
        <v>-3518</v>
      </c>
      <c r="Y69" s="2"/>
      <c r="Z69" s="6">
        <f t="shared" si="38"/>
        <v>-1</v>
      </c>
    </row>
    <row r="70" spans="1:26" s="24" customFormat="1" hidden="1" outlineLevel="2" x14ac:dyDescent="0.25">
      <c r="A70" s="25"/>
      <c r="B70" s="11" t="str">
        <f>CONCATENATE("          ", "9175", " - ", "EARNED DISCOUNTS")</f>
        <v xml:space="preserve">          9175 - EARNED DISCOUNTS</v>
      </c>
      <c r="C70" s="11"/>
      <c r="D70" s="7">
        <v>0</v>
      </c>
      <c r="E70" s="2"/>
      <c r="F70" s="6">
        <f t="shared" si="31"/>
        <v>0</v>
      </c>
      <c r="G70" s="2"/>
      <c r="H70" s="7"/>
      <c r="I70" s="2"/>
      <c r="J70" s="6">
        <f t="shared" si="32"/>
        <v>0</v>
      </c>
      <c r="K70" s="2"/>
      <c r="L70" s="7">
        <f t="shared" si="33"/>
        <v>0</v>
      </c>
      <c r="M70" s="2"/>
      <c r="N70" s="6">
        <f t="shared" si="34"/>
        <v>0</v>
      </c>
      <c r="O70" s="11"/>
      <c r="P70" s="7">
        <v>0</v>
      </c>
      <c r="Q70" s="2"/>
      <c r="R70" s="6">
        <f t="shared" si="35"/>
        <v>0</v>
      </c>
      <c r="S70" s="2"/>
      <c r="T70" s="7"/>
      <c r="U70" s="2"/>
      <c r="V70" s="6">
        <f t="shared" si="36"/>
        <v>0</v>
      </c>
      <c r="W70" s="2"/>
      <c r="X70" s="7">
        <f t="shared" si="37"/>
        <v>0</v>
      </c>
      <c r="Y70" s="2"/>
      <c r="Z70" s="6">
        <f t="shared" si="38"/>
        <v>0</v>
      </c>
    </row>
    <row r="71" spans="1:26" s="27" customFormat="1" outlineLevel="1" collapsed="1" x14ac:dyDescent="0.25">
      <c r="A71" s="26"/>
      <c r="B71" s="13" t="str">
        <f>CONCATENATE("     ","Freight out/Postage                               ")</f>
        <v xml:space="preserve">     Freight out/Postage                               </v>
      </c>
      <c r="C71" s="13"/>
      <c r="D71" s="1">
        <f>SUM(OSRRefD22_6x_0)</f>
        <v>0</v>
      </c>
      <c r="E71" s="1"/>
      <c r="F71" s="5">
        <f t="shared" ref="F71:F79" si="39">IF(D$12=0,0,D71/D$12)</f>
        <v>0</v>
      </c>
      <c r="G71" s="1"/>
      <c r="H71" s="1">
        <f>SUM(OSRRefH22_6x_0)</f>
        <v>248</v>
      </c>
      <c r="I71" s="1"/>
      <c r="J71" s="5">
        <f t="shared" ref="J71:J79" si="40">IF(H$12=0,0,H71/H$12)</f>
        <v>3.0251280800195169E-2</v>
      </c>
      <c r="K71" s="1"/>
      <c r="L71" s="1">
        <f t="shared" ref="L71:L79" si="41">+D71-H71</f>
        <v>-248</v>
      </c>
      <c r="M71" s="1"/>
      <c r="N71" s="5">
        <f t="shared" ref="N71:N79" si="42">IF(H71=0,0,L71/H71)</f>
        <v>-1</v>
      </c>
      <c r="O71" s="13"/>
      <c r="P71" s="1">
        <f>SUM(OSRRefP22_6x_0)</f>
        <v>0</v>
      </c>
      <c r="Q71" s="1"/>
      <c r="R71" s="5">
        <f t="shared" ref="R71:R79" si="43">IF(P$12=0,0,P71/P$12)</f>
        <v>0</v>
      </c>
      <c r="S71" s="1"/>
      <c r="T71" s="1">
        <f>SUM(OSRRefT22_6x_0)</f>
        <v>2727</v>
      </c>
      <c r="U71" s="1"/>
      <c r="V71" s="5">
        <f t="shared" ref="V71:V79" si="44">IF(T$12=0,0,T71/T$12)</f>
        <v>1.6966341068873264E-2</v>
      </c>
      <c r="W71" s="1"/>
      <c r="X71" s="1">
        <f t="shared" ref="X71:X79" si="45">+P71-T71</f>
        <v>-2727</v>
      </c>
      <c r="Y71" s="1"/>
      <c r="Z71" s="5">
        <f t="shared" ref="Z71:Z79" si="46">IF(T71=0,0,X71/T71)</f>
        <v>-1</v>
      </c>
    </row>
    <row r="72" spans="1:26" s="24" customFormat="1" hidden="1" outlineLevel="2" x14ac:dyDescent="0.25">
      <c r="A72" s="25"/>
      <c r="B72" s="11" t="str">
        <f>CONCATENATE("          ", "6305", " - ", "FREIGHT OUT")</f>
        <v xml:space="preserve">          6305 - FREIGHT OUT</v>
      </c>
      <c r="C72" s="11"/>
      <c r="D72" s="7"/>
      <c r="E72" s="2"/>
      <c r="F72" s="6">
        <f t="shared" si="39"/>
        <v>0</v>
      </c>
      <c r="G72" s="2"/>
      <c r="H72" s="7">
        <v>248</v>
      </c>
      <c r="I72" s="2"/>
      <c r="J72" s="6">
        <f t="shared" si="40"/>
        <v>3.0251280800195169E-2</v>
      </c>
      <c r="K72" s="2"/>
      <c r="L72" s="7">
        <f t="shared" si="41"/>
        <v>-248</v>
      </c>
      <c r="M72" s="2"/>
      <c r="N72" s="6">
        <f t="shared" si="42"/>
        <v>-1</v>
      </c>
      <c r="O72" s="11"/>
      <c r="P72" s="7">
        <v>0</v>
      </c>
      <c r="Q72" s="2"/>
      <c r="R72" s="6">
        <f t="shared" si="43"/>
        <v>0</v>
      </c>
      <c r="S72" s="2"/>
      <c r="T72" s="7">
        <v>2727</v>
      </c>
      <c r="U72" s="2"/>
      <c r="V72" s="6">
        <f t="shared" si="44"/>
        <v>1.6966341068873264E-2</v>
      </c>
      <c r="W72" s="2"/>
      <c r="X72" s="7">
        <f t="shared" si="45"/>
        <v>-2727</v>
      </c>
      <c r="Y72" s="2"/>
      <c r="Z72" s="6">
        <f t="shared" si="46"/>
        <v>-1</v>
      </c>
    </row>
    <row r="73" spans="1:26" s="27" customFormat="1" outlineLevel="1" collapsed="1" x14ac:dyDescent="0.25">
      <c r="A73" s="26"/>
      <c r="B73" s="13" t="str">
        <f>CONCATENATE("     ","General                                           ")</f>
        <v xml:space="preserve">     General                                           </v>
      </c>
      <c r="C73" s="13"/>
      <c r="D73" s="1">
        <f>SUM(OSRRefD22_7x_0)</f>
        <v>0</v>
      </c>
      <c r="E73" s="1"/>
      <c r="F73" s="5">
        <f t="shared" si="39"/>
        <v>0</v>
      </c>
      <c r="G73" s="1"/>
      <c r="H73" s="1">
        <f>SUM(OSRRefH22_7x_0)</f>
        <v>0</v>
      </c>
      <c r="I73" s="1"/>
      <c r="J73" s="5">
        <f t="shared" si="40"/>
        <v>0</v>
      </c>
      <c r="K73" s="1"/>
      <c r="L73" s="1">
        <f t="shared" si="41"/>
        <v>0</v>
      </c>
      <c r="M73" s="1"/>
      <c r="N73" s="5">
        <f t="shared" si="42"/>
        <v>0</v>
      </c>
      <c r="O73" s="13"/>
      <c r="P73" s="1">
        <f>SUM(OSRRefP22_7x_0)</f>
        <v>879.55</v>
      </c>
      <c r="Q73" s="1"/>
      <c r="R73" s="5">
        <f t="shared" si="43"/>
        <v>4.1270331345087632E-2</v>
      </c>
      <c r="S73" s="1"/>
      <c r="T73" s="1">
        <f>SUM(OSRRefT22_7x_0)</f>
        <v>1000</v>
      </c>
      <c r="U73" s="1"/>
      <c r="V73" s="5">
        <f t="shared" si="44"/>
        <v>6.2216138866421954E-3</v>
      </c>
      <c r="W73" s="1"/>
      <c r="X73" s="1">
        <f t="shared" si="45"/>
        <v>-120.45000000000005</v>
      </c>
      <c r="Y73" s="1"/>
      <c r="Z73" s="5">
        <f t="shared" si="46"/>
        <v>-0.12045000000000004</v>
      </c>
    </row>
    <row r="74" spans="1:26" s="24" customFormat="1" hidden="1" outlineLevel="2" x14ac:dyDescent="0.25">
      <c r="A74" s="25"/>
      <c r="B74" s="11" t="str">
        <f>CONCATENATE("          ", "6279", " - ", "GENERAL EXPENSE")</f>
        <v xml:space="preserve">          6279 - GENERAL EXPENSE</v>
      </c>
      <c r="C74" s="11"/>
      <c r="D74" s="7"/>
      <c r="E74" s="2"/>
      <c r="F74" s="6">
        <f t="shared" si="39"/>
        <v>0</v>
      </c>
      <c r="G74" s="2"/>
      <c r="H74" s="7"/>
      <c r="I74" s="2"/>
      <c r="J74" s="6">
        <f t="shared" si="40"/>
        <v>0</v>
      </c>
      <c r="K74" s="2"/>
      <c r="L74" s="7">
        <f t="shared" si="41"/>
        <v>0</v>
      </c>
      <c r="M74" s="2"/>
      <c r="N74" s="6">
        <f t="shared" si="42"/>
        <v>0</v>
      </c>
      <c r="O74" s="11"/>
      <c r="P74" s="7">
        <v>879.55</v>
      </c>
      <c r="Q74" s="2"/>
      <c r="R74" s="6">
        <f t="shared" si="43"/>
        <v>4.1270331345087632E-2</v>
      </c>
      <c r="S74" s="2"/>
      <c r="T74" s="7">
        <v>1000</v>
      </c>
      <c r="U74" s="2"/>
      <c r="V74" s="6">
        <f t="shared" si="44"/>
        <v>6.2216138866421954E-3</v>
      </c>
      <c r="W74" s="2"/>
      <c r="X74" s="7">
        <f t="shared" si="45"/>
        <v>-120.45000000000005</v>
      </c>
      <c r="Y74" s="2"/>
      <c r="Z74" s="6">
        <f t="shared" si="46"/>
        <v>-0.12045000000000004</v>
      </c>
    </row>
    <row r="75" spans="1:26" s="27" customFormat="1" outlineLevel="1" collapsed="1" x14ac:dyDescent="0.25">
      <c r="A75" s="26"/>
      <c r="B75" s="13" t="str">
        <f>CONCATENATE("     ","Professional Services                             ")</f>
        <v xml:space="preserve">     Professional Services                             </v>
      </c>
      <c r="C75" s="13"/>
      <c r="D75" s="1">
        <f>SUM(OSRRefD22_8x_0)</f>
        <v>0</v>
      </c>
      <c r="E75" s="1"/>
      <c r="F75" s="5">
        <f t="shared" si="39"/>
        <v>0</v>
      </c>
      <c r="G75" s="1"/>
      <c r="H75" s="1">
        <f>SUM(OSRRefH22_8x_0)</f>
        <v>0</v>
      </c>
      <c r="I75" s="1"/>
      <c r="J75" s="5">
        <f t="shared" si="40"/>
        <v>0</v>
      </c>
      <c r="K75" s="1"/>
      <c r="L75" s="1">
        <f t="shared" si="41"/>
        <v>0</v>
      </c>
      <c r="M75" s="1"/>
      <c r="N75" s="5">
        <f t="shared" si="42"/>
        <v>0</v>
      </c>
      <c r="O75" s="13"/>
      <c r="P75" s="1">
        <f>SUM(OSRRefP22_8x_0)</f>
        <v>0</v>
      </c>
      <c r="Q75" s="1"/>
      <c r="R75" s="5">
        <f t="shared" si="43"/>
        <v>0</v>
      </c>
      <c r="S75" s="1"/>
      <c r="T75" s="1">
        <f>SUM(OSRRefT22_8x_0)</f>
        <v>800</v>
      </c>
      <c r="U75" s="1"/>
      <c r="V75" s="5">
        <f t="shared" si="44"/>
        <v>4.977291109313756E-3</v>
      </c>
      <c r="W75" s="1"/>
      <c r="X75" s="1">
        <f t="shared" si="45"/>
        <v>-800</v>
      </c>
      <c r="Y75" s="1"/>
      <c r="Z75" s="5">
        <f t="shared" si="46"/>
        <v>-1</v>
      </c>
    </row>
    <row r="76" spans="1:26" s="24" customFormat="1" hidden="1" outlineLevel="2" x14ac:dyDescent="0.25">
      <c r="A76" s="25"/>
      <c r="B76" s="11" t="str">
        <f>CONCATENATE("          ", "6336", " - ", "PROFESSIONAL SERVICES")</f>
        <v xml:space="preserve">          6336 - PROFESSIONAL SERVICES</v>
      </c>
      <c r="C76" s="11"/>
      <c r="D76" s="7"/>
      <c r="E76" s="2"/>
      <c r="F76" s="6">
        <f t="shared" si="39"/>
        <v>0</v>
      </c>
      <c r="G76" s="2"/>
      <c r="H76" s="7"/>
      <c r="I76" s="2"/>
      <c r="J76" s="6">
        <f t="shared" si="40"/>
        <v>0</v>
      </c>
      <c r="K76" s="2"/>
      <c r="L76" s="7">
        <f t="shared" si="41"/>
        <v>0</v>
      </c>
      <c r="M76" s="2"/>
      <c r="N76" s="6">
        <f t="shared" si="42"/>
        <v>0</v>
      </c>
      <c r="O76" s="11"/>
      <c r="P76" s="7"/>
      <c r="Q76" s="2"/>
      <c r="R76" s="6">
        <f t="shared" si="43"/>
        <v>0</v>
      </c>
      <c r="S76" s="2"/>
      <c r="T76" s="7">
        <v>800</v>
      </c>
      <c r="U76" s="2"/>
      <c r="V76" s="6">
        <f t="shared" si="44"/>
        <v>4.977291109313756E-3</v>
      </c>
      <c r="W76" s="2"/>
      <c r="X76" s="7">
        <f t="shared" si="45"/>
        <v>-800</v>
      </c>
      <c r="Y76" s="2"/>
      <c r="Z76" s="6">
        <f t="shared" si="46"/>
        <v>-1</v>
      </c>
    </row>
    <row r="77" spans="1:26" s="27" customFormat="1" outlineLevel="1" collapsed="1" x14ac:dyDescent="0.25">
      <c r="A77" s="26"/>
      <c r="B77" s="13" t="str">
        <f>CONCATENATE("     ","Repair and Maintenance                            ")</f>
        <v xml:space="preserve">     Repair and Maintenance                            </v>
      </c>
      <c r="C77" s="13"/>
      <c r="D77" s="1">
        <f>SUM(OSRRefD22_9x_0)</f>
        <v>0</v>
      </c>
      <c r="E77" s="1"/>
      <c r="F77" s="5">
        <f t="shared" si="39"/>
        <v>0</v>
      </c>
      <c r="G77" s="1"/>
      <c r="H77" s="1">
        <f>SUM(OSRRefH22_9x_0)</f>
        <v>100</v>
      </c>
      <c r="I77" s="1"/>
      <c r="J77" s="5">
        <f t="shared" si="40"/>
        <v>1.2198097096852892E-2</v>
      </c>
      <c r="K77" s="1"/>
      <c r="L77" s="1">
        <f t="shared" si="41"/>
        <v>-100</v>
      </c>
      <c r="M77" s="1"/>
      <c r="N77" s="5">
        <f t="shared" si="42"/>
        <v>-1</v>
      </c>
      <c r="O77" s="13"/>
      <c r="P77" s="1">
        <f>SUM(OSRRefP22_9x_0)</f>
        <v>261.93</v>
      </c>
      <c r="Q77" s="1"/>
      <c r="R77" s="5">
        <f t="shared" si="43"/>
        <v>1.2290305143788078E-2</v>
      </c>
      <c r="S77" s="1"/>
      <c r="T77" s="1">
        <f>SUM(OSRRefT22_9x_0)</f>
        <v>1100</v>
      </c>
      <c r="U77" s="1"/>
      <c r="V77" s="5">
        <f t="shared" si="44"/>
        <v>6.8437752753064147E-3</v>
      </c>
      <c r="W77" s="1"/>
      <c r="X77" s="1">
        <f t="shared" si="45"/>
        <v>-838.06999999999994</v>
      </c>
      <c r="Y77" s="1"/>
      <c r="Z77" s="5">
        <f t="shared" si="46"/>
        <v>-0.7618818181818181</v>
      </c>
    </row>
    <row r="78" spans="1:26" s="24" customFormat="1" hidden="1" outlineLevel="2" x14ac:dyDescent="0.25">
      <c r="A78" s="25"/>
      <c r="B78" s="11" t="str">
        <f>CONCATENATE("          ", "6373", " - ", "MAINTENANCE CONTRACTS")</f>
        <v xml:space="preserve">          6373 - MAINTENANCE CONTRACTS</v>
      </c>
      <c r="C78" s="11"/>
      <c r="D78" s="7"/>
      <c r="E78" s="2"/>
      <c r="F78" s="6">
        <f t="shared" si="39"/>
        <v>0</v>
      </c>
      <c r="G78" s="2"/>
      <c r="H78" s="7"/>
      <c r="I78" s="2"/>
      <c r="J78" s="6">
        <f t="shared" si="40"/>
        <v>0</v>
      </c>
      <c r="K78" s="2"/>
      <c r="L78" s="7">
        <f t="shared" si="41"/>
        <v>0</v>
      </c>
      <c r="M78" s="2"/>
      <c r="N78" s="6">
        <f t="shared" si="42"/>
        <v>0</v>
      </c>
      <c r="O78" s="11"/>
      <c r="P78" s="7">
        <v>261.93</v>
      </c>
      <c r="Q78" s="2"/>
      <c r="R78" s="6">
        <f t="shared" si="43"/>
        <v>1.2290305143788078E-2</v>
      </c>
      <c r="S78" s="2"/>
      <c r="T78" s="7"/>
      <c r="U78" s="2"/>
      <c r="V78" s="6">
        <f t="shared" si="44"/>
        <v>0</v>
      </c>
      <c r="W78" s="2"/>
      <c r="X78" s="7">
        <f t="shared" si="45"/>
        <v>261.93</v>
      </c>
      <c r="Y78" s="2"/>
      <c r="Z78" s="6">
        <f t="shared" si="46"/>
        <v>0</v>
      </c>
    </row>
    <row r="79" spans="1:26" s="24" customFormat="1" hidden="1" outlineLevel="2" x14ac:dyDescent="0.25">
      <c r="A79" s="25"/>
      <c r="B79" s="11" t="str">
        <f>CONCATENATE("          ", "6375", " - ", "OUTSIDE REPAIRS &amp; MAINTENANCE")</f>
        <v xml:space="preserve">          6375 - OUTSIDE REPAIRS &amp; MAINTENANCE</v>
      </c>
      <c r="C79" s="11"/>
      <c r="D79" s="7"/>
      <c r="E79" s="2"/>
      <c r="F79" s="6">
        <f t="shared" si="39"/>
        <v>0</v>
      </c>
      <c r="G79" s="2"/>
      <c r="H79" s="7">
        <v>100</v>
      </c>
      <c r="I79" s="2"/>
      <c r="J79" s="6">
        <f t="shared" si="40"/>
        <v>1.2198097096852892E-2</v>
      </c>
      <c r="K79" s="2"/>
      <c r="L79" s="7">
        <f t="shared" si="41"/>
        <v>-100</v>
      </c>
      <c r="M79" s="2"/>
      <c r="N79" s="6">
        <f t="shared" si="42"/>
        <v>-1</v>
      </c>
      <c r="O79" s="11"/>
      <c r="P79" s="7"/>
      <c r="Q79" s="2"/>
      <c r="R79" s="6">
        <f t="shared" si="43"/>
        <v>0</v>
      </c>
      <c r="S79" s="2"/>
      <c r="T79" s="7">
        <v>1100</v>
      </c>
      <c r="U79" s="2"/>
      <c r="V79" s="6">
        <f t="shared" si="44"/>
        <v>6.8437752753064147E-3</v>
      </c>
      <c r="W79" s="2"/>
      <c r="X79" s="7">
        <f t="shared" si="45"/>
        <v>-1100</v>
      </c>
      <c r="Y79" s="2"/>
      <c r="Z79" s="6">
        <f t="shared" si="46"/>
        <v>-1</v>
      </c>
    </row>
    <row r="80" spans="1:26" s="27" customFormat="1" outlineLevel="1" collapsed="1" x14ac:dyDescent="0.25">
      <c r="A80" s="26"/>
      <c r="B80" s="13" t="str">
        <f>CONCATENATE("     ","Services                                          ")</f>
        <v xml:space="preserve">     Services                                          </v>
      </c>
      <c r="C80" s="13"/>
      <c r="D80" s="1">
        <f>SUM(OSRRefD22_10x_0)</f>
        <v>0</v>
      </c>
      <c r="E80" s="1"/>
      <c r="F80" s="5">
        <f t="shared" ref="F80:F82" si="47">IF(D$12=0,0,D80/D$12)</f>
        <v>0</v>
      </c>
      <c r="G80" s="1"/>
      <c r="H80" s="1">
        <f>SUM(OSRRefH22_10x_0)</f>
        <v>274</v>
      </c>
      <c r="I80" s="1"/>
      <c r="J80" s="5">
        <f t="shared" ref="J80:J82" si="48">IF(H$12=0,0,H80/H$12)</f>
        <v>3.342278604537692E-2</v>
      </c>
      <c r="K80" s="1"/>
      <c r="L80" s="1">
        <f t="shared" ref="L80:L82" si="49">+D80-H80</f>
        <v>-274</v>
      </c>
      <c r="M80" s="1"/>
      <c r="N80" s="5">
        <f t="shared" ref="N80:N82" si="50">IF(H80=0,0,L80/H80)</f>
        <v>-1</v>
      </c>
      <c r="O80" s="13"/>
      <c r="P80" s="1">
        <f>SUM(OSRRefP22_10x_0)</f>
        <v>18.5</v>
      </c>
      <c r="Q80" s="1"/>
      <c r="R80" s="5">
        <f t="shared" ref="R80:R82" si="51">IF(P$12=0,0,P80/P$12)</f>
        <v>8.6805881403458724E-4</v>
      </c>
      <c r="S80" s="1"/>
      <c r="T80" s="1">
        <f>SUM(OSRRefT22_10x_0)</f>
        <v>2740</v>
      </c>
      <c r="U80" s="1"/>
      <c r="V80" s="5">
        <f t="shared" ref="V80:V82" si="52">IF(T$12=0,0,T80/T$12)</f>
        <v>1.7047222049399614E-2</v>
      </c>
      <c r="W80" s="1"/>
      <c r="X80" s="1">
        <f t="shared" ref="X80:X82" si="53">+P80-T80</f>
        <v>-2721.5</v>
      </c>
      <c r="Y80" s="1"/>
      <c r="Z80" s="5">
        <f t="shared" ref="Z80:Z82" si="54">IF(T80=0,0,X80/T80)</f>
        <v>-0.99324817518248176</v>
      </c>
    </row>
    <row r="81" spans="1:26" s="24" customFormat="1" hidden="1" outlineLevel="2" x14ac:dyDescent="0.25">
      <c r="A81" s="25"/>
      <c r="B81" s="11" t="str">
        <f>CONCATENATE("          ", "6282", " - ", "JANITORIAL/EXTERMINATOR EXPENS")</f>
        <v xml:space="preserve">          6282 - JANITORIAL/EXTERMINATOR EXPENS</v>
      </c>
      <c r="C81" s="11"/>
      <c r="D81" s="7"/>
      <c r="E81" s="2"/>
      <c r="F81" s="6">
        <f t="shared" si="47"/>
        <v>0</v>
      </c>
      <c r="G81" s="2"/>
      <c r="H81" s="7"/>
      <c r="I81" s="2"/>
      <c r="J81" s="6">
        <f t="shared" si="48"/>
        <v>0</v>
      </c>
      <c r="K81" s="2"/>
      <c r="L81" s="7">
        <f t="shared" si="49"/>
        <v>0</v>
      </c>
      <c r="M81" s="2"/>
      <c r="N81" s="6">
        <f t="shared" si="50"/>
        <v>0</v>
      </c>
      <c r="O81" s="11"/>
      <c r="P81" s="7">
        <v>176</v>
      </c>
      <c r="Q81" s="2"/>
      <c r="R81" s="6">
        <f t="shared" si="51"/>
        <v>8.2582892578425601E-3</v>
      </c>
      <c r="S81" s="2"/>
      <c r="T81" s="7"/>
      <c r="U81" s="2"/>
      <c r="V81" s="6">
        <f t="shared" si="52"/>
        <v>0</v>
      </c>
      <c r="W81" s="2"/>
      <c r="X81" s="7">
        <f t="shared" si="53"/>
        <v>176</v>
      </c>
      <c r="Y81" s="2"/>
      <c r="Z81" s="6">
        <f t="shared" si="54"/>
        <v>0</v>
      </c>
    </row>
    <row r="82" spans="1:26" s="24" customFormat="1" hidden="1" outlineLevel="2" x14ac:dyDescent="0.25">
      <c r="A82" s="25"/>
      <c r="B82" s="11" t="str">
        <f>CONCATENATE("          ", "6285", " - ", "JANITORIAL SERVICES")</f>
        <v xml:space="preserve">          6285 - JANITORIAL SERVICES</v>
      </c>
      <c r="C82" s="11"/>
      <c r="D82" s="7"/>
      <c r="E82" s="2"/>
      <c r="F82" s="6">
        <f t="shared" si="47"/>
        <v>0</v>
      </c>
      <c r="G82" s="2"/>
      <c r="H82" s="7">
        <v>274</v>
      </c>
      <c r="I82" s="2"/>
      <c r="J82" s="6">
        <f t="shared" si="48"/>
        <v>3.342278604537692E-2</v>
      </c>
      <c r="K82" s="2"/>
      <c r="L82" s="7">
        <f t="shared" si="49"/>
        <v>-274</v>
      </c>
      <c r="M82" s="2"/>
      <c r="N82" s="6">
        <f t="shared" si="50"/>
        <v>-1</v>
      </c>
      <c r="O82" s="11"/>
      <c r="P82" s="7">
        <v>-157.5</v>
      </c>
      <c r="Q82" s="2"/>
      <c r="R82" s="6">
        <f t="shared" si="51"/>
        <v>-7.3902304438079732E-3</v>
      </c>
      <c r="S82" s="2"/>
      <c r="T82" s="7">
        <v>2740</v>
      </c>
      <c r="U82" s="2"/>
      <c r="V82" s="6">
        <f t="shared" si="52"/>
        <v>1.7047222049399614E-2</v>
      </c>
      <c r="W82" s="2"/>
      <c r="X82" s="7">
        <f t="shared" si="53"/>
        <v>-2897.5</v>
      </c>
      <c r="Y82" s="2"/>
      <c r="Z82" s="6">
        <f t="shared" si="54"/>
        <v>-1.0574817518248176</v>
      </c>
    </row>
    <row r="83" spans="1:26" s="27" customFormat="1" outlineLevel="1" collapsed="1" x14ac:dyDescent="0.25">
      <c r="A83" s="26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SUM(OSRRefD22_11x_0)</f>
        <v>0</v>
      </c>
      <c r="E83" s="1"/>
      <c r="F83" s="5">
        <f t="shared" ref="F83:F87" si="55">IF(D$12=0,0,D83/D$12)</f>
        <v>0</v>
      </c>
      <c r="G83" s="1"/>
      <c r="H83" s="1">
        <f>SUM(OSRRefH22_11x_0)</f>
        <v>300</v>
      </c>
      <c r="I83" s="1"/>
      <c r="J83" s="5">
        <f t="shared" ref="J83:J87" si="56">IF(H$12=0,0,H83/H$12)</f>
        <v>3.6594291290558675E-2</v>
      </c>
      <c r="K83" s="1"/>
      <c r="L83" s="1">
        <f t="shared" ref="L83:L87" si="57">+D83-H83</f>
        <v>-300</v>
      </c>
      <c r="M83" s="1"/>
      <c r="N83" s="5">
        <f t="shared" ref="N83:N87" si="58">IF(H83=0,0,L83/H83)</f>
        <v>-1</v>
      </c>
      <c r="O83" s="13"/>
      <c r="P83" s="1">
        <f>SUM(OSRRefP22_11x_0)</f>
        <v>1892.27</v>
      </c>
      <c r="Q83" s="1"/>
      <c r="R83" s="5">
        <f t="shared" ref="R83:R87" si="59">IF(P$12=0,0,P83/P$12)</f>
        <v>8.8789278488282622E-2</v>
      </c>
      <c r="S83" s="1"/>
      <c r="T83" s="1">
        <f>SUM(OSRRefT22_11x_0)</f>
        <v>3200</v>
      </c>
      <c r="U83" s="1"/>
      <c r="V83" s="5">
        <f t="shared" ref="V83:V87" si="60">IF(T$12=0,0,T83/T$12)</f>
        <v>1.9909164437255024E-2</v>
      </c>
      <c r="W83" s="1"/>
      <c r="X83" s="1">
        <f t="shared" ref="X83:X87" si="61">+P83-T83</f>
        <v>-1307.73</v>
      </c>
      <c r="Y83" s="1"/>
      <c r="Z83" s="5">
        <f t="shared" ref="Z83:Z87" si="62">IF(T83=0,0,X83/T83)</f>
        <v>-0.40866562500000003</v>
      </c>
    </row>
    <row r="84" spans="1:26" s="24" customFormat="1" hidden="1" outlineLevel="2" x14ac:dyDescent="0.25">
      <c r="A84" s="25"/>
      <c r="B84" s="11" t="str">
        <f>CONCATENATE("          ", "6235", " - ", "COVID-19 EXPENSES")</f>
        <v xml:space="preserve">          6235 - COVID-19 EXPENSES</v>
      </c>
      <c r="C84" s="11"/>
      <c r="D84" s="7"/>
      <c r="E84" s="2"/>
      <c r="F84" s="6">
        <f t="shared" si="55"/>
        <v>0</v>
      </c>
      <c r="G84" s="2"/>
      <c r="H84" s="7">
        <v>200</v>
      </c>
      <c r="I84" s="2"/>
      <c r="J84" s="6">
        <f t="shared" si="56"/>
        <v>2.4396194193705784E-2</v>
      </c>
      <c r="K84" s="2"/>
      <c r="L84" s="7">
        <f t="shared" si="57"/>
        <v>-200</v>
      </c>
      <c r="M84" s="2"/>
      <c r="N84" s="6">
        <f t="shared" si="58"/>
        <v>-1</v>
      </c>
      <c r="O84" s="11"/>
      <c r="P84" s="7">
        <v>444.3</v>
      </c>
      <c r="Q84" s="2"/>
      <c r="R84" s="6">
        <f t="shared" si="59"/>
        <v>2.0847488166246871E-2</v>
      </c>
      <c r="S84" s="2"/>
      <c r="T84" s="7">
        <v>2000</v>
      </c>
      <c r="U84" s="2"/>
      <c r="V84" s="6">
        <f t="shared" si="60"/>
        <v>1.2443227773284391E-2</v>
      </c>
      <c r="W84" s="2"/>
      <c r="X84" s="7">
        <f t="shared" si="61"/>
        <v>-1555.7</v>
      </c>
      <c r="Y84" s="2"/>
      <c r="Z84" s="6">
        <f t="shared" si="62"/>
        <v>-0.77785000000000004</v>
      </c>
    </row>
    <row r="85" spans="1:26" s="24" customFormat="1" hidden="1" outlineLevel="2" x14ac:dyDescent="0.25">
      <c r="A85" s="25"/>
      <c r="B85" s="11" t="str">
        <f>CONCATENATE("          ", "6241", " - ", "OFFICE EXPENSE")</f>
        <v xml:space="preserve">          6241 - OFFICE EXPENSE</v>
      </c>
      <c r="C85" s="11"/>
      <c r="D85" s="7"/>
      <c r="E85" s="2"/>
      <c r="F85" s="6">
        <f t="shared" si="55"/>
        <v>0</v>
      </c>
      <c r="G85" s="2"/>
      <c r="H85" s="7"/>
      <c r="I85" s="2"/>
      <c r="J85" s="6">
        <f t="shared" si="56"/>
        <v>0</v>
      </c>
      <c r="K85" s="2"/>
      <c r="L85" s="7">
        <f t="shared" si="57"/>
        <v>0</v>
      </c>
      <c r="M85" s="2"/>
      <c r="N85" s="6">
        <f t="shared" si="58"/>
        <v>0</v>
      </c>
      <c r="O85" s="11"/>
      <c r="P85" s="7">
        <v>225.24</v>
      </c>
      <c r="Q85" s="2"/>
      <c r="R85" s="6">
        <f t="shared" si="59"/>
        <v>1.056873336611624E-2</v>
      </c>
      <c r="S85" s="2"/>
      <c r="T85" s="7"/>
      <c r="U85" s="2"/>
      <c r="V85" s="6">
        <f t="shared" si="60"/>
        <v>0</v>
      </c>
      <c r="W85" s="2"/>
      <c r="X85" s="7">
        <f t="shared" si="61"/>
        <v>225.24</v>
      </c>
      <c r="Y85" s="2"/>
      <c r="Z85" s="6">
        <f t="shared" si="62"/>
        <v>0</v>
      </c>
    </row>
    <row r="86" spans="1:26" s="24" customFormat="1" hidden="1" outlineLevel="2" x14ac:dyDescent="0.25">
      <c r="A86" s="25"/>
      <c r="B86" s="11" t="str">
        <f>CONCATENATE("          ", "6247", " - ", "STORE SUPPLIES")</f>
        <v xml:space="preserve">          6247 - STORE SUPPLIES</v>
      </c>
      <c r="C86" s="11"/>
      <c r="D86" s="7"/>
      <c r="E86" s="2"/>
      <c r="F86" s="6">
        <f t="shared" si="55"/>
        <v>0</v>
      </c>
      <c r="G86" s="2"/>
      <c r="H86" s="7">
        <v>100</v>
      </c>
      <c r="I86" s="2"/>
      <c r="J86" s="6">
        <f t="shared" si="56"/>
        <v>1.2198097096852892E-2</v>
      </c>
      <c r="K86" s="2"/>
      <c r="L86" s="7">
        <f t="shared" si="57"/>
        <v>-100</v>
      </c>
      <c r="M86" s="2"/>
      <c r="N86" s="6">
        <f t="shared" si="58"/>
        <v>-1</v>
      </c>
      <c r="O86" s="11"/>
      <c r="P86" s="7">
        <v>1222.73</v>
      </c>
      <c r="Q86" s="2"/>
      <c r="R86" s="6">
        <f t="shared" si="59"/>
        <v>5.7373056955919509E-2</v>
      </c>
      <c r="S86" s="2"/>
      <c r="T86" s="7">
        <v>1000</v>
      </c>
      <c r="U86" s="2"/>
      <c r="V86" s="6">
        <f t="shared" si="60"/>
        <v>6.2216138866421954E-3</v>
      </c>
      <c r="W86" s="2"/>
      <c r="X86" s="7">
        <f t="shared" si="61"/>
        <v>222.73000000000002</v>
      </c>
      <c r="Y86" s="2"/>
      <c r="Z86" s="6">
        <f t="shared" si="62"/>
        <v>0.22273000000000001</v>
      </c>
    </row>
    <row r="87" spans="1:26" s="24" customFormat="1" hidden="1" outlineLevel="2" x14ac:dyDescent="0.25">
      <c r="A87" s="25"/>
      <c r="B87" s="11" t="str">
        <f>CONCATENATE("          ", "6248", " - ", "UNIFORMS")</f>
        <v xml:space="preserve">          6248 - UNIFORMS</v>
      </c>
      <c r="C87" s="11"/>
      <c r="D87" s="7"/>
      <c r="E87" s="2"/>
      <c r="F87" s="6">
        <f t="shared" si="55"/>
        <v>0</v>
      </c>
      <c r="G87" s="2"/>
      <c r="H87" s="7"/>
      <c r="I87" s="2"/>
      <c r="J87" s="6">
        <f t="shared" si="56"/>
        <v>0</v>
      </c>
      <c r="K87" s="2"/>
      <c r="L87" s="7">
        <f t="shared" si="57"/>
        <v>0</v>
      </c>
      <c r="M87" s="2"/>
      <c r="N87" s="6">
        <f t="shared" si="58"/>
        <v>0</v>
      </c>
      <c r="O87" s="11"/>
      <c r="P87" s="7"/>
      <c r="Q87" s="2"/>
      <c r="R87" s="6">
        <f t="shared" si="59"/>
        <v>0</v>
      </c>
      <c r="S87" s="2"/>
      <c r="T87" s="7">
        <v>200</v>
      </c>
      <c r="U87" s="2"/>
      <c r="V87" s="6">
        <f t="shared" si="60"/>
        <v>1.244322777328439E-3</v>
      </c>
      <c r="W87" s="2"/>
      <c r="X87" s="7">
        <f t="shared" si="61"/>
        <v>-200</v>
      </c>
      <c r="Y87" s="2"/>
      <c r="Z87" s="6">
        <f t="shared" si="62"/>
        <v>-1</v>
      </c>
    </row>
    <row r="88" spans="1:26" s="27" customFormat="1" outlineLevel="1" collapsed="1" x14ac:dyDescent="0.25">
      <c r="A88" s="26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SUM(OSRRefD22_12x_0)</f>
        <v>53</v>
      </c>
      <c r="E88" s="1"/>
      <c r="F88" s="5">
        <f t="shared" ref="F88:F90" si="63">IF(D$12=0,0,D88/D$12)</f>
        <v>0</v>
      </c>
      <c r="G88" s="1"/>
      <c r="H88" s="1">
        <f>SUM(OSRRefH22_12x_0)</f>
        <v>100</v>
      </c>
      <c r="I88" s="1"/>
      <c r="J88" s="5">
        <f t="shared" ref="J88:J90" si="64">IF(H$12=0,0,H88/H$12)</f>
        <v>1.2198097096852892E-2</v>
      </c>
      <c r="K88" s="1"/>
      <c r="L88" s="1">
        <f t="shared" ref="L88:L90" si="65">+D88-H88</f>
        <v>-47</v>
      </c>
      <c r="M88" s="1"/>
      <c r="N88" s="5">
        <f t="shared" ref="N88:N90" si="66">IF(H88=0,0,L88/H88)</f>
        <v>-0.47</v>
      </c>
      <c r="O88" s="13"/>
      <c r="P88" s="1">
        <f>SUM(OSRRefP22_12x_0)</f>
        <v>631.04999999999995</v>
      </c>
      <c r="Q88" s="1"/>
      <c r="R88" s="5">
        <f t="shared" ref="R88:R90" si="67">IF(P$12=0,0,P88/P$12)</f>
        <v>2.961018997819061E-2</v>
      </c>
      <c r="S88" s="1"/>
      <c r="T88" s="1">
        <f>SUM(OSRRefT22_12x_0)</f>
        <v>1100</v>
      </c>
      <c r="U88" s="1"/>
      <c r="V88" s="5">
        <f t="shared" ref="V88:V90" si="68">IF(T$12=0,0,T88/T$12)</f>
        <v>6.8437752753064147E-3</v>
      </c>
      <c r="W88" s="1"/>
      <c r="X88" s="1">
        <f t="shared" ref="X88:X90" si="69">+P88-T88</f>
        <v>-468.95000000000005</v>
      </c>
      <c r="Y88" s="1"/>
      <c r="Z88" s="5">
        <f t="shared" ref="Z88:Z90" si="70">IF(T88=0,0,X88/T88)</f>
        <v>-0.42631818181818187</v>
      </c>
    </row>
    <row r="89" spans="1:26" s="24" customFormat="1" hidden="1" outlineLevel="2" x14ac:dyDescent="0.25">
      <c r="A89" s="25"/>
      <c r="B89" s="11" t="str">
        <f>CONCATENATE("          ", "6303", " - ", "DATA PHONE LINES")</f>
        <v xml:space="preserve">          6303 - DATA PHONE LINES</v>
      </c>
      <c r="C89" s="11"/>
      <c r="D89" s="7"/>
      <c r="E89" s="2"/>
      <c r="F89" s="6">
        <f t="shared" si="63"/>
        <v>0</v>
      </c>
      <c r="G89" s="2"/>
      <c r="H89" s="7">
        <v>100</v>
      </c>
      <c r="I89" s="2"/>
      <c r="J89" s="6">
        <f t="shared" si="64"/>
        <v>1.2198097096852892E-2</v>
      </c>
      <c r="K89" s="2"/>
      <c r="L89" s="7">
        <f t="shared" si="65"/>
        <v>-100</v>
      </c>
      <c r="M89" s="2"/>
      <c r="N89" s="6">
        <f t="shared" si="66"/>
        <v>-1</v>
      </c>
      <c r="O89" s="11"/>
      <c r="P89" s="7"/>
      <c r="Q89" s="2"/>
      <c r="R89" s="6">
        <f t="shared" si="67"/>
        <v>0</v>
      </c>
      <c r="S89" s="2"/>
      <c r="T89" s="7">
        <v>1100</v>
      </c>
      <c r="U89" s="2"/>
      <c r="V89" s="6">
        <f t="shared" si="68"/>
        <v>6.8437752753064147E-3</v>
      </c>
      <c r="W89" s="2"/>
      <c r="X89" s="7">
        <f t="shared" si="69"/>
        <v>-1100</v>
      </c>
      <c r="Y89" s="2"/>
      <c r="Z89" s="6">
        <f t="shared" si="70"/>
        <v>-1</v>
      </c>
    </row>
    <row r="90" spans="1:26" s="24" customFormat="1" hidden="1" outlineLevel="2" x14ac:dyDescent="0.25">
      <c r="A90" s="25"/>
      <c r="B90" s="11" t="str">
        <f>CONCATENATE("          ", "6309", " - ", "TELEPHONE")</f>
        <v xml:space="preserve">          6309 - TELEPHONE</v>
      </c>
      <c r="C90" s="11"/>
      <c r="D90" s="7">
        <v>53</v>
      </c>
      <c r="E90" s="2"/>
      <c r="F90" s="6">
        <f t="shared" si="63"/>
        <v>0</v>
      </c>
      <c r="G90" s="2"/>
      <c r="H90" s="7"/>
      <c r="I90" s="2"/>
      <c r="J90" s="6">
        <f t="shared" si="64"/>
        <v>0</v>
      </c>
      <c r="K90" s="2"/>
      <c r="L90" s="7">
        <f t="shared" si="65"/>
        <v>53</v>
      </c>
      <c r="M90" s="2"/>
      <c r="N90" s="6">
        <f t="shared" si="66"/>
        <v>0</v>
      </c>
      <c r="O90" s="11"/>
      <c r="P90" s="7">
        <v>631.04999999999995</v>
      </c>
      <c r="Q90" s="2"/>
      <c r="R90" s="6">
        <f t="shared" si="67"/>
        <v>2.961018997819061E-2</v>
      </c>
      <c r="S90" s="2"/>
      <c r="T90" s="7"/>
      <c r="U90" s="2"/>
      <c r="V90" s="6">
        <f t="shared" si="68"/>
        <v>0</v>
      </c>
      <c r="W90" s="2"/>
      <c r="X90" s="7">
        <f t="shared" si="69"/>
        <v>631.04999999999995</v>
      </c>
      <c r="Y90" s="2"/>
      <c r="Z90" s="6">
        <f t="shared" si="70"/>
        <v>0</v>
      </c>
    </row>
    <row r="91" spans="1:26" s="27" customFormat="1" outlineLevel="1" collapsed="1" x14ac:dyDescent="0.25">
      <c r="A91" s="26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SUM(OSRRefD22_13x_0)</f>
        <v>0</v>
      </c>
      <c r="E91" s="1"/>
      <c r="F91" s="5">
        <f t="shared" ref="F91:F92" si="71">IF(D$12=0,0,D91/D$12)</f>
        <v>0</v>
      </c>
      <c r="G91" s="1"/>
      <c r="H91" s="1">
        <f>SUM(OSRRefH22_13x_0)</f>
        <v>0</v>
      </c>
      <c r="I91" s="1"/>
      <c r="J91" s="5">
        <f t="shared" ref="J91:J92" si="72">IF(H$12=0,0,H91/H$12)</f>
        <v>0</v>
      </c>
      <c r="K91" s="1"/>
      <c r="L91" s="1">
        <f t="shared" ref="L91:L92" si="73">+D91-H91</f>
        <v>0</v>
      </c>
      <c r="M91" s="1"/>
      <c r="N91" s="5">
        <f t="shared" ref="N91:N92" si="74">IF(H91=0,0,L91/H91)</f>
        <v>0</v>
      </c>
      <c r="O91" s="13"/>
      <c r="P91" s="1">
        <f>SUM(OSRRefP22_13x_0)</f>
        <v>14</v>
      </c>
      <c r="Q91" s="1"/>
      <c r="R91" s="5">
        <f t="shared" ref="R91:R92" si="75">IF(P$12=0,0,P91/P$12)</f>
        <v>6.5690937278293094E-4</v>
      </c>
      <c r="S91" s="1"/>
      <c r="T91" s="1">
        <f>SUM(OSRRefT22_13x_0)</f>
        <v>120</v>
      </c>
      <c r="U91" s="1"/>
      <c r="V91" s="5">
        <f t="shared" ref="V91:V92" si="76">IF(T$12=0,0,T91/T$12)</f>
        <v>7.4659366639706344E-4</v>
      </c>
      <c r="W91" s="1"/>
      <c r="X91" s="1">
        <f t="shared" ref="X91:X92" si="77">+P91-T91</f>
        <v>-106</v>
      </c>
      <c r="Y91" s="1"/>
      <c r="Z91" s="5">
        <f t="shared" ref="Z91:Z92" si="78">IF(T91=0,0,X91/T91)</f>
        <v>-0.8833333333333333</v>
      </c>
    </row>
    <row r="92" spans="1:26" s="24" customFormat="1" hidden="1" outlineLevel="2" x14ac:dyDescent="0.25">
      <c r="A92" s="25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71"/>
        <v>0</v>
      </c>
      <c r="G92" s="2"/>
      <c r="H92" s="7"/>
      <c r="I92" s="2"/>
      <c r="J92" s="6">
        <f t="shared" si="72"/>
        <v>0</v>
      </c>
      <c r="K92" s="2"/>
      <c r="L92" s="7">
        <f t="shared" si="73"/>
        <v>0</v>
      </c>
      <c r="M92" s="2"/>
      <c r="N92" s="6">
        <f t="shared" si="74"/>
        <v>0</v>
      </c>
      <c r="O92" s="11"/>
      <c r="P92" s="7">
        <v>14</v>
      </c>
      <c r="Q92" s="2"/>
      <c r="R92" s="6">
        <f t="shared" si="75"/>
        <v>6.5690937278293094E-4</v>
      </c>
      <c r="S92" s="2"/>
      <c r="T92" s="7">
        <v>120</v>
      </c>
      <c r="U92" s="2"/>
      <c r="V92" s="6">
        <f t="shared" si="76"/>
        <v>7.4659366639706344E-4</v>
      </c>
      <c r="W92" s="2"/>
      <c r="X92" s="7">
        <f t="shared" si="77"/>
        <v>-106</v>
      </c>
      <c r="Y92" s="2"/>
      <c r="Z92" s="6">
        <f t="shared" si="78"/>
        <v>-0.8833333333333333</v>
      </c>
    </row>
    <row r="93" spans="1:26" s="56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9" t="s">
        <v>293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8" t="s">
        <v>277</v>
      </c>
      <c r="C96" s="28"/>
      <c r="D96" s="20">
        <f>+D38-D40+D94</f>
        <v>-81.53</v>
      </c>
      <c r="E96" s="14"/>
      <c r="F96" s="21">
        <f>IF(D$12=0,0,D96/D$12)</f>
        <v>0</v>
      </c>
      <c r="G96" s="14"/>
      <c r="H96" s="20">
        <f>+H38-H40+H94</f>
        <v>-7101.1557099999991</v>
      </c>
      <c r="I96" s="14"/>
      <c r="J96" s="21">
        <f>IF(H$12=0,0,H96/H$12)</f>
        <v>-0.8662058685045132</v>
      </c>
      <c r="K96" s="15"/>
      <c r="L96" s="20">
        <f>+D96-H96</f>
        <v>7019.6257099999993</v>
      </c>
      <c r="M96" s="15"/>
      <c r="N96" s="21">
        <f>IF(H96=0,0,L96/H96)</f>
        <v>-0.98851877027774682</v>
      </c>
      <c r="O96" s="29"/>
      <c r="P96" s="20">
        <f>+P38-P40+P94</f>
        <v>-5263.4599999999919</v>
      </c>
      <c r="Q96" s="14"/>
      <c r="R96" s="21">
        <f>IF(P$12=0,0,P96/P$12)</f>
        <v>-0.24697258623343143</v>
      </c>
      <c r="S96" s="14"/>
      <c r="T96" s="20">
        <f>+T38-T40+T94</f>
        <v>-66189.317424000008</v>
      </c>
      <c r="U96" s="14"/>
      <c r="V96" s="21">
        <f>IF(T$12=0,0,T96/T$12)</f>
        <v>-0.41180437643252665</v>
      </c>
      <c r="W96" s="15"/>
      <c r="X96" s="20">
        <f>+P96-T96</f>
        <v>60925.857424000016</v>
      </c>
      <c r="Y96" s="15"/>
      <c r="Z96" s="21">
        <f>IF(T96=0,0,X96/T96)</f>
        <v>-0.92047870857644654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128</v>
      </c>
      <c r="C98" s="10"/>
      <c r="D98" s="4">
        <v>95.62</v>
      </c>
      <c r="E98" s="4"/>
      <c r="F98" s="12">
        <f>IF(D$12=0,0,D98/D$12)</f>
        <v>0</v>
      </c>
      <c r="G98" s="4"/>
      <c r="H98" s="4">
        <v>709</v>
      </c>
      <c r="I98" s="4"/>
      <c r="J98" s="12">
        <f>IF(H$12=0,0,H98/H$12)</f>
        <v>8.6484508416686992E-2</v>
      </c>
      <c r="K98" s="4"/>
      <c r="L98" s="4">
        <f>+D98-H98</f>
        <v>-613.38</v>
      </c>
      <c r="M98" s="4"/>
      <c r="N98" s="12">
        <f>IF(H98=0,0,L98/H98)</f>
        <v>-0.86513399153737658</v>
      </c>
      <c r="O98" s="10"/>
      <c r="P98" s="4">
        <v>4554.16</v>
      </c>
      <c r="Q98" s="4"/>
      <c r="R98" s="12">
        <f>IF(P$12=0,0,P98/P$12)</f>
        <v>0.21369074208236519</v>
      </c>
      <c r="S98" s="4"/>
      <c r="T98" s="4">
        <v>29824</v>
      </c>
      <c r="U98" s="4"/>
      <c r="V98" s="12">
        <f>IF(T$12=0,0,T98/T$12)</f>
        <v>0.18555341255521682</v>
      </c>
      <c r="W98" s="4"/>
      <c r="X98" s="4">
        <f>+P98-T98</f>
        <v>-25269.84</v>
      </c>
      <c r="Y98" s="4"/>
      <c r="Z98" s="12">
        <f>IF(T98=0,0,X98/T98)</f>
        <v>-0.84729881974248933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126</v>
      </c>
      <c r="C100" s="28"/>
      <c r="D100" s="35">
        <f>+D96-D98</f>
        <v>-177.15</v>
      </c>
      <c r="E100" s="14"/>
      <c r="F100" s="34">
        <f>IF(D$12=0,0,D100/D$12)</f>
        <v>0</v>
      </c>
      <c r="G100" s="14"/>
      <c r="H100" s="35">
        <f>+H96-H98</f>
        <v>-7810.1557099999991</v>
      </c>
      <c r="I100" s="14"/>
      <c r="J100" s="34">
        <f>IF(H$12=0,0,H100/H$12)</f>
        <v>-0.95269037692120018</v>
      </c>
      <c r="K100" s="15"/>
      <c r="L100" s="35">
        <f>D100-H100</f>
        <v>7633.0057099999995</v>
      </c>
      <c r="M100" s="15"/>
      <c r="N100" s="34">
        <f>IF(H100=0,0,L100/H100)</f>
        <v>-0.97731799383036888</v>
      </c>
      <c r="O100" s="29"/>
      <c r="P100" s="35">
        <f>+P96-P98</f>
        <v>-9817.6199999999917</v>
      </c>
      <c r="Q100" s="14"/>
      <c r="R100" s="34">
        <f>IF(P$12=0,0,P100/P$12)</f>
        <v>-0.46066332831579665</v>
      </c>
      <c r="S100" s="14"/>
      <c r="T100" s="35">
        <f>+T96-T98</f>
        <v>-96013.317424000008</v>
      </c>
      <c r="U100" s="14"/>
      <c r="V100" s="34">
        <f>IF(T$12=0,0,T100/T$12)</f>
        <v>-0.5973577889877435</v>
      </c>
      <c r="W100" s="15"/>
      <c r="X100" s="35">
        <f>P100-T100</f>
        <v>86195.697424000013</v>
      </c>
      <c r="Y100" s="15"/>
      <c r="Z100" s="34">
        <f>IF(T100=0,0,X100/T100)</f>
        <v>-0.89774730981698248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294</v>
      </c>
      <c r="C103" s="28"/>
      <c r="D103" s="33">
        <f>SUM(D100:D102)</f>
        <v>-177.15</v>
      </c>
      <c r="E103" s="14"/>
      <c r="F103" s="32">
        <f>IF(D$12=0,0,D103/D$12)</f>
        <v>0</v>
      </c>
      <c r="G103" s="14"/>
      <c r="H103" s="33">
        <f>SUM(H100:H102)</f>
        <v>-7810.1557099999991</v>
      </c>
      <c r="I103" s="14"/>
      <c r="J103" s="32">
        <f>IF(H$12=0,0,H103/H$12)</f>
        <v>-0.95269037692120018</v>
      </c>
      <c r="K103" s="15"/>
      <c r="L103" s="33">
        <f>+D103-H103</f>
        <v>7633.0057099999995</v>
      </c>
      <c r="M103" s="15"/>
      <c r="N103" s="32">
        <f>IF(H103=0,0,L103/H103)</f>
        <v>-0.97731799383036888</v>
      </c>
      <c r="O103" s="29"/>
      <c r="P103" s="33">
        <f>SUM(P100:P102)</f>
        <v>-9817.6199999999917</v>
      </c>
      <c r="Q103" s="14"/>
      <c r="R103" s="32">
        <f>IF(P$12=0,0,P103/P$12)</f>
        <v>-0.46066332831579665</v>
      </c>
      <c r="S103" s="14"/>
      <c r="T103" s="33">
        <f>SUM(T100:T102)</f>
        <v>-96013.317424000008</v>
      </c>
      <c r="U103" s="14"/>
      <c r="V103" s="32">
        <f>IF(T$12=0,0,T103/T$12)</f>
        <v>-0.5973577889877435</v>
      </c>
      <c r="W103" s="15"/>
      <c r="X103" s="33">
        <f>+P103-T103</f>
        <v>86195.697424000013</v>
      </c>
      <c r="Y103" s="15"/>
      <c r="Z103" s="32">
        <f>IF(T103=0,0,X103/T103)</f>
        <v>-0.89774730981698248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A105" s="9"/>
      <c r="B105" s="60">
        <v>44356.891825578707</v>
      </c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55" t="s">
        <v>56</v>
      </c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63"/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","307", " - ", "Art Store")</f>
        <v>Department 307 - Art 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8198</v>
      </c>
      <c r="I12" s="4"/>
      <c r="J12" s="12"/>
      <c r="K12" s="4"/>
      <c r="L12" s="4">
        <f t="shared" ref="L12:L23" si="0">+D12-H12</f>
        <v>-8198</v>
      </c>
      <c r="M12" s="4"/>
      <c r="N12" s="12">
        <f t="shared" ref="N12:N23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160730</v>
      </c>
      <c r="U12" s="4"/>
      <c r="V12" s="12"/>
      <c r="W12" s="4"/>
      <c r="X12" s="4">
        <f t="shared" ref="X12:X23" si="2">+P12-T12</f>
        <v>-139418.08000000002</v>
      </c>
      <c r="Y12" s="4"/>
      <c r="Z12" s="12">
        <f t="shared" ref="Z12:Z23" si="3">IF(T12=0,0,X12/T12)</f>
        <v>-0.86740546257699258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23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/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--17.51</f>
        <v>17.510000000000002</v>
      </c>
      <c r="Q14" s="2"/>
      <c r="R14" s="19"/>
      <c r="S14" s="2"/>
      <c r="T14" s="2"/>
      <c r="U14" s="2"/>
      <c r="V14" s="19"/>
      <c r="W14" s="2"/>
      <c r="X14" s="2">
        <f t="shared" si="2"/>
        <v>17.510000000000002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--7990.32</f>
        <v>7990.32</v>
      </c>
      <c r="Q15" s="2"/>
      <c r="R15" s="19"/>
      <c r="S15" s="2"/>
      <c r="T15" s="2"/>
      <c r="U15" s="2"/>
      <c r="V15" s="19"/>
      <c r="W15" s="2"/>
      <c r="X15" s="2">
        <f t="shared" si="2"/>
        <v>7990.32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--12479.05</f>
        <v>12479.05</v>
      </c>
      <c r="Q16" s="2"/>
      <c r="R16" s="19"/>
      <c r="S16" s="2"/>
      <c r="T16" s="2"/>
      <c r="U16" s="2"/>
      <c r="V16" s="19"/>
      <c r="W16" s="2"/>
      <c r="X16" s="2">
        <f t="shared" si="2"/>
        <v>12479.05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--374.55</f>
        <v>374.55</v>
      </c>
      <c r="Q17" s="2"/>
      <c r="R17" s="19"/>
      <c r="S17" s="2"/>
      <c r="T17" s="2"/>
      <c r="U17" s="2"/>
      <c r="V17" s="19"/>
      <c r="W17" s="2"/>
      <c r="X17" s="2">
        <f t="shared" si="2"/>
        <v>374.55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--71.95</f>
        <v>71.95</v>
      </c>
      <c r="Q18" s="2"/>
      <c r="R18" s="19"/>
      <c r="S18" s="2"/>
      <c r="T18" s="2"/>
      <c r="U18" s="2"/>
      <c r="V18" s="19"/>
      <c r="W18" s="2"/>
      <c r="X18" s="2">
        <f t="shared" si="2"/>
        <v>71.95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--9.99</f>
        <v>9.99</v>
      </c>
      <c r="Q19" s="2"/>
      <c r="R19" s="19"/>
      <c r="S19" s="2"/>
      <c r="T19" s="2"/>
      <c r="U19" s="2"/>
      <c r="V19" s="19"/>
      <c r="W19" s="2"/>
      <c r="X19" s="2">
        <f t="shared" si="2"/>
        <v>9.99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 t="shared" si="4"/>
        <v>0</v>
      </c>
      <c r="E20" s="2"/>
      <c r="F20" s="19"/>
      <c r="G20" s="2"/>
      <c r="H20" s="2">
        <v>8198</v>
      </c>
      <c r="I20" s="2"/>
      <c r="J20" s="19"/>
      <c r="K20" s="2"/>
      <c r="L20" s="2">
        <f t="shared" si="0"/>
        <v>-8198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v>160730</v>
      </c>
      <c r="U20" s="2"/>
      <c r="V20" s="19"/>
      <c r="W20" s="2"/>
      <c r="X20" s="2">
        <f t="shared" si="2"/>
        <v>-160730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"4131", " - ", "NON-TAXABLE SALES-FOOD")</f>
        <v xml:space="preserve">          4131 - NON-TAXABLE SALES-FOOD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--1847.16</f>
        <v>1847.16</v>
      </c>
      <c r="Q21" s="2"/>
      <c r="R21" s="19"/>
      <c r="S21" s="2"/>
      <c r="T21" s="2"/>
      <c r="U21" s="2"/>
      <c r="V21" s="19"/>
      <c r="W21" s="2"/>
      <c r="X21" s="2">
        <f t="shared" si="2"/>
        <v>1847.16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"4227", " - ", "SALES RETURN TAXABLE-SCHOOL SU")</f>
        <v xml:space="preserve">          4227 - SALES RETURN TAXABLE-SCHOOL SU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-159.97</f>
        <v>-159.97</v>
      </c>
      <c r="Q22" s="2"/>
      <c r="R22" s="19"/>
      <c r="S22" s="2"/>
      <c r="T22" s="2"/>
      <c r="U22" s="2"/>
      <c r="V22" s="19"/>
      <c r="W22" s="2"/>
      <c r="X22" s="2">
        <f t="shared" si="2"/>
        <v>-159.97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"4228", " - ", "SALES RETURN TAXABLE-ART/TECH")</f>
        <v xml:space="preserve">          4228 - SALES RETURN TAXABLE-ART/TECH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-222.2</f>
        <v>-222.2</v>
      </c>
      <c r="Q23" s="2"/>
      <c r="R23" s="19"/>
      <c r="S23" s="2"/>
      <c r="T23" s="2"/>
      <c r="U23" s="2"/>
      <c r="V23" s="19"/>
      <c r="W23" s="2"/>
      <c r="X23" s="2">
        <f t="shared" si="2"/>
        <v>-222.2</v>
      </c>
      <c r="Y23" s="2"/>
      <c r="Z23" s="19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9" t="s">
        <v>257</v>
      </c>
      <c r="C25" s="10"/>
      <c r="D25" s="4">
        <f>SUM(OSRRefD16x_0)</f>
        <v>28.53</v>
      </c>
      <c r="E25" s="4"/>
      <c r="F25" s="12">
        <f t="shared" ref="F25:F33" si="5">IF(D$12=0,0,D25/D$12)</f>
        <v>0</v>
      </c>
      <c r="G25" s="4"/>
      <c r="H25" s="4">
        <f>SUM(OSRRefH16x_0)</f>
        <v>4265</v>
      </c>
      <c r="I25" s="4"/>
      <c r="J25" s="12">
        <f t="shared" ref="J25:J33" si="6">IF(H$12=0,0,H25/H$12)</f>
        <v>0.52024884118077575</v>
      </c>
      <c r="K25" s="4"/>
      <c r="L25" s="4">
        <f t="shared" ref="L25:L33" si="7">+D25-H25</f>
        <v>-4236.47</v>
      </c>
      <c r="M25" s="4"/>
      <c r="N25" s="12">
        <f t="shared" ref="N25:N33" si="8">IF(H25=0,0,L25/H25)</f>
        <v>-0.99331066822977732</v>
      </c>
      <c r="O25" s="10"/>
      <c r="P25" s="4">
        <f>SUM(OSRRefP16x_0)</f>
        <v>13821.519999999993</v>
      </c>
      <c r="Q25" s="4"/>
      <c r="R25" s="12">
        <f t="shared" ref="R25:R33" si="9">IF(P$12=0,0,P25/P$12)</f>
        <v>0.64853471672190932</v>
      </c>
      <c r="S25" s="4"/>
      <c r="T25" s="4">
        <f>SUM(OSRRefT16x_0)</f>
        <v>81486</v>
      </c>
      <c r="U25" s="4"/>
      <c r="V25" s="12">
        <f t="shared" ref="V25:V33" si="10">IF(T$12=0,0,T25/T$12)</f>
        <v>0.50697442916692592</v>
      </c>
      <c r="W25" s="4"/>
      <c r="X25" s="4">
        <f t="shared" ref="X25:X33" si="11">+P25-T25</f>
        <v>-67664.48000000001</v>
      </c>
      <c r="Y25" s="4"/>
      <c r="Z25" s="12">
        <f t="shared" ref="Z25:Z33" si="12">IF(T25=0,0,X25/T25)</f>
        <v>-0.83038166065336394</v>
      </c>
    </row>
    <row r="26" spans="1:26" s="24" customFormat="1" hidden="1" outlineLevel="1" x14ac:dyDescent="0.25">
      <c r="A26" s="44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19">
        <f t="shared" si="5"/>
        <v>0</v>
      </c>
      <c r="G26" s="2"/>
      <c r="H26" s="2">
        <v>4265</v>
      </c>
      <c r="I26" s="2"/>
      <c r="J26" s="19">
        <f t="shared" si="6"/>
        <v>0.52024884118077575</v>
      </c>
      <c r="K26" s="2"/>
      <c r="L26" s="2">
        <f t="shared" si="7"/>
        <v>-4265</v>
      </c>
      <c r="M26" s="2"/>
      <c r="N26" s="19">
        <f t="shared" si="8"/>
        <v>-1</v>
      </c>
      <c r="O26" s="11"/>
      <c r="P26" s="2"/>
      <c r="Q26" s="2"/>
      <c r="R26" s="19">
        <f t="shared" si="9"/>
        <v>0</v>
      </c>
      <c r="S26" s="2"/>
      <c r="T26" s="2">
        <v>81486</v>
      </c>
      <c r="U26" s="2"/>
      <c r="V26" s="19">
        <f t="shared" si="10"/>
        <v>0.50697442916692592</v>
      </c>
      <c r="W26" s="2"/>
      <c r="X26" s="2">
        <f t="shared" si="11"/>
        <v>-81486</v>
      </c>
      <c r="Y26" s="2"/>
      <c r="Z26" s="19">
        <f t="shared" si="12"/>
        <v>-1</v>
      </c>
    </row>
    <row r="27" spans="1:26" s="24" customFormat="1" hidden="1" outlineLevel="1" x14ac:dyDescent="0.25">
      <c r="A27" s="44"/>
      <c r="B27" s="11" t="str">
        <f>CONCATENATE("          ", "5026", " - ", "PURCHASES @ COST-WRITING INSTR")</f>
        <v xml:space="preserve">          5026 - PURCHASES @ COST-WRITING INSTR</v>
      </c>
      <c r="C27" s="11"/>
      <c r="D27" s="2"/>
      <c r="E27" s="2"/>
      <c r="F27" s="19">
        <f t="shared" si="5"/>
        <v>0</v>
      </c>
      <c r="G27" s="2"/>
      <c r="H27" s="2"/>
      <c r="I27" s="2"/>
      <c r="J27" s="19">
        <f t="shared" si="6"/>
        <v>0</v>
      </c>
      <c r="K27" s="2"/>
      <c r="L27" s="2">
        <f t="shared" si="7"/>
        <v>0</v>
      </c>
      <c r="M27" s="2"/>
      <c r="N27" s="19">
        <f t="shared" si="8"/>
        <v>0</v>
      </c>
      <c r="O27" s="11"/>
      <c r="P27" s="2">
        <v>364.91</v>
      </c>
      <c r="Q27" s="2"/>
      <c r="R27" s="19">
        <f t="shared" si="9"/>
        <v>1.7122342801587094E-2</v>
      </c>
      <c r="S27" s="2"/>
      <c r="T27" s="2"/>
      <c r="U27" s="2"/>
      <c r="V27" s="19">
        <f t="shared" si="10"/>
        <v>0</v>
      </c>
      <c r="W27" s="2"/>
      <c r="X27" s="2">
        <f t="shared" si="11"/>
        <v>364.91</v>
      </c>
      <c r="Y27" s="2"/>
      <c r="Z27" s="19">
        <f t="shared" si="12"/>
        <v>0</v>
      </c>
    </row>
    <row r="28" spans="1:26" s="24" customFormat="1" hidden="1" outlineLevel="1" x14ac:dyDescent="0.25">
      <c r="A28" s="44"/>
      <c r="B28" s="11" t="str">
        <f>CONCATENATE("          ", "5027", " - ", "PURCHASES @ COST-SCHOOL SUPPLI")</f>
        <v xml:space="preserve">          5027 - PURCHASES @ COST-SCHOOL SUPPLI</v>
      </c>
      <c r="C28" s="11"/>
      <c r="D28" s="2"/>
      <c r="E28" s="2"/>
      <c r="F28" s="19">
        <f t="shared" si="5"/>
        <v>0</v>
      </c>
      <c r="G28" s="2"/>
      <c r="H28" s="2"/>
      <c r="I28" s="2"/>
      <c r="J28" s="19">
        <f t="shared" si="6"/>
        <v>0</v>
      </c>
      <c r="K28" s="2"/>
      <c r="L28" s="2">
        <f t="shared" si="7"/>
        <v>0</v>
      </c>
      <c r="M28" s="2"/>
      <c r="N28" s="19">
        <f t="shared" si="8"/>
        <v>0</v>
      </c>
      <c r="O28" s="11"/>
      <c r="P28" s="2">
        <v>895.47</v>
      </c>
      <c r="Q28" s="2"/>
      <c r="R28" s="19">
        <f t="shared" si="9"/>
        <v>4.201733114613794E-2</v>
      </c>
      <c r="S28" s="2"/>
      <c r="T28" s="2"/>
      <c r="U28" s="2"/>
      <c r="V28" s="19">
        <f t="shared" si="10"/>
        <v>0</v>
      </c>
      <c r="W28" s="2"/>
      <c r="X28" s="2">
        <f t="shared" si="11"/>
        <v>895.47</v>
      </c>
      <c r="Y28" s="2"/>
      <c r="Z28" s="19">
        <f t="shared" si="12"/>
        <v>0</v>
      </c>
    </row>
    <row r="29" spans="1:26" s="24" customFormat="1" hidden="1" outlineLevel="1" x14ac:dyDescent="0.25">
      <c r="A29" s="44"/>
      <c r="B29" s="11" t="str">
        <f>CONCATENATE("          ", "5028", " - ", "PURCHASES @ COST-ART/TECH")</f>
        <v xml:space="preserve">          5028 - PURCHASES @ COST-ART/TECH</v>
      </c>
      <c r="C29" s="11"/>
      <c r="D29" s="2"/>
      <c r="E29" s="2"/>
      <c r="F29" s="19">
        <f t="shared" si="5"/>
        <v>0</v>
      </c>
      <c r="G29" s="2"/>
      <c r="H29" s="2"/>
      <c r="I29" s="2"/>
      <c r="J29" s="19">
        <f t="shared" si="6"/>
        <v>0</v>
      </c>
      <c r="K29" s="2"/>
      <c r="L29" s="2">
        <f t="shared" si="7"/>
        <v>0</v>
      </c>
      <c r="M29" s="2"/>
      <c r="N29" s="19">
        <f t="shared" si="8"/>
        <v>0</v>
      </c>
      <c r="O29" s="11"/>
      <c r="P29" s="2">
        <v>41441.85</v>
      </c>
      <c r="Q29" s="2"/>
      <c r="R29" s="19">
        <f t="shared" si="9"/>
        <v>1.9445385493188789</v>
      </c>
      <c r="S29" s="2"/>
      <c r="T29" s="2"/>
      <c r="U29" s="2"/>
      <c r="V29" s="19">
        <f t="shared" si="10"/>
        <v>0</v>
      </c>
      <c r="W29" s="2"/>
      <c r="X29" s="2">
        <f t="shared" si="11"/>
        <v>41441.85</v>
      </c>
      <c r="Y29" s="2"/>
      <c r="Z29" s="19">
        <f t="shared" si="12"/>
        <v>0</v>
      </c>
    </row>
    <row r="30" spans="1:26" s="24" customFormat="1" hidden="1" outlineLevel="1" x14ac:dyDescent="0.25">
      <c r="A30" s="44"/>
      <c r="B30" s="11" t="str">
        <f>CONCATENATE("          ", "5031", " - ", "PURCHASES @ COST-FOOD")</f>
        <v xml:space="preserve">          5031 - PURCHASES @ COST-FOOD</v>
      </c>
      <c r="C30" s="11"/>
      <c r="D30" s="2"/>
      <c r="E30" s="2"/>
      <c r="F30" s="19">
        <f t="shared" si="5"/>
        <v>0</v>
      </c>
      <c r="G30" s="2"/>
      <c r="H30" s="2"/>
      <c r="I30" s="2"/>
      <c r="J30" s="19">
        <f t="shared" si="6"/>
        <v>0</v>
      </c>
      <c r="K30" s="2"/>
      <c r="L30" s="2">
        <f t="shared" si="7"/>
        <v>0</v>
      </c>
      <c r="M30" s="2"/>
      <c r="N30" s="19">
        <f t="shared" si="8"/>
        <v>0</v>
      </c>
      <c r="O30" s="11"/>
      <c r="P30" s="2">
        <v>2441.5700000000002</v>
      </c>
      <c r="Q30" s="2"/>
      <c r="R30" s="19">
        <f t="shared" si="9"/>
        <v>0.11456358695040149</v>
      </c>
      <c r="S30" s="2"/>
      <c r="T30" s="2"/>
      <c r="U30" s="2"/>
      <c r="V30" s="19">
        <f t="shared" si="10"/>
        <v>0</v>
      </c>
      <c r="W30" s="2"/>
      <c r="X30" s="2">
        <f t="shared" si="11"/>
        <v>2441.5700000000002</v>
      </c>
      <c r="Y30" s="2"/>
      <c r="Z30" s="19">
        <f t="shared" si="12"/>
        <v>0</v>
      </c>
    </row>
    <row r="31" spans="1:26" s="24" customFormat="1" hidden="1" outlineLevel="1" x14ac:dyDescent="0.25">
      <c r="A31" s="44"/>
      <c r="B31" s="11" t="str">
        <f>CONCATENATE("          ", "5200", " - ", "PURCHASES OFFSET")</f>
        <v xml:space="preserve">          5200 - PURCHASES OFFSET</v>
      </c>
      <c r="C31" s="11"/>
      <c r="D31" s="2"/>
      <c r="E31" s="2"/>
      <c r="F31" s="19">
        <f t="shared" si="5"/>
        <v>0</v>
      </c>
      <c r="G31" s="2"/>
      <c r="H31" s="2"/>
      <c r="I31" s="2"/>
      <c r="J31" s="19">
        <f t="shared" si="6"/>
        <v>0</v>
      </c>
      <c r="K31" s="2"/>
      <c r="L31" s="2">
        <f t="shared" si="7"/>
        <v>0</v>
      </c>
      <c r="M31" s="2"/>
      <c r="N31" s="19">
        <f t="shared" si="8"/>
        <v>0</v>
      </c>
      <c r="O31" s="11"/>
      <c r="P31" s="2">
        <v>-45863.33</v>
      </c>
      <c r="Q31" s="2"/>
      <c r="R31" s="19">
        <f t="shared" si="9"/>
        <v>-2.1520036674311842</v>
      </c>
      <c r="S31" s="2"/>
      <c r="T31" s="2"/>
      <c r="U31" s="2"/>
      <c r="V31" s="19">
        <f t="shared" si="10"/>
        <v>0</v>
      </c>
      <c r="W31" s="2"/>
      <c r="X31" s="2">
        <f t="shared" si="11"/>
        <v>-45863.33</v>
      </c>
      <c r="Y31" s="2"/>
      <c r="Z31" s="19">
        <f t="shared" si="12"/>
        <v>0</v>
      </c>
    </row>
    <row r="32" spans="1:26" s="24" customFormat="1" hidden="1" outlineLevel="1" x14ac:dyDescent="0.25">
      <c r="A32" s="44"/>
      <c r="B32" s="11" t="str">
        <f>CONCATENATE("          ", "5300", " - ", "COG$ OFFSET")</f>
        <v xml:space="preserve">          5300 - COG$ OFFSET</v>
      </c>
      <c r="C32" s="11"/>
      <c r="D32" s="2"/>
      <c r="E32" s="2"/>
      <c r="F32" s="19">
        <f t="shared" si="5"/>
        <v>0</v>
      </c>
      <c r="G32" s="2"/>
      <c r="H32" s="2"/>
      <c r="I32" s="2"/>
      <c r="J32" s="19">
        <f t="shared" si="6"/>
        <v>0</v>
      </c>
      <c r="K32" s="2"/>
      <c r="L32" s="2">
        <f t="shared" si="7"/>
        <v>0</v>
      </c>
      <c r="M32" s="2"/>
      <c r="N32" s="19">
        <f t="shared" si="8"/>
        <v>0</v>
      </c>
      <c r="O32" s="11"/>
      <c r="P32" s="2">
        <v>14145</v>
      </c>
      <c r="Q32" s="2"/>
      <c r="R32" s="19">
        <f t="shared" si="9"/>
        <v>0.66371307700103988</v>
      </c>
      <c r="S32" s="2"/>
      <c r="T32" s="2"/>
      <c r="U32" s="2"/>
      <c r="V32" s="19">
        <f t="shared" si="10"/>
        <v>0</v>
      </c>
      <c r="W32" s="2"/>
      <c r="X32" s="2">
        <f t="shared" si="11"/>
        <v>14145</v>
      </c>
      <c r="Y32" s="2"/>
      <c r="Z32" s="19">
        <f t="shared" si="12"/>
        <v>0</v>
      </c>
    </row>
    <row r="33" spans="1:26" s="24" customFormat="1" hidden="1" outlineLevel="1" x14ac:dyDescent="0.25">
      <c r="A33" s="44"/>
      <c r="B33" s="11" t="str">
        <f>CONCATENATE("          ", "5528", " - ", "FREIGHT-IN-ART/TECH")</f>
        <v xml:space="preserve">          5528 - FREIGHT-IN-ART/TECH</v>
      </c>
      <c r="C33" s="11"/>
      <c r="D33" s="2">
        <v>28.53</v>
      </c>
      <c r="E33" s="2"/>
      <c r="F33" s="19">
        <f t="shared" si="5"/>
        <v>0</v>
      </c>
      <c r="G33" s="2"/>
      <c r="H33" s="2"/>
      <c r="I33" s="2"/>
      <c r="J33" s="19">
        <f t="shared" si="6"/>
        <v>0</v>
      </c>
      <c r="K33" s="2"/>
      <c r="L33" s="2">
        <f t="shared" si="7"/>
        <v>28.53</v>
      </c>
      <c r="M33" s="2"/>
      <c r="N33" s="19">
        <f t="shared" si="8"/>
        <v>0</v>
      </c>
      <c r="O33" s="11"/>
      <c r="P33" s="2">
        <v>396.05</v>
      </c>
      <c r="Q33" s="2"/>
      <c r="R33" s="19">
        <f t="shared" si="9"/>
        <v>1.8583496935048557E-2</v>
      </c>
      <c r="S33" s="2"/>
      <c r="T33" s="2"/>
      <c r="U33" s="2"/>
      <c r="V33" s="19">
        <f t="shared" si="10"/>
        <v>0</v>
      </c>
      <c r="W33" s="2"/>
      <c r="X33" s="2">
        <f t="shared" si="11"/>
        <v>396.05</v>
      </c>
      <c r="Y33" s="2"/>
      <c r="Z33" s="19">
        <f t="shared" si="12"/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8" t="s">
        <v>108</v>
      </c>
      <c r="C35" s="28"/>
      <c r="D35" s="20">
        <f>D12-D25</f>
        <v>-28.53</v>
      </c>
      <c r="E35" s="14"/>
      <c r="F35" s="21">
        <f>IF(D$12=0,0,D35/D$12)</f>
        <v>0</v>
      </c>
      <c r="G35" s="14"/>
      <c r="H35" s="20">
        <f>H12-H25</f>
        <v>3933</v>
      </c>
      <c r="I35" s="14"/>
      <c r="J35" s="21">
        <f>IF(H$12=0,0,H35/H$12)</f>
        <v>0.4797511588192242</v>
      </c>
      <c r="K35" s="15"/>
      <c r="L35" s="20">
        <f>+D35-H35</f>
        <v>-3961.53</v>
      </c>
      <c r="M35" s="15"/>
      <c r="N35" s="21">
        <f>IF(H35=0,0,L35/H35)</f>
        <v>-1.0072540045766591</v>
      </c>
      <c r="O35" s="29"/>
      <c r="P35" s="20">
        <f>P12-P25</f>
        <v>7490.4000000000051</v>
      </c>
      <c r="Q35" s="14"/>
      <c r="R35" s="21">
        <f>IF(P$12=0,0,P35/P$12)</f>
        <v>0.35146528327809062</v>
      </c>
      <c r="S35" s="14"/>
      <c r="T35" s="20">
        <f>T12-T25</f>
        <v>79244</v>
      </c>
      <c r="U35" s="14"/>
      <c r="V35" s="21">
        <f>IF(T$12=0,0,T35/T$12)</f>
        <v>0.49302557083307408</v>
      </c>
      <c r="W35" s="15"/>
      <c r="X35" s="20">
        <f>+P35-T35</f>
        <v>-71753.599999999991</v>
      </c>
      <c r="Y35" s="15"/>
      <c r="Z35" s="21">
        <f>IF(T35=0,0,X35/T35)</f>
        <v>-0.90547675533794347</v>
      </c>
    </row>
    <row r="36" spans="1:26" x14ac:dyDescent="0.2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9" t="s">
        <v>295</v>
      </c>
      <c r="C37" s="10"/>
      <c r="D37" s="22">
        <f>SUM(OSRRefD22x_0)</f>
        <v>53</v>
      </c>
      <c r="E37" s="22"/>
      <c r="F37" s="31">
        <f t="shared" ref="F37:F46" si="13">IF(D$12=0,0,D37/D$12)</f>
        <v>0</v>
      </c>
      <c r="G37" s="22"/>
      <c r="H37" s="22">
        <f>SUM(OSRRefH22x_0)</f>
        <v>11034.155709999999</v>
      </c>
      <c r="I37" s="22"/>
      <c r="J37" s="31">
        <f t="shared" ref="J37:J46" si="14">IF(H$12=0,0,H37/H$12)</f>
        <v>1.3459570273237373</v>
      </c>
      <c r="K37" s="4"/>
      <c r="L37" s="22">
        <f t="shared" ref="L37:L46" si="15">+D37-H37</f>
        <v>-10981.155709999999</v>
      </c>
      <c r="M37" s="4"/>
      <c r="N37" s="31">
        <f t="shared" ref="N37:N46" si="16">IF(H37=0,0,L37/H37)</f>
        <v>-0.99519673263700936</v>
      </c>
      <c r="O37" s="10"/>
      <c r="P37" s="22">
        <f>SUM(OSRRefP22x_0)</f>
        <v>12753.859999999997</v>
      </c>
      <c r="Q37" s="22"/>
      <c r="R37" s="31">
        <f t="shared" ref="R37:R46" si="17">IF(P$12=0,0,P37/P$12)</f>
        <v>0.59843786951152211</v>
      </c>
      <c r="S37" s="22"/>
      <c r="T37" s="22">
        <f>SUM(OSRRefT22x_0)</f>
        <v>145433.31742400001</v>
      </c>
      <c r="U37" s="22"/>
      <c r="V37" s="31">
        <f t="shared" ref="V37:V46" si="18">IF(T$12=0,0,T37/T$12)</f>
        <v>0.90482994726560073</v>
      </c>
      <c r="W37" s="4"/>
      <c r="X37" s="22">
        <f t="shared" ref="X37:X46" si="19">+P37-T37</f>
        <v>-132679.45742400002</v>
      </c>
      <c r="Y37" s="4"/>
      <c r="Z37" s="31">
        <f t="shared" ref="Z37:Z46" si="20">IF(T37=0,0,X37/T37)</f>
        <v>-0.91230441396851958</v>
      </c>
    </row>
    <row r="38" spans="1:26" s="27" customFormat="1" outlineLevel="1" collapsed="1" x14ac:dyDescent="0.25">
      <c r="A38" s="26"/>
      <c r="B38" s="13" t="str">
        <f>CONCATENATE("     ","*Benefits                                         ")</f>
        <v xml:space="preserve">     *Benefits                                         </v>
      </c>
      <c r="C38" s="13"/>
      <c r="D38" s="1">
        <f>SUM(OSRRefD22_0x_0)</f>
        <v>0</v>
      </c>
      <c r="E38" s="1"/>
      <c r="F38" s="5">
        <f t="shared" si="13"/>
        <v>0</v>
      </c>
      <c r="G38" s="1"/>
      <c r="H38" s="1">
        <f>SUM(OSRRefH22_0x_0)</f>
        <v>1896.68571</v>
      </c>
      <c r="I38" s="1"/>
      <c r="J38" s="5">
        <f t="shared" si="14"/>
        <v>0.23135956452793363</v>
      </c>
      <c r="K38" s="1"/>
      <c r="L38" s="1">
        <f t="shared" si="15"/>
        <v>-1896.68571</v>
      </c>
      <c r="M38" s="1"/>
      <c r="N38" s="5">
        <f t="shared" si="16"/>
        <v>-1</v>
      </c>
      <c r="O38" s="13"/>
      <c r="P38" s="1">
        <f>SUM(OSRRefP22_0x_0)</f>
        <v>778.2</v>
      </c>
      <c r="Q38" s="1"/>
      <c r="R38" s="5">
        <f t="shared" si="17"/>
        <v>3.6514776707119778E-2</v>
      </c>
      <c r="S38" s="1"/>
      <c r="T38" s="1">
        <f>SUM(OSRRefT22_0x_0)</f>
        <v>22678.387423999997</v>
      </c>
      <c r="U38" s="1"/>
      <c r="V38" s="5">
        <f t="shared" si="18"/>
        <v>0.14109617012381009</v>
      </c>
      <c r="W38" s="1"/>
      <c r="X38" s="1">
        <f t="shared" si="19"/>
        <v>-21900.187423999996</v>
      </c>
      <c r="Y38" s="1"/>
      <c r="Z38" s="5">
        <f t="shared" si="20"/>
        <v>-0.96568539087675831</v>
      </c>
    </row>
    <row r="39" spans="1:26" s="24" customFormat="1" hidden="1" outlineLevel="2" x14ac:dyDescent="0.25">
      <c r="A39" s="25"/>
      <c r="B39" s="11" t="str">
        <f>CONCATENATE("          ", "6111", " - ", "F.I.C.A.")</f>
        <v xml:space="preserve">          6111 - F.I.C.A.</v>
      </c>
      <c r="C39" s="11"/>
      <c r="D39" s="7"/>
      <c r="E39" s="2"/>
      <c r="F39" s="6">
        <f t="shared" si="13"/>
        <v>0</v>
      </c>
      <c r="G39" s="2"/>
      <c r="H39" s="7">
        <v>408.52479299999999</v>
      </c>
      <c r="I39" s="2"/>
      <c r="J39" s="6">
        <f t="shared" si="14"/>
        <v>4.9832250914857282E-2</v>
      </c>
      <c r="K39" s="2"/>
      <c r="L39" s="7">
        <f t="shared" si="15"/>
        <v>-408.52479299999999</v>
      </c>
      <c r="M39" s="2"/>
      <c r="N39" s="6">
        <f t="shared" si="16"/>
        <v>-1</v>
      </c>
      <c r="O39" s="11"/>
      <c r="P39" s="7">
        <v>484.61</v>
      </c>
      <c r="Q39" s="2"/>
      <c r="R39" s="6">
        <f t="shared" si="17"/>
        <v>2.2738917938881154E-2</v>
      </c>
      <c r="S39" s="2"/>
      <c r="T39" s="7">
        <v>5095.4975009999998</v>
      </c>
      <c r="U39" s="2"/>
      <c r="V39" s="6">
        <f t="shared" si="18"/>
        <v>3.1702218011572199E-2</v>
      </c>
      <c r="W39" s="2"/>
      <c r="X39" s="7">
        <f t="shared" si="19"/>
        <v>-4610.8875010000002</v>
      </c>
      <c r="Y39" s="2"/>
      <c r="Z39" s="6">
        <f t="shared" si="20"/>
        <v>-0.90489446812506646</v>
      </c>
    </row>
    <row r="40" spans="1:26" s="24" customFormat="1" hidden="1" outlineLevel="2" x14ac:dyDescent="0.25">
      <c r="A40" s="25"/>
      <c r="B40" s="11" t="str">
        <f>CONCATENATE("          ", "6112", " - ", "COMPENSATION INSURANCE")</f>
        <v xml:space="preserve">          6112 - COMPENSATION INSURANCE</v>
      </c>
      <c r="C40" s="11"/>
      <c r="D40" s="7"/>
      <c r="E40" s="2"/>
      <c r="F40" s="6">
        <f t="shared" si="13"/>
        <v>0</v>
      </c>
      <c r="G40" s="2"/>
      <c r="H40" s="7">
        <v>138.370195</v>
      </c>
      <c r="I40" s="2"/>
      <c r="J40" s="6">
        <f t="shared" si="14"/>
        <v>1.6878530739204683E-2</v>
      </c>
      <c r="K40" s="2"/>
      <c r="L40" s="7">
        <f t="shared" si="15"/>
        <v>-138.370195</v>
      </c>
      <c r="M40" s="2"/>
      <c r="N40" s="6">
        <f t="shared" si="16"/>
        <v>-1</v>
      </c>
      <c r="O40" s="11"/>
      <c r="P40" s="7">
        <v>255.57</v>
      </c>
      <c r="Q40" s="2"/>
      <c r="R40" s="6">
        <f t="shared" si="17"/>
        <v>1.1991880600152403E-2</v>
      </c>
      <c r="S40" s="2"/>
      <c r="T40" s="7">
        <v>1801.6212049999999</v>
      </c>
      <c r="U40" s="2"/>
      <c r="V40" s="6">
        <f t="shared" si="18"/>
        <v>1.1208991507497044E-2</v>
      </c>
      <c r="W40" s="2"/>
      <c r="X40" s="7">
        <f t="shared" si="19"/>
        <v>-1546.051205</v>
      </c>
      <c r="Y40" s="2"/>
      <c r="Z40" s="6">
        <f t="shared" si="20"/>
        <v>-0.85814443164261045</v>
      </c>
    </row>
    <row r="41" spans="1:26" s="24" customFormat="1" hidden="1" outlineLevel="2" x14ac:dyDescent="0.25">
      <c r="A41" s="25"/>
      <c r="B41" s="11" t="str">
        <f>CONCATENATE("          ", "6113", " - ", "GROUP INSURANCE")</f>
        <v xml:space="preserve">          6113 - GROUP INSURANCE</v>
      </c>
      <c r="C41" s="11"/>
      <c r="D41" s="7"/>
      <c r="E41" s="2"/>
      <c r="F41" s="6">
        <f t="shared" si="13"/>
        <v>0</v>
      </c>
      <c r="G41" s="2"/>
      <c r="H41" s="7">
        <v>665</v>
      </c>
      <c r="I41" s="2"/>
      <c r="J41" s="6">
        <f t="shared" si="14"/>
        <v>8.1117345694071724E-2</v>
      </c>
      <c r="K41" s="2"/>
      <c r="L41" s="7">
        <f t="shared" si="15"/>
        <v>-665</v>
      </c>
      <c r="M41" s="2"/>
      <c r="N41" s="6">
        <f t="shared" si="16"/>
        <v>-1</v>
      </c>
      <c r="O41" s="11"/>
      <c r="P41" s="7"/>
      <c r="Q41" s="2"/>
      <c r="R41" s="6">
        <f t="shared" si="17"/>
        <v>0</v>
      </c>
      <c r="S41" s="2"/>
      <c r="T41" s="7">
        <v>7315</v>
      </c>
      <c r="U41" s="2"/>
      <c r="V41" s="6">
        <f t="shared" si="18"/>
        <v>4.5511105580787657E-2</v>
      </c>
      <c r="W41" s="2"/>
      <c r="X41" s="7">
        <f t="shared" si="19"/>
        <v>-7315</v>
      </c>
      <c r="Y41" s="2"/>
      <c r="Z41" s="6">
        <f t="shared" si="20"/>
        <v>-1</v>
      </c>
    </row>
    <row r="42" spans="1:26" s="24" customFormat="1" hidden="1" outlineLevel="2" x14ac:dyDescent="0.25">
      <c r="A42" s="25"/>
      <c r="B42" s="11" t="str">
        <f>CONCATENATE("          ", "6114", " - ", "STATE UNEMPLOYMENT INSURANCE")</f>
        <v xml:space="preserve">          6114 - STATE UNEMPLOYMENT INSURANCE</v>
      </c>
      <c r="C42" s="11"/>
      <c r="D42" s="7"/>
      <c r="E42" s="2"/>
      <c r="F42" s="6">
        <f t="shared" si="13"/>
        <v>0</v>
      </c>
      <c r="G42" s="2"/>
      <c r="H42" s="7">
        <v>19.446622000000001</v>
      </c>
      <c r="I42" s="2"/>
      <c r="J42" s="6">
        <f t="shared" si="14"/>
        <v>2.3721178336179559E-3</v>
      </c>
      <c r="K42" s="2"/>
      <c r="L42" s="7">
        <f t="shared" si="15"/>
        <v>-19.446622000000001</v>
      </c>
      <c r="M42" s="2"/>
      <c r="N42" s="6">
        <f t="shared" si="16"/>
        <v>-1</v>
      </c>
      <c r="O42" s="11"/>
      <c r="P42" s="7">
        <v>38.020000000000003</v>
      </c>
      <c r="Q42" s="2"/>
      <c r="R42" s="6">
        <f t="shared" si="17"/>
        <v>1.7839781680862169E-3</v>
      </c>
      <c r="S42" s="2"/>
      <c r="T42" s="7">
        <v>253.200818</v>
      </c>
      <c r="U42" s="2"/>
      <c r="V42" s="6">
        <f t="shared" si="18"/>
        <v>1.5753177253779631E-3</v>
      </c>
      <c r="W42" s="2"/>
      <c r="X42" s="7">
        <f t="shared" si="19"/>
        <v>-215.18081799999999</v>
      </c>
      <c r="Y42" s="2"/>
      <c r="Z42" s="6">
        <f t="shared" si="20"/>
        <v>-0.8498425072228637</v>
      </c>
    </row>
    <row r="43" spans="1:26" s="24" customFormat="1" hidden="1" outlineLevel="2" x14ac:dyDescent="0.25">
      <c r="A43" s="25"/>
      <c r="B43" s="11" t="str">
        <f>CONCATENATE("          ", "6115", " - ", "P.E.R.S.")</f>
        <v xml:space="preserve">          6115 - P.E.R.S.</v>
      </c>
      <c r="C43" s="11"/>
      <c r="D43" s="7"/>
      <c r="E43" s="2"/>
      <c r="F43" s="6">
        <f t="shared" si="13"/>
        <v>0</v>
      </c>
      <c r="G43" s="2"/>
      <c r="H43" s="7">
        <v>357.76</v>
      </c>
      <c r="I43" s="2"/>
      <c r="J43" s="6">
        <f t="shared" si="14"/>
        <v>4.3639912173700904E-2</v>
      </c>
      <c r="K43" s="2"/>
      <c r="L43" s="7">
        <f t="shared" si="15"/>
        <v>-357.76</v>
      </c>
      <c r="M43" s="2"/>
      <c r="N43" s="6">
        <f t="shared" si="16"/>
        <v>-1</v>
      </c>
      <c r="O43" s="11"/>
      <c r="P43" s="7"/>
      <c r="Q43" s="2"/>
      <c r="R43" s="6">
        <f t="shared" si="17"/>
        <v>0</v>
      </c>
      <c r="S43" s="2"/>
      <c r="T43" s="7">
        <v>4293.12</v>
      </c>
      <c r="U43" s="2"/>
      <c r="V43" s="6">
        <f t="shared" si="18"/>
        <v>2.6710135009021339E-2</v>
      </c>
      <c r="W43" s="2"/>
      <c r="X43" s="7">
        <f t="shared" si="19"/>
        <v>-4293.12</v>
      </c>
      <c r="Y43" s="2"/>
      <c r="Z43" s="6">
        <f t="shared" si="20"/>
        <v>-1</v>
      </c>
    </row>
    <row r="44" spans="1:26" s="24" customFormat="1" hidden="1" outlineLevel="2" x14ac:dyDescent="0.25">
      <c r="A44" s="25"/>
      <c r="B44" s="11" t="str">
        <f>CONCATENATE("          ", "6116", " - ", "EDUCATIONAL BENEFITS")</f>
        <v xml:space="preserve">          6116 - EDUCATIONAL BENEFITS</v>
      </c>
      <c r="C44" s="11"/>
      <c r="D44" s="7"/>
      <c r="E44" s="2"/>
      <c r="F44" s="6">
        <f t="shared" si="13"/>
        <v>0</v>
      </c>
      <c r="G44" s="2"/>
      <c r="H44" s="7">
        <v>0</v>
      </c>
      <c r="I44" s="2"/>
      <c r="J44" s="6">
        <f t="shared" si="14"/>
        <v>0</v>
      </c>
      <c r="K44" s="2"/>
      <c r="L44" s="7">
        <f t="shared" si="15"/>
        <v>0</v>
      </c>
      <c r="M44" s="2"/>
      <c r="N44" s="6">
        <f t="shared" si="16"/>
        <v>0</v>
      </c>
      <c r="O44" s="11"/>
      <c r="P44" s="7"/>
      <c r="Q44" s="2"/>
      <c r="R44" s="6">
        <f t="shared" si="17"/>
        <v>0</v>
      </c>
      <c r="S44" s="2"/>
      <c r="T44" s="7">
        <v>0</v>
      </c>
      <c r="U44" s="2"/>
      <c r="V44" s="6">
        <f t="shared" si="18"/>
        <v>0</v>
      </c>
      <c r="W44" s="2"/>
      <c r="X44" s="7">
        <f t="shared" si="19"/>
        <v>0</v>
      </c>
      <c r="Y44" s="2"/>
      <c r="Z44" s="6">
        <f t="shared" si="20"/>
        <v>0</v>
      </c>
    </row>
    <row r="45" spans="1:26" s="24" customFormat="1" hidden="1" outlineLevel="2" x14ac:dyDescent="0.25">
      <c r="A45" s="25"/>
      <c r="B45" s="11" t="str">
        <f>CONCATENATE("          ", "6118", " - ", "VACATION")</f>
        <v xml:space="preserve">          6118 - VACATION</v>
      </c>
      <c r="C45" s="11"/>
      <c r="D45" s="7"/>
      <c r="E45" s="2"/>
      <c r="F45" s="6">
        <f t="shared" si="13"/>
        <v>0</v>
      </c>
      <c r="G45" s="2"/>
      <c r="H45" s="7">
        <v>124.8</v>
      </c>
      <c r="I45" s="2"/>
      <c r="J45" s="6">
        <f t="shared" si="14"/>
        <v>1.5223225176872407E-2</v>
      </c>
      <c r="K45" s="2"/>
      <c r="L45" s="7">
        <f t="shared" si="15"/>
        <v>-124.8</v>
      </c>
      <c r="M45" s="2"/>
      <c r="N45" s="6">
        <f t="shared" si="16"/>
        <v>-1</v>
      </c>
      <c r="O45" s="11"/>
      <c r="P45" s="7"/>
      <c r="Q45" s="2"/>
      <c r="R45" s="6">
        <f t="shared" si="17"/>
        <v>0</v>
      </c>
      <c r="S45" s="2"/>
      <c r="T45" s="7">
        <v>1497.6</v>
      </c>
      <c r="U45" s="2"/>
      <c r="V45" s="6">
        <f t="shared" si="18"/>
        <v>9.3174889566353513E-3</v>
      </c>
      <c r="W45" s="2"/>
      <c r="X45" s="7">
        <f t="shared" si="19"/>
        <v>-1497.6</v>
      </c>
      <c r="Y45" s="2"/>
      <c r="Z45" s="6">
        <f t="shared" si="20"/>
        <v>-1</v>
      </c>
    </row>
    <row r="46" spans="1:26" s="24" customFormat="1" hidden="1" outlineLevel="2" x14ac:dyDescent="0.25">
      <c r="A46" s="25"/>
      <c r="B46" s="11" t="str">
        <f>CONCATENATE("          ", "6119", " - ", "SICK LEAVE")</f>
        <v xml:space="preserve">          6119 - SICK LEAVE</v>
      </c>
      <c r="C46" s="11"/>
      <c r="D46" s="7"/>
      <c r="E46" s="2"/>
      <c r="F46" s="6">
        <f t="shared" si="13"/>
        <v>0</v>
      </c>
      <c r="G46" s="2"/>
      <c r="H46" s="7">
        <v>182.7841</v>
      </c>
      <c r="I46" s="2"/>
      <c r="J46" s="6">
        <f t="shared" si="14"/>
        <v>2.2296181995608684E-2</v>
      </c>
      <c r="K46" s="2"/>
      <c r="L46" s="7">
        <f t="shared" si="15"/>
        <v>-182.7841</v>
      </c>
      <c r="M46" s="2"/>
      <c r="N46" s="6">
        <f t="shared" si="16"/>
        <v>-1</v>
      </c>
      <c r="O46" s="11"/>
      <c r="P46" s="7"/>
      <c r="Q46" s="2"/>
      <c r="R46" s="6">
        <f t="shared" si="17"/>
        <v>0</v>
      </c>
      <c r="S46" s="2"/>
      <c r="T46" s="7">
        <v>2422.3479000000002</v>
      </c>
      <c r="U46" s="2"/>
      <c r="V46" s="6">
        <f t="shared" si="18"/>
        <v>1.5070913332918561E-2</v>
      </c>
      <c r="W46" s="2"/>
      <c r="X46" s="7">
        <f t="shared" si="19"/>
        <v>-2422.3479000000002</v>
      </c>
      <c r="Y46" s="2"/>
      <c r="Z46" s="6">
        <f t="shared" si="20"/>
        <v>-1</v>
      </c>
    </row>
    <row r="47" spans="1:26" s="27" customFormat="1" outlineLevel="1" collapsed="1" x14ac:dyDescent="0.25">
      <c r="A47" s="26"/>
      <c r="B47" s="13" t="str">
        <f>CONCATENATE("     ","*Payroll                                          ")</f>
        <v xml:space="preserve">     *Payroll                                          </v>
      </c>
      <c r="C47" s="13"/>
      <c r="D47" s="1">
        <f>SUM(OSRRefD22_1x_0)</f>
        <v>0</v>
      </c>
      <c r="E47" s="1"/>
      <c r="F47" s="5">
        <f t="shared" ref="F47:F57" si="21">IF(D$12=0,0,D47/D$12)</f>
        <v>0</v>
      </c>
      <c r="G47" s="1"/>
      <c r="H47" s="1">
        <f>SUM(OSRRefH22_1x_0)</f>
        <v>7271.47</v>
      </c>
      <c r="I47" s="1"/>
      <c r="J47" s="5">
        <f t="shared" ref="J47:J57" si="22">IF(H$12=0,0,H47/H$12)</f>
        <v>0.8869809709685289</v>
      </c>
      <c r="K47" s="1"/>
      <c r="L47" s="1">
        <f t="shared" ref="L47:L57" si="23">+D47-H47</f>
        <v>-7271.47</v>
      </c>
      <c r="M47" s="1"/>
      <c r="N47" s="5">
        <f t="shared" ref="N47:N57" si="24">IF(H47=0,0,L47/H47)</f>
        <v>-1</v>
      </c>
      <c r="O47" s="13"/>
      <c r="P47" s="1">
        <f>SUM(OSRRefP22_1x_0)</f>
        <v>8152.5399999999991</v>
      </c>
      <c r="Q47" s="1"/>
      <c r="R47" s="5">
        <f t="shared" ref="R47:R57" si="25">IF(P$12=0,0,P47/P$12)</f>
        <v>0.38253428128483963</v>
      </c>
      <c r="S47" s="1"/>
      <c r="T47" s="1">
        <f>SUM(OSRRefT22_1x_0)</f>
        <v>94888.93</v>
      </c>
      <c r="U47" s="1"/>
      <c r="V47" s="5">
        <f t="shared" ref="V47:V57" si="26">IF(T$12=0,0,T47/T$12)</f>
        <v>0.5903622845766191</v>
      </c>
      <c r="W47" s="1"/>
      <c r="X47" s="1">
        <f t="shared" ref="X47:X57" si="27">+P47-T47</f>
        <v>-86736.39</v>
      </c>
      <c r="Y47" s="1"/>
      <c r="Z47" s="5">
        <f t="shared" ref="Z47:Z57" si="28">IF(T47=0,0,X47/T47)</f>
        <v>-0.91408333933157437</v>
      </c>
    </row>
    <row r="48" spans="1:26" s="24" customFormat="1" hidden="1" outlineLevel="2" x14ac:dyDescent="0.25">
      <c r="A48" s="25"/>
      <c r="B48" s="11" t="str">
        <f>CONCATENATE("          ", "6001", " - ", "ADMINISTRATIVE SALARIES")</f>
        <v xml:space="preserve">          6001 - ADMINISTRATIVE SALARIES</v>
      </c>
      <c r="C48" s="11"/>
      <c r="D48" s="7"/>
      <c r="E48" s="2"/>
      <c r="F48" s="6">
        <f t="shared" si="21"/>
        <v>0</v>
      </c>
      <c r="G48" s="2"/>
      <c r="H48" s="7">
        <v>3952</v>
      </c>
      <c r="I48" s="2"/>
      <c r="J48" s="6">
        <f t="shared" si="22"/>
        <v>0.48206879726762625</v>
      </c>
      <c r="K48" s="2"/>
      <c r="L48" s="7">
        <f t="shared" si="23"/>
        <v>-3952</v>
      </c>
      <c r="M48" s="2"/>
      <c r="N48" s="6">
        <f t="shared" si="24"/>
        <v>-1</v>
      </c>
      <c r="O48" s="11"/>
      <c r="P48" s="7"/>
      <c r="Q48" s="2"/>
      <c r="R48" s="6">
        <f t="shared" si="25"/>
        <v>0</v>
      </c>
      <c r="S48" s="2"/>
      <c r="T48" s="7">
        <v>47424</v>
      </c>
      <c r="U48" s="2"/>
      <c r="V48" s="6">
        <f t="shared" si="26"/>
        <v>0.29505381696011945</v>
      </c>
      <c r="W48" s="2"/>
      <c r="X48" s="7">
        <f t="shared" si="27"/>
        <v>-47424</v>
      </c>
      <c r="Y48" s="2"/>
      <c r="Z48" s="6">
        <f t="shared" si="28"/>
        <v>-1</v>
      </c>
    </row>
    <row r="49" spans="1:26" s="24" customFormat="1" hidden="1" outlineLevel="2" x14ac:dyDescent="0.25">
      <c r="A49" s="25"/>
      <c r="B49" s="11" t="str">
        <f>CONCATENATE("          ", "6002", " - ", "STAFF SALARIES")</f>
        <v xml:space="preserve">          6002 - STAFF SALARIES</v>
      </c>
      <c r="C49" s="11"/>
      <c r="D49" s="7"/>
      <c r="E49" s="2"/>
      <c r="F49" s="6">
        <f t="shared" si="21"/>
        <v>0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0</v>
      </c>
      <c r="M49" s="2"/>
      <c r="N49" s="6">
        <f t="shared" si="24"/>
        <v>0</v>
      </c>
      <c r="O49" s="11"/>
      <c r="P49" s="7"/>
      <c r="Q49" s="2"/>
      <c r="R49" s="6">
        <f t="shared" si="25"/>
        <v>0</v>
      </c>
      <c r="S49" s="2"/>
      <c r="T49" s="7">
        <v>0</v>
      </c>
      <c r="U49" s="2"/>
      <c r="V49" s="6">
        <f t="shared" si="26"/>
        <v>0</v>
      </c>
      <c r="W49" s="2"/>
      <c r="X49" s="7">
        <f t="shared" si="27"/>
        <v>0</v>
      </c>
      <c r="Y49" s="2"/>
      <c r="Z49" s="6">
        <f t="shared" si="28"/>
        <v>0</v>
      </c>
    </row>
    <row r="50" spans="1:26" s="24" customFormat="1" hidden="1" outlineLevel="2" x14ac:dyDescent="0.25">
      <c r="A50" s="25"/>
      <c r="B50" s="11" t="str">
        <f>CONCATENATE("          ", "6003", " - ", "STAFF HOURLY-9 MONTH")</f>
        <v xml:space="preserve">          6003 - STAFF HOURLY-9 MONTH</v>
      </c>
      <c r="C50" s="11"/>
      <c r="D50" s="7"/>
      <c r="E50" s="2"/>
      <c r="F50" s="6">
        <f t="shared" si="21"/>
        <v>0</v>
      </c>
      <c r="G50" s="2"/>
      <c r="H50" s="7">
        <v>0</v>
      </c>
      <c r="I50" s="2"/>
      <c r="J50" s="6">
        <f t="shared" si="22"/>
        <v>0</v>
      </c>
      <c r="K50" s="2"/>
      <c r="L50" s="7">
        <f t="shared" si="23"/>
        <v>0</v>
      </c>
      <c r="M50" s="2"/>
      <c r="N50" s="6">
        <f t="shared" si="24"/>
        <v>0</v>
      </c>
      <c r="O50" s="11"/>
      <c r="P50" s="7"/>
      <c r="Q50" s="2"/>
      <c r="R50" s="6">
        <f t="shared" si="25"/>
        <v>0</v>
      </c>
      <c r="S50" s="2"/>
      <c r="T50" s="7">
        <v>0</v>
      </c>
      <c r="U50" s="2"/>
      <c r="V50" s="6">
        <f t="shared" si="26"/>
        <v>0</v>
      </c>
      <c r="W50" s="2"/>
      <c r="X50" s="7">
        <f t="shared" si="27"/>
        <v>0</v>
      </c>
      <c r="Y50" s="2"/>
      <c r="Z50" s="6">
        <f t="shared" si="28"/>
        <v>0</v>
      </c>
    </row>
    <row r="51" spans="1:26" s="24" customFormat="1" hidden="1" outlineLevel="2" x14ac:dyDescent="0.25">
      <c r="A51" s="25"/>
      <c r="B51" s="11" t="str">
        <f>CONCATENATE("          ", "6004", " - ", "STAFF HOURLY")</f>
        <v xml:space="preserve">          6004 - STAFF HOURLY</v>
      </c>
      <c r="C51" s="11"/>
      <c r="D51" s="7"/>
      <c r="E51" s="2"/>
      <c r="F51" s="6">
        <f t="shared" si="21"/>
        <v>0</v>
      </c>
      <c r="G51" s="2"/>
      <c r="H51" s="7">
        <v>1178.0999999999999</v>
      </c>
      <c r="I51" s="2"/>
      <c r="J51" s="6">
        <f t="shared" si="22"/>
        <v>0.14370578189802391</v>
      </c>
      <c r="K51" s="2"/>
      <c r="L51" s="7">
        <f t="shared" si="23"/>
        <v>-1178.0999999999999</v>
      </c>
      <c r="M51" s="2"/>
      <c r="N51" s="6">
        <f t="shared" si="24"/>
        <v>-1</v>
      </c>
      <c r="O51" s="11"/>
      <c r="P51" s="7"/>
      <c r="Q51" s="2"/>
      <c r="R51" s="6">
        <f t="shared" si="25"/>
        <v>0</v>
      </c>
      <c r="S51" s="2"/>
      <c r="T51" s="7">
        <v>16661.7</v>
      </c>
      <c r="U51" s="2"/>
      <c r="V51" s="6">
        <f t="shared" si="26"/>
        <v>0.10366266409506626</v>
      </c>
      <c r="W51" s="2"/>
      <c r="X51" s="7">
        <f t="shared" si="27"/>
        <v>-16661.7</v>
      </c>
      <c r="Y51" s="2"/>
      <c r="Z51" s="6">
        <f t="shared" si="28"/>
        <v>-1</v>
      </c>
    </row>
    <row r="52" spans="1:26" s="24" customFormat="1" hidden="1" outlineLevel="2" x14ac:dyDescent="0.25">
      <c r="A52" s="25"/>
      <c r="B52" s="11" t="str">
        <f>CONCATENATE("          ", "6005", " - ", "TEMPORARY WAGES-HOURLY")</f>
        <v xml:space="preserve">          6005 - TEMPORARY WAGES-HOURLY</v>
      </c>
      <c r="C52" s="11"/>
      <c r="D52" s="7"/>
      <c r="E52" s="2"/>
      <c r="F52" s="6">
        <f t="shared" si="21"/>
        <v>0</v>
      </c>
      <c r="G52" s="2"/>
      <c r="H52" s="7">
        <v>1078</v>
      </c>
      <c r="I52" s="2"/>
      <c r="J52" s="6">
        <f t="shared" si="22"/>
        <v>0.13149548670407415</v>
      </c>
      <c r="K52" s="2"/>
      <c r="L52" s="7">
        <f t="shared" si="23"/>
        <v>-1078</v>
      </c>
      <c r="M52" s="2"/>
      <c r="N52" s="6">
        <f t="shared" si="24"/>
        <v>-1</v>
      </c>
      <c r="O52" s="11"/>
      <c r="P52" s="7">
        <v>5379.19</v>
      </c>
      <c r="Q52" s="2"/>
      <c r="R52" s="6">
        <f t="shared" si="25"/>
        <v>0.25240288064144384</v>
      </c>
      <c r="S52" s="2"/>
      <c r="T52" s="7">
        <v>11704</v>
      </c>
      <c r="U52" s="2"/>
      <c r="V52" s="6">
        <f t="shared" si="26"/>
        <v>7.2817768929260257E-2</v>
      </c>
      <c r="W52" s="2"/>
      <c r="X52" s="7">
        <f t="shared" si="27"/>
        <v>-6324.81</v>
      </c>
      <c r="Y52" s="2"/>
      <c r="Z52" s="6">
        <f t="shared" si="28"/>
        <v>-0.54039730006835274</v>
      </c>
    </row>
    <row r="53" spans="1:26" s="24" customFormat="1" hidden="1" outlineLevel="2" x14ac:dyDescent="0.25">
      <c r="A53" s="25"/>
      <c r="B53" s="11" t="str">
        <f>CONCATENATE("          ", "6006", " - ", "TEMPORARY PART TIME")</f>
        <v xml:space="preserve">          6006 - TEMPORARY PART TIME</v>
      </c>
      <c r="C53" s="11"/>
      <c r="D53" s="7"/>
      <c r="E53" s="2"/>
      <c r="F53" s="6">
        <f t="shared" si="21"/>
        <v>0</v>
      </c>
      <c r="G53" s="2"/>
      <c r="H53" s="7">
        <v>0</v>
      </c>
      <c r="I53" s="2"/>
      <c r="J53" s="6">
        <f t="shared" si="22"/>
        <v>0</v>
      </c>
      <c r="K53" s="2"/>
      <c r="L53" s="7">
        <f t="shared" si="23"/>
        <v>0</v>
      </c>
      <c r="M53" s="2"/>
      <c r="N53" s="6">
        <f t="shared" si="24"/>
        <v>0</v>
      </c>
      <c r="O53" s="11"/>
      <c r="P53" s="7"/>
      <c r="Q53" s="2"/>
      <c r="R53" s="6">
        <f t="shared" si="25"/>
        <v>0</v>
      </c>
      <c r="S53" s="2"/>
      <c r="T53" s="7">
        <v>0</v>
      </c>
      <c r="U53" s="2"/>
      <c r="V53" s="6">
        <f t="shared" si="26"/>
        <v>0</v>
      </c>
      <c r="W53" s="2"/>
      <c r="X53" s="7">
        <f t="shared" si="27"/>
        <v>0</v>
      </c>
      <c r="Y53" s="2"/>
      <c r="Z53" s="6">
        <f t="shared" si="28"/>
        <v>0</v>
      </c>
    </row>
    <row r="54" spans="1:26" s="24" customFormat="1" hidden="1" outlineLevel="2" x14ac:dyDescent="0.25">
      <c r="A54" s="25"/>
      <c r="B54" s="11" t="str">
        <f>CONCATENATE("          ", "6007", " - ", "STUDENT HOURLY")</f>
        <v xml:space="preserve">          6007 - STUDENT HOURLY</v>
      </c>
      <c r="C54" s="11"/>
      <c r="D54" s="7"/>
      <c r="E54" s="2"/>
      <c r="F54" s="6">
        <f t="shared" si="21"/>
        <v>0</v>
      </c>
      <c r="G54" s="2"/>
      <c r="H54" s="7">
        <v>0</v>
      </c>
      <c r="I54" s="2"/>
      <c r="J54" s="6">
        <f t="shared" si="22"/>
        <v>0</v>
      </c>
      <c r="K54" s="2"/>
      <c r="L54" s="7">
        <f t="shared" si="23"/>
        <v>0</v>
      </c>
      <c r="M54" s="2"/>
      <c r="N54" s="6">
        <f t="shared" si="24"/>
        <v>0</v>
      </c>
      <c r="O54" s="11"/>
      <c r="P54" s="7">
        <v>2773.35</v>
      </c>
      <c r="Q54" s="2"/>
      <c r="R54" s="6">
        <f t="shared" si="25"/>
        <v>0.13013140064339582</v>
      </c>
      <c r="S54" s="2"/>
      <c r="T54" s="7">
        <v>0</v>
      </c>
      <c r="U54" s="2"/>
      <c r="V54" s="6">
        <f t="shared" si="26"/>
        <v>0</v>
      </c>
      <c r="W54" s="2"/>
      <c r="X54" s="7">
        <f t="shared" si="27"/>
        <v>2773.35</v>
      </c>
      <c r="Y54" s="2"/>
      <c r="Z54" s="6">
        <f t="shared" si="28"/>
        <v>0</v>
      </c>
    </row>
    <row r="55" spans="1:26" s="24" customFormat="1" hidden="1" outlineLevel="2" x14ac:dyDescent="0.25">
      <c r="A55" s="25"/>
      <c r="B55" s="11" t="str">
        <f>CONCATENATE("          ", "6008", " - ", "STUDENT HOURLY-FICA EXEMPT")</f>
        <v xml:space="preserve">          6008 - STUDENT HOURLY-FICA EXEMPT</v>
      </c>
      <c r="C55" s="11"/>
      <c r="D55" s="7"/>
      <c r="E55" s="2"/>
      <c r="F55" s="6">
        <f t="shared" si="21"/>
        <v>0</v>
      </c>
      <c r="G55" s="2"/>
      <c r="H55" s="7">
        <v>1063.3699999999999</v>
      </c>
      <c r="I55" s="2"/>
      <c r="J55" s="6">
        <f t="shared" si="22"/>
        <v>0.12971090509880456</v>
      </c>
      <c r="K55" s="2"/>
      <c r="L55" s="7">
        <f t="shared" si="23"/>
        <v>-1063.3699999999999</v>
      </c>
      <c r="M55" s="2"/>
      <c r="N55" s="6">
        <f t="shared" si="24"/>
        <v>-1</v>
      </c>
      <c r="O55" s="11"/>
      <c r="P55" s="7"/>
      <c r="Q55" s="2"/>
      <c r="R55" s="6">
        <f t="shared" si="25"/>
        <v>0</v>
      </c>
      <c r="S55" s="2"/>
      <c r="T55" s="7">
        <v>19099.23</v>
      </c>
      <c r="U55" s="2"/>
      <c r="V55" s="6">
        <f t="shared" si="26"/>
        <v>0.11882803459217321</v>
      </c>
      <c r="W55" s="2"/>
      <c r="X55" s="7">
        <f t="shared" si="27"/>
        <v>-19099.23</v>
      </c>
      <c r="Y55" s="2"/>
      <c r="Z55" s="6">
        <f t="shared" si="28"/>
        <v>-1</v>
      </c>
    </row>
    <row r="56" spans="1:26" s="24" customFormat="1" hidden="1" outlineLevel="2" x14ac:dyDescent="0.25">
      <c r="A56" s="25"/>
      <c r="B56" s="11" t="str">
        <f>CONCATENATE("          ", "6009", " - ", "TEMPORARY-SEASONAL")</f>
        <v xml:space="preserve">          6009 - TEMPORARY-SEASONAL</v>
      </c>
      <c r="C56" s="11"/>
      <c r="D56" s="7"/>
      <c r="E56" s="2"/>
      <c r="F56" s="6">
        <f t="shared" si="21"/>
        <v>0</v>
      </c>
      <c r="G56" s="2"/>
      <c r="H56" s="7">
        <v>0</v>
      </c>
      <c r="I56" s="2"/>
      <c r="J56" s="6">
        <f t="shared" si="22"/>
        <v>0</v>
      </c>
      <c r="K56" s="2"/>
      <c r="L56" s="7">
        <f t="shared" si="23"/>
        <v>0</v>
      </c>
      <c r="M56" s="2"/>
      <c r="N56" s="6">
        <f t="shared" si="24"/>
        <v>0</v>
      </c>
      <c r="O56" s="11"/>
      <c r="P56" s="7"/>
      <c r="Q56" s="2"/>
      <c r="R56" s="6">
        <f t="shared" si="25"/>
        <v>0</v>
      </c>
      <c r="S56" s="2"/>
      <c r="T56" s="7">
        <v>0</v>
      </c>
      <c r="U56" s="2"/>
      <c r="V56" s="6">
        <f t="shared" si="26"/>
        <v>0</v>
      </c>
      <c r="W56" s="2"/>
      <c r="X56" s="7">
        <f t="shared" si="27"/>
        <v>0</v>
      </c>
      <c r="Y56" s="2"/>
      <c r="Z56" s="6">
        <f t="shared" si="28"/>
        <v>0</v>
      </c>
    </row>
    <row r="57" spans="1:26" s="24" customFormat="1" hidden="1" outlineLevel="2" x14ac:dyDescent="0.25">
      <c r="A57" s="25"/>
      <c r="B57" s="11" t="str">
        <f>CONCATENATE("          ", "6010", " - ", "GRATUITY")</f>
        <v xml:space="preserve">          6010 - GRATUITY</v>
      </c>
      <c r="C57" s="11"/>
      <c r="D57" s="7"/>
      <c r="E57" s="2"/>
      <c r="F57" s="6">
        <f t="shared" si="21"/>
        <v>0</v>
      </c>
      <c r="G57" s="2"/>
      <c r="H57" s="7">
        <v>0</v>
      </c>
      <c r="I57" s="2"/>
      <c r="J57" s="6">
        <f t="shared" si="22"/>
        <v>0</v>
      </c>
      <c r="K57" s="2"/>
      <c r="L57" s="7">
        <f t="shared" si="23"/>
        <v>0</v>
      </c>
      <c r="M57" s="2"/>
      <c r="N57" s="6">
        <f t="shared" si="24"/>
        <v>0</v>
      </c>
      <c r="O57" s="11"/>
      <c r="P57" s="7"/>
      <c r="Q57" s="2"/>
      <c r="R57" s="6">
        <f t="shared" si="25"/>
        <v>0</v>
      </c>
      <c r="S57" s="2"/>
      <c r="T57" s="7">
        <v>0</v>
      </c>
      <c r="U57" s="2"/>
      <c r="V57" s="6">
        <f t="shared" si="26"/>
        <v>0</v>
      </c>
      <c r="W57" s="2"/>
      <c r="X57" s="7">
        <f t="shared" si="27"/>
        <v>0</v>
      </c>
      <c r="Y57" s="2"/>
      <c r="Z57" s="6">
        <f t="shared" si="28"/>
        <v>0</v>
      </c>
    </row>
    <row r="58" spans="1:26" s="27" customFormat="1" outlineLevel="1" collapsed="1" x14ac:dyDescent="0.25">
      <c r="A58" s="26"/>
      <c r="B58" s="13" t="str">
        <f>CONCATENATE("     ","Advertising/Promo                                 ")</f>
        <v xml:space="preserve">     Advertising/Promo                                 </v>
      </c>
      <c r="C58" s="13"/>
      <c r="D58" s="1">
        <f>SUM(OSRRefD22_2x_0)</f>
        <v>0</v>
      </c>
      <c r="E58" s="1"/>
      <c r="F58" s="5">
        <f t="shared" ref="F58:F66" si="29">IF(D$12=0,0,D58/D$12)</f>
        <v>0</v>
      </c>
      <c r="G58" s="1"/>
      <c r="H58" s="1">
        <f>SUM(OSRRefH22_2x_0)</f>
        <v>100</v>
      </c>
      <c r="I58" s="1"/>
      <c r="J58" s="5">
        <f t="shared" ref="J58:J66" si="30">IF(H$12=0,0,H58/H$12)</f>
        <v>1.2198097096852892E-2</v>
      </c>
      <c r="K58" s="1"/>
      <c r="L58" s="1">
        <f t="shared" ref="L58:L66" si="31">+D58-H58</f>
        <v>-100</v>
      </c>
      <c r="M58" s="1"/>
      <c r="N58" s="5">
        <f t="shared" ref="N58:N66" si="32">IF(H58=0,0,L58/H58)</f>
        <v>-1</v>
      </c>
      <c r="O58" s="13"/>
      <c r="P58" s="1">
        <f>SUM(OSRRefP22_2x_0)</f>
        <v>124.72</v>
      </c>
      <c r="Q58" s="1"/>
      <c r="R58" s="5">
        <f t="shared" ref="R58:R66" si="33">IF(P$12=0,0,P58/P$12)</f>
        <v>5.8521240695347957E-3</v>
      </c>
      <c r="S58" s="1"/>
      <c r="T58" s="1">
        <f>SUM(OSRRefT22_2x_0)</f>
        <v>1000</v>
      </c>
      <c r="U58" s="1"/>
      <c r="V58" s="5">
        <f t="shared" ref="V58:V66" si="34">IF(T$12=0,0,T58/T$12)</f>
        <v>6.2216138866421954E-3</v>
      </c>
      <c r="W58" s="1"/>
      <c r="X58" s="1">
        <f t="shared" ref="X58:X66" si="35">+P58-T58</f>
        <v>-875.28</v>
      </c>
      <c r="Y58" s="1"/>
      <c r="Z58" s="5">
        <f t="shared" ref="Z58:Z66" si="36">IF(T58=0,0,X58/T58)</f>
        <v>-0.87527999999999995</v>
      </c>
    </row>
    <row r="59" spans="1:26" s="24" customFormat="1" hidden="1" outlineLevel="2" x14ac:dyDescent="0.25">
      <c r="A59" s="25"/>
      <c r="B59" s="11" t="str">
        <f>CONCATENATE("          ", "6362", " - ", "ADVERTISING EXPENSE")</f>
        <v xml:space="preserve">          6362 - ADVERTISING EXPENSE</v>
      </c>
      <c r="C59" s="11"/>
      <c r="D59" s="7"/>
      <c r="E59" s="2"/>
      <c r="F59" s="6">
        <f t="shared" si="29"/>
        <v>0</v>
      </c>
      <c r="G59" s="2"/>
      <c r="H59" s="7">
        <v>100</v>
      </c>
      <c r="I59" s="2"/>
      <c r="J59" s="6">
        <f t="shared" si="30"/>
        <v>1.2198097096852892E-2</v>
      </c>
      <c r="K59" s="2"/>
      <c r="L59" s="7">
        <f t="shared" si="31"/>
        <v>-100</v>
      </c>
      <c r="M59" s="2"/>
      <c r="N59" s="6">
        <f t="shared" si="32"/>
        <v>-1</v>
      </c>
      <c r="O59" s="11"/>
      <c r="P59" s="7">
        <v>124.72</v>
      </c>
      <c r="Q59" s="2"/>
      <c r="R59" s="6">
        <f t="shared" si="33"/>
        <v>5.8521240695347957E-3</v>
      </c>
      <c r="S59" s="2"/>
      <c r="T59" s="7">
        <v>1000</v>
      </c>
      <c r="U59" s="2"/>
      <c r="V59" s="6">
        <f t="shared" si="34"/>
        <v>6.2216138866421954E-3</v>
      </c>
      <c r="W59" s="2"/>
      <c r="X59" s="7">
        <f t="shared" si="35"/>
        <v>-875.28</v>
      </c>
      <c r="Y59" s="2"/>
      <c r="Z59" s="6">
        <f t="shared" si="36"/>
        <v>-0.87527999999999995</v>
      </c>
    </row>
    <row r="60" spans="1:26" s="27" customFormat="1" outlineLevel="1" collapsed="1" x14ac:dyDescent="0.25">
      <c r="A60" s="26"/>
      <c r="B60" s="13" t="str">
        <f>CONCATENATE("     ","Bad Debts/Over/Short                              ")</f>
        <v xml:space="preserve">     Bad Debts/Over/Short                              </v>
      </c>
      <c r="C60" s="13"/>
      <c r="D60" s="1">
        <f>SUM(OSRRefD22_3x_0)</f>
        <v>0</v>
      </c>
      <c r="E60" s="1"/>
      <c r="F60" s="5">
        <f t="shared" si="29"/>
        <v>0</v>
      </c>
      <c r="G60" s="1"/>
      <c r="H60" s="1">
        <f>SUM(OSRRefH22_3x_0)</f>
        <v>0</v>
      </c>
      <c r="I60" s="1"/>
      <c r="J60" s="5">
        <f t="shared" si="30"/>
        <v>0</v>
      </c>
      <c r="K60" s="1"/>
      <c r="L60" s="1">
        <f t="shared" si="31"/>
        <v>0</v>
      </c>
      <c r="M60" s="1"/>
      <c r="N60" s="5">
        <f t="shared" si="32"/>
        <v>0</v>
      </c>
      <c r="O60" s="13"/>
      <c r="P60" s="1">
        <f>SUM(OSRRefP22_3x_0)</f>
        <v>1.1000000000000001</v>
      </c>
      <c r="Q60" s="1"/>
      <c r="R60" s="5">
        <f t="shared" si="33"/>
        <v>5.1614307861516002E-5</v>
      </c>
      <c r="S60" s="1"/>
      <c r="T60" s="1">
        <f>SUM(OSRRefT22_3x_0)</f>
        <v>0</v>
      </c>
      <c r="U60" s="1"/>
      <c r="V60" s="5">
        <f t="shared" si="34"/>
        <v>0</v>
      </c>
      <c r="W60" s="1"/>
      <c r="X60" s="1">
        <f t="shared" si="35"/>
        <v>1.1000000000000001</v>
      </c>
      <c r="Y60" s="1"/>
      <c r="Z60" s="5">
        <f t="shared" si="36"/>
        <v>0</v>
      </c>
    </row>
    <row r="61" spans="1:26" s="24" customFormat="1" hidden="1" outlineLevel="2" x14ac:dyDescent="0.25">
      <c r="A61" s="25"/>
      <c r="B61" s="11" t="str">
        <f>CONCATENATE("          ", "6272", " - ", "CASH (OVER/SHORT)")</f>
        <v xml:space="preserve">          6272 - CASH (OVER/SHORT)</v>
      </c>
      <c r="C61" s="11"/>
      <c r="D61" s="7"/>
      <c r="E61" s="2"/>
      <c r="F61" s="6">
        <f t="shared" si="29"/>
        <v>0</v>
      </c>
      <c r="G61" s="2"/>
      <c r="H61" s="7"/>
      <c r="I61" s="2"/>
      <c r="J61" s="6">
        <f t="shared" si="30"/>
        <v>0</v>
      </c>
      <c r="K61" s="2"/>
      <c r="L61" s="7">
        <f t="shared" si="31"/>
        <v>0</v>
      </c>
      <c r="M61" s="2"/>
      <c r="N61" s="6">
        <f t="shared" si="32"/>
        <v>0</v>
      </c>
      <c r="O61" s="11"/>
      <c r="P61" s="7">
        <v>1.1000000000000001</v>
      </c>
      <c r="Q61" s="2"/>
      <c r="R61" s="6">
        <f t="shared" si="33"/>
        <v>5.1614307861516002E-5</v>
      </c>
      <c r="S61" s="2"/>
      <c r="T61" s="7"/>
      <c r="U61" s="2"/>
      <c r="V61" s="6">
        <f t="shared" si="34"/>
        <v>0</v>
      </c>
      <c r="W61" s="2"/>
      <c r="X61" s="7">
        <f t="shared" si="35"/>
        <v>1.1000000000000001</v>
      </c>
      <c r="Y61" s="2"/>
      <c r="Z61" s="6">
        <f t="shared" si="36"/>
        <v>0</v>
      </c>
    </row>
    <row r="62" spans="1:26" s="27" customFormat="1" outlineLevel="1" collapsed="1" x14ac:dyDescent="0.25">
      <c r="A62" s="26"/>
      <c r="B62" s="13" t="str">
        <f>CONCATENATE("     ","Bank/card Fees                                    ")</f>
        <v xml:space="preserve">     Bank/card Fees                                    </v>
      </c>
      <c r="C62" s="13"/>
      <c r="D62" s="1">
        <f>SUM(OSRRefD22_4x_0)</f>
        <v>0</v>
      </c>
      <c r="E62" s="1"/>
      <c r="F62" s="5">
        <f t="shared" si="29"/>
        <v>0</v>
      </c>
      <c r="G62" s="1"/>
      <c r="H62" s="1">
        <f>SUM(OSRRefH22_4x_0)</f>
        <v>564</v>
      </c>
      <c r="I62" s="1"/>
      <c r="J62" s="5">
        <f t="shared" si="30"/>
        <v>6.8797267626250311E-2</v>
      </c>
      <c r="K62" s="1"/>
      <c r="L62" s="1">
        <f t="shared" si="31"/>
        <v>-564</v>
      </c>
      <c r="M62" s="1"/>
      <c r="N62" s="5">
        <f t="shared" si="32"/>
        <v>-1</v>
      </c>
      <c r="O62" s="13"/>
      <c r="P62" s="1">
        <f>SUM(OSRRefP22_4x_0)</f>
        <v>0</v>
      </c>
      <c r="Q62" s="1"/>
      <c r="R62" s="5">
        <f t="shared" si="33"/>
        <v>0</v>
      </c>
      <c r="S62" s="1"/>
      <c r="T62" s="1">
        <f>SUM(OSRRefT22_4x_0)</f>
        <v>10561</v>
      </c>
      <c r="U62" s="1"/>
      <c r="V62" s="5">
        <f t="shared" si="34"/>
        <v>6.5706464256828218E-2</v>
      </c>
      <c r="W62" s="1"/>
      <c r="X62" s="1">
        <f t="shared" si="35"/>
        <v>-10561</v>
      </c>
      <c r="Y62" s="1"/>
      <c r="Z62" s="5">
        <f t="shared" si="36"/>
        <v>-1</v>
      </c>
    </row>
    <row r="63" spans="1:26" s="24" customFormat="1" hidden="1" outlineLevel="2" x14ac:dyDescent="0.25">
      <c r="A63" s="25"/>
      <c r="B63" s="11" t="str">
        <f>CONCATENATE("          ", "6381", " - ", "BANK/CREDIT CARD FEES")</f>
        <v xml:space="preserve">          6381 - BANK/CREDIT CARD FEES</v>
      </c>
      <c r="C63" s="11"/>
      <c r="D63" s="7"/>
      <c r="E63" s="2"/>
      <c r="F63" s="6">
        <f t="shared" si="29"/>
        <v>0</v>
      </c>
      <c r="G63" s="2"/>
      <c r="H63" s="7">
        <v>564</v>
      </c>
      <c r="I63" s="2"/>
      <c r="J63" s="6">
        <f t="shared" si="30"/>
        <v>6.8797267626250311E-2</v>
      </c>
      <c r="K63" s="2"/>
      <c r="L63" s="7">
        <f t="shared" si="31"/>
        <v>-564</v>
      </c>
      <c r="M63" s="2"/>
      <c r="N63" s="6">
        <f t="shared" si="32"/>
        <v>-1</v>
      </c>
      <c r="O63" s="11"/>
      <c r="P63" s="7"/>
      <c r="Q63" s="2"/>
      <c r="R63" s="6">
        <f t="shared" si="33"/>
        <v>0</v>
      </c>
      <c r="S63" s="2"/>
      <c r="T63" s="7">
        <v>10561</v>
      </c>
      <c r="U63" s="2"/>
      <c r="V63" s="6">
        <f t="shared" si="34"/>
        <v>6.5706464256828218E-2</v>
      </c>
      <c r="W63" s="2"/>
      <c r="X63" s="7">
        <f t="shared" si="35"/>
        <v>-10561</v>
      </c>
      <c r="Y63" s="2"/>
      <c r="Z63" s="6">
        <f t="shared" si="36"/>
        <v>-1</v>
      </c>
    </row>
    <row r="64" spans="1:26" s="27" customFormat="1" outlineLevel="1" collapsed="1" x14ac:dyDescent="0.25">
      <c r="A64" s="26"/>
      <c r="B64" s="13" t="str">
        <f>CONCATENATE("     ","Discounts and Markdowns                           ")</f>
        <v xml:space="preserve">     Discounts and Markdowns                           </v>
      </c>
      <c r="C64" s="13"/>
      <c r="D64" s="1">
        <f>SUM(OSRRefD22_5x_0)</f>
        <v>0</v>
      </c>
      <c r="E64" s="1"/>
      <c r="F64" s="5">
        <f t="shared" si="29"/>
        <v>0</v>
      </c>
      <c r="G64" s="1"/>
      <c r="H64" s="1">
        <f>SUM(OSRRefH22_5x_0)</f>
        <v>180</v>
      </c>
      <c r="I64" s="1"/>
      <c r="J64" s="5">
        <f t="shared" si="30"/>
        <v>2.1956574774335203E-2</v>
      </c>
      <c r="K64" s="1"/>
      <c r="L64" s="1">
        <f t="shared" si="31"/>
        <v>-180</v>
      </c>
      <c r="M64" s="1"/>
      <c r="N64" s="5">
        <f t="shared" si="32"/>
        <v>-1</v>
      </c>
      <c r="O64" s="13"/>
      <c r="P64" s="1">
        <f>SUM(OSRRefP22_5x_0)</f>
        <v>0</v>
      </c>
      <c r="Q64" s="1"/>
      <c r="R64" s="5">
        <f t="shared" si="33"/>
        <v>0</v>
      </c>
      <c r="S64" s="1"/>
      <c r="T64" s="1">
        <f>SUM(OSRRefT22_5x_0)</f>
        <v>3518</v>
      </c>
      <c r="U64" s="1"/>
      <c r="V64" s="5">
        <f t="shared" si="34"/>
        <v>2.1887637653207243E-2</v>
      </c>
      <c r="W64" s="1"/>
      <c r="X64" s="1">
        <f t="shared" si="35"/>
        <v>-3518</v>
      </c>
      <c r="Y64" s="1"/>
      <c r="Z64" s="5">
        <f t="shared" si="36"/>
        <v>-1</v>
      </c>
    </row>
    <row r="65" spans="1:26" s="24" customFormat="1" hidden="1" outlineLevel="2" x14ac:dyDescent="0.25">
      <c r="A65" s="25"/>
      <c r="B65" s="11" t="str">
        <f>CONCATENATE("          ", "6382", " - ", "DISCOUNTS/MARK DOWNS")</f>
        <v xml:space="preserve">          6382 - DISCOUNTS/MARK DOWNS</v>
      </c>
      <c r="C65" s="11"/>
      <c r="D65" s="7"/>
      <c r="E65" s="2"/>
      <c r="F65" s="6">
        <f t="shared" si="29"/>
        <v>0</v>
      </c>
      <c r="G65" s="2"/>
      <c r="H65" s="7">
        <v>180</v>
      </c>
      <c r="I65" s="2"/>
      <c r="J65" s="6">
        <f t="shared" si="30"/>
        <v>2.1956574774335203E-2</v>
      </c>
      <c r="K65" s="2"/>
      <c r="L65" s="7">
        <f t="shared" si="31"/>
        <v>-180</v>
      </c>
      <c r="M65" s="2"/>
      <c r="N65" s="6">
        <f t="shared" si="32"/>
        <v>-1</v>
      </c>
      <c r="O65" s="11"/>
      <c r="P65" s="7">
        <v>0</v>
      </c>
      <c r="Q65" s="2"/>
      <c r="R65" s="6">
        <f t="shared" si="33"/>
        <v>0</v>
      </c>
      <c r="S65" s="2"/>
      <c r="T65" s="7">
        <v>3518</v>
      </c>
      <c r="U65" s="2"/>
      <c r="V65" s="6">
        <f t="shared" si="34"/>
        <v>2.1887637653207243E-2</v>
      </c>
      <c r="W65" s="2"/>
      <c r="X65" s="7">
        <f t="shared" si="35"/>
        <v>-3518</v>
      </c>
      <c r="Y65" s="2"/>
      <c r="Z65" s="6">
        <f t="shared" si="36"/>
        <v>-1</v>
      </c>
    </row>
    <row r="66" spans="1:26" s="24" customFormat="1" hidden="1" outlineLevel="2" x14ac:dyDescent="0.25">
      <c r="A66" s="25"/>
      <c r="B66" s="11" t="str">
        <f>CONCATENATE("          ", "9175", " - ", "EARNED DISCOUNTS")</f>
        <v xml:space="preserve">          9175 - EARNED DISCOUNTS</v>
      </c>
      <c r="C66" s="11"/>
      <c r="D66" s="7"/>
      <c r="E66" s="2"/>
      <c r="F66" s="6">
        <f t="shared" si="29"/>
        <v>0</v>
      </c>
      <c r="G66" s="2"/>
      <c r="H66" s="7"/>
      <c r="I66" s="2"/>
      <c r="J66" s="6">
        <f t="shared" si="30"/>
        <v>0</v>
      </c>
      <c r="K66" s="2"/>
      <c r="L66" s="7">
        <f t="shared" si="31"/>
        <v>0</v>
      </c>
      <c r="M66" s="2"/>
      <c r="N66" s="6">
        <f t="shared" si="32"/>
        <v>0</v>
      </c>
      <c r="O66" s="11"/>
      <c r="P66" s="7">
        <v>0</v>
      </c>
      <c r="Q66" s="2"/>
      <c r="R66" s="6">
        <f t="shared" si="33"/>
        <v>0</v>
      </c>
      <c r="S66" s="2"/>
      <c r="T66" s="7"/>
      <c r="U66" s="2"/>
      <c r="V66" s="6">
        <f t="shared" si="34"/>
        <v>0</v>
      </c>
      <c r="W66" s="2"/>
      <c r="X66" s="7">
        <f t="shared" si="35"/>
        <v>0</v>
      </c>
      <c r="Y66" s="2"/>
      <c r="Z66" s="6">
        <f t="shared" si="36"/>
        <v>0</v>
      </c>
    </row>
    <row r="67" spans="1:26" s="27" customFormat="1" outlineLevel="1" collapsed="1" x14ac:dyDescent="0.25">
      <c r="A67" s="26"/>
      <c r="B67" s="13" t="str">
        <f>CONCATENATE("     ","Freight out/Postage                               ")</f>
        <v xml:space="preserve">     Freight out/Postage                               </v>
      </c>
      <c r="C67" s="13"/>
      <c r="D67" s="1">
        <f>SUM(OSRRefD22_6x_0)</f>
        <v>0</v>
      </c>
      <c r="E67" s="1"/>
      <c r="F67" s="5">
        <f t="shared" ref="F67:F75" si="37">IF(D$12=0,0,D67/D$12)</f>
        <v>0</v>
      </c>
      <c r="G67" s="1"/>
      <c r="H67" s="1">
        <f>SUM(OSRRefH22_6x_0)</f>
        <v>248</v>
      </c>
      <c r="I67" s="1"/>
      <c r="J67" s="5">
        <f t="shared" ref="J67:J75" si="38">IF(H$12=0,0,H67/H$12)</f>
        <v>3.0251280800195169E-2</v>
      </c>
      <c r="K67" s="1"/>
      <c r="L67" s="1">
        <f t="shared" ref="L67:L75" si="39">+D67-H67</f>
        <v>-248</v>
      </c>
      <c r="M67" s="1"/>
      <c r="N67" s="5">
        <f t="shared" ref="N67:N75" si="40">IF(H67=0,0,L67/H67)</f>
        <v>-1</v>
      </c>
      <c r="O67" s="13"/>
      <c r="P67" s="1">
        <f>SUM(OSRRefP22_6x_0)</f>
        <v>0</v>
      </c>
      <c r="Q67" s="1"/>
      <c r="R67" s="5">
        <f t="shared" ref="R67:R75" si="41">IF(P$12=0,0,P67/P$12)</f>
        <v>0</v>
      </c>
      <c r="S67" s="1"/>
      <c r="T67" s="1">
        <f>SUM(OSRRefT22_6x_0)</f>
        <v>2727</v>
      </c>
      <c r="U67" s="1"/>
      <c r="V67" s="5">
        <f t="shared" ref="V67:V75" si="42">IF(T$12=0,0,T67/T$12)</f>
        <v>1.6966341068873264E-2</v>
      </c>
      <c r="W67" s="1"/>
      <c r="X67" s="1">
        <f t="shared" ref="X67:X75" si="43">+P67-T67</f>
        <v>-2727</v>
      </c>
      <c r="Y67" s="1"/>
      <c r="Z67" s="5">
        <f t="shared" ref="Z67:Z75" si="44">IF(T67=0,0,X67/T67)</f>
        <v>-1</v>
      </c>
    </row>
    <row r="68" spans="1:26" s="24" customFormat="1" hidden="1" outlineLevel="2" x14ac:dyDescent="0.25">
      <c r="A68" s="25"/>
      <c r="B68" s="11" t="str">
        <f>CONCATENATE("          ", "6305", " - ", "FREIGHT OUT")</f>
        <v xml:space="preserve">          6305 - FREIGHT OUT</v>
      </c>
      <c r="C68" s="11"/>
      <c r="D68" s="7"/>
      <c r="E68" s="2"/>
      <c r="F68" s="6">
        <f t="shared" si="37"/>
        <v>0</v>
      </c>
      <c r="G68" s="2"/>
      <c r="H68" s="7">
        <v>248</v>
      </c>
      <c r="I68" s="2"/>
      <c r="J68" s="6">
        <f t="shared" si="38"/>
        <v>3.0251280800195169E-2</v>
      </c>
      <c r="K68" s="2"/>
      <c r="L68" s="7">
        <f t="shared" si="39"/>
        <v>-248</v>
      </c>
      <c r="M68" s="2"/>
      <c r="N68" s="6">
        <f t="shared" si="40"/>
        <v>-1</v>
      </c>
      <c r="O68" s="11"/>
      <c r="P68" s="7"/>
      <c r="Q68" s="2"/>
      <c r="R68" s="6">
        <f t="shared" si="41"/>
        <v>0</v>
      </c>
      <c r="S68" s="2"/>
      <c r="T68" s="7">
        <v>2727</v>
      </c>
      <c r="U68" s="2"/>
      <c r="V68" s="6">
        <f t="shared" si="42"/>
        <v>1.6966341068873264E-2</v>
      </c>
      <c r="W68" s="2"/>
      <c r="X68" s="7">
        <f t="shared" si="43"/>
        <v>-2727</v>
      </c>
      <c r="Y68" s="2"/>
      <c r="Z68" s="6">
        <f t="shared" si="44"/>
        <v>-1</v>
      </c>
    </row>
    <row r="69" spans="1:26" s="27" customFormat="1" outlineLevel="1" collapsed="1" x14ac:dyDescent="0.25">
      <c r="A69" s="26"/>
      <c r="B69" s="13" t="str">
        <f>CONCATENATE("     ","General                                           ")</f>
        <v xml:space="preserve">     General                                           </v>
      </c>
      <c r="C69" s="13"/>
      <c r="D69" s="1">
        <f>SUM(OSRRefD22_7x_0)</f>
        <v>0</v>
      </c>
      <c r="E69" s="1"/>
      <c r="F69" s="5">
        <f t="shared" si="37"/>
        <v>0</v>
      </c>
      <c r="G69" s="1"/>
      <c r="H69" s="1">
        <f>SUM(OSRRefH22_7x_0)</f>
        <v>0</v>
      </c>
      <c r="I69" s="1"/>
      <c r="J69" s="5">
        <f t="shared" si="38"/>
        <v>0</v>
      </c>
      <c r="K69" s="1"/>
      <c r="L69" s="1">
        <f t="shared" si="39"/>
        <v>0</v>
      </c>
      <c r="M69" s="1"/>
      <c r="N69" s="5">
        <f t="shared" si="40"/>
        <v>0</v>
      </c>
      <c r="O69" s="13"/>
      <c r="P69" s="1">
        <f>SUM(OSRRefP22_7x_0)</f>
        <v>879.55</v>
      </c>
      <c r="Q69" s="1"/>
      <c r="R69" s="5">
        <f t="shared" si="41"/>
        <v>4.1270331345087632E-2</v>
      </c>
      <c r="S69" s="1"/>
      <c r="T69" s="1">
        <f>SUM(OSRRefT22_7x_0)</f>
        <v>1000</v>
      </c>
      <c r="U69" s="1"/>
      <c r="V69" s="5">
        <f t="shared" si="42"/>
        <v>6.2216138866421954E-3</v>
      </c>
      <c r="W69" s="1"/>
      <c r="X69" s="1">
        <f t="shared" si="43"/>
        <v>-120.45000000000005</v>
      </c>
      <c r="Y69" s="1"/>
      <c r="Z69" s="5">
        <f t="shared" si="44"/>
        <v>-0.12045000000000004</v>
      </c>
    </row>
    <row r="70" spans="1:26" s="24" customFormat="1" hidden="1" outlineLevel="2" x14ac:dyDescent="0.25">
      <c r="A70" s="25"/>
      <c r="B70" s="11" t="str">
        <f>CONCATENATE("          ", "6279", " - ", "GENERAL EXPENSE")</f>
        <v xml:space="preserve">          6279 - GENERAL EXPENSE</v>
      </c>
      <c r="C70" s="11"/>
      <c r="D70" s="7"/>
      <c r="E70" s="2"/>
      <c r="F70" s="6">
        <f t="shared" si="37"/>
        <v>0</v>
      </c>
      <c r="G70" s="2"/>
      <c r="H70" s="7"/>
      <c r="I70" s="2"/>
      <c r="J70" s="6">
        <f t="shared" si="38"/>
        <v>0</v>
      </c>
      <c r="K70" s="2"/>
      <c r="L70" s="7">
        <f t="shared" si="39"/>
        <v>0</v>
      </c>
      <c r="M70" s="2"/>
      <c r="N70" s="6">
        <f t="shared" si="40"/>
        <v>0</v>
      </c>
      <c r="O70" s="11"/>
      <c r="P70" s="7">
        <v>879.55</v>
      </c>
      <c r="Q70" s="2"/>
      <c r="R70" s="6">
        <f t="shared" si="41"/>
        <v>4.1270331345087632E-2</v>
      </c>
      <c r="S70" s="2"/>
      <c r="T70" s="7">
        <v>1000</v>
      </c>
      <c r="U70" s="2"/>
      <c r="V70" s="6">
        <f t="shared" si="42"/>
        <v>6.2216138866421954E-3</v>
      </c>
      <c r="W70" s="2"/>
      <c r="X70" s="7">
        <f t="shared" si="43"/>
        <v>-120.45000000000005</v>
      </c>
      <c r="Y70" s="2"/>
      <c r="Z70" s="6">
        <f t="shared" si="44"/>
        <v>-0.12045000000000004</v>
      </c>
    </row>
    <row r="71" spans="1:26" s="27" customFormat="1" outlineLevel="1" collapsed="1" x14ac:dyDescent="0.25">
      <c r="A71" s="26"/>
      <c r="B71" s="13" t="str">
        <f>CONCATENATE("     ","Professional Services                             ")</f>
        <v xml:space="preserve">     Professional Services                             </v>
      </c>
      <c r="C71" s="13"/>
      <c r="D71" s="1">
        <f>SUM(OSRRefD22_8x_0)</f>
        <v>0</v>
      </c>
      <c r="E71" s="1"/>
      <c r="F71" s="5">
        <f t="shared" si="37"/>
        <v>0</v>
      </c>
      <c r="G71" s="1"/>
      <c r="H71" s="1">
        <f>SUM(OSRRefH22_8x_0)</f>
        <v>0</v>
      </c>
      <c r="I71" s="1"/>
      <c r="J71" s="5">
        <f t="shared" si="38"/>
        <v>0</v>
      </c>
      <c r="K71" s="1"/>
      <c r="L71" s="1">
        <f t="shared" si="39"/>
        <v>0</v>
      </c>
      <c r="M71" s="1"/>
      <c r="N71" s="5">
        <f t="shared" si="40"/>
        <v>0</v>
      </c>
      <c r="O71" s="13"/>
      <c r="P71" s="1">
        <f>SUM(OSRRefP22_8x_0)</f>
        <v>0</v>
      </c>
      <c r="Q71" s="1"/>
      <c r="R71" s="5">
        <f t="shared" si="41"/>
        <v>0</v>
      </c>
      <c r="S71" s="1"/>
      <c r="T71" s="1">
        <f>SUM(OSRRefT22_8x_0)</f>
        <v>800</v>
      </c>
      <c r="U71" s="1"/>
      <c r="V71" s="5">
        <f t="shared" si="42"/>
        <v>4.977291109313756E-3</v>
      </c>
      <c r="W71" s="1"/>
      <c r="X71" s="1">
        <f t="shared" si="43"/>
        <v>-800</v>
      </c>
      <c r="Y71" s="1"/>
      <c r="Z71" s="5">
        <f t="shared" si="44"/>
        <v>-1</v>
      </c>
    </row>
    <row r="72" spans="1:26" s="24" customFormat="1" hidden="1" outlineLevel="2" x14ac:dyDescent="0.25">
      <c r="A72" s="25"/>
      <c r="B72" s="11" t="str">
        <f>CONCATENATE("          ", "6336", " - ", "PROFESSIONAL SERVICES")</f>
        <v xml:space="preserve">          6336 - PROFESSIONAL SERVICES</v>
      </c>
      <c r="C72" s="11"/>
      <c r="D72" s="7"/>
      <c r="E72" s="2"/>
      <c r="F72" s="6">
        <f t="shared" si="37"/>
        <v>0</v>
      </c>
      <c r="G72" s="2"/>
      <c r="H72" s="7"/>
      <c r="I72" s="2"/>
      <c r="J72" s="6">
        <f t="shared" si="38"/>
        <v>0</v>
      </c>
      <c r="K72" s="2"/>
      <c r="L72" s="7">
        <f t="shared" si="39"/>
        <v>0</v>
      </c>
      <c r="M72" s="2"/>
      <c r="N72" s="6">
        <f t="shared" si="40"/>
        <v>0</v>
      </c>
      <c r="O72" s="11"/>
      <c r="P72" s="7"/>
      <c r="Q72" s="2"/>
      <c r="R72" s="6">
        <f t="shared" si="41"/>
        <v>0</v>
      </c>
      <c r="S72" s="2"/>
      <c r="T72" s="7">
        <v>800</v>
      </c>
      <c r="U72" s="2"/>
      <c r="V72" s="6">
        <f t="shared" si="42"/>
        <v>4.977291109313756E-3</v>
      </c>
      <c r="W72" s="2"/>
      <c r="X72" s="7">
        <f t="shared" si="43"/>
        <v>-800</v>
      </c>
      <c r="Y72" s="2"/>
      <c r="Z72" s="6">
        <f t="shared" si="44"/>
        <v>-1</v>
      </c>
    </row>
    <row r="73" spans="1:26" s="27" customFormat="1" outlineLevel="1" collapsed="1" x14ac:dyDescent="0.25">
      <c r="A73" s="26"/>
      <c r="B73" s="13" t="str">
        <f>CONCATENATE("     ","Repair and Maintenance                            ")</f>
        <v xml:space="preserve">     Repair and Maintenance                            </v>
      </c>
      <c r="C73" s="13"/>
      <c r="D73" s="1">
        <f>SUM(OSRRefD22_9x_0)</f>
        <v>0</v>
      </c>
      <c r="E73" s="1"/>
      <c r="F73" s="5">
        <f t="shared" si="37"/>
        <v>0</v>
      </c>
      <c r="G73" s="1"/>
      <c r="H73" s="1">
        <f>SUM(OSRRefH22_9x_0)</f>
        <v>100</v>
      </c>
      <c r="I73" s="1"/>
      <c r="J73" s="5">
        <f t="shared" si="38"/>
        <v>1.2198097096852892E-2</v>
      </c>
      <c r="K73" s="1"/>
      <c r="L73" s="1">
        <f t="shared" si="39"/>
        <v>-100</v>
      </c>
      <c r="M73" s="1"/>
      <c r="N73" s="5">
        <f t="shared" si="40"/>
        <v>-1</v>
      </c>
      <c r="O73" s="13"/>
      <c r="P73" s="1">
        <f>SUM(OSRRefP22_9x_0)</f>
        <v>261.93</v>
      </c>
      <c r="Q73" s="1"/>
      <c r="R73" s="5">
        <f t="shared" si="41"/>
        <v>1.2290305143788078E-2</v>
      </c>
      <c r="S73" s="1"/>
      <c r="T73" s="1">
        <f>SUM(OSRRefT22_9x_0)</f>
        <v>1100</v>
      </c>
      <c r="U73" s="1"/>
      <c r="V73" s="5">
        <f t="shared" si="42"/>
        <v>6.8437752753064147E-3</v>
      </c>
      <c r="W73" s="1"/>
      <c r="X73" s="1">
        <f t="shared" si="43"/>
        <v>-838.06999999999994</v>
      </c>
      <c r="Y73" s="1"/>
      <c r="Z73" s="5">
        <f t="shared" si="44"/>
        <v>-0.7618818181818181</v>
      </c>
    </row>
    <row r="74" spans="1:26" s="24" customFormat="1" hidden="1" outlineLevel="2" x14ac:dyDescent="0.25">
      <c r="A74" s="25"/>
      <c r="B74" s="11" t="str">
        <f>CONCATENATE("          ", "6373", " - ", "MAINTENANCE CONTRACTS")</f>
        <v xml:space="preserve">          6373 - MAINTENANCE CONTRACTS</v>
      </c>
      <c r="C74" s="11"/>
      <c r="D74" s="7"/>
      <c r="E74" s="2"/>
      <c r="F74" s="6">
        <f t="shared" si="37"/>
        <v>0</v>
      </c>
      <c r="G74" s="2"/>
      <c r="H74" s="7"/>
      <c r="I74" s="2"/>
      <c r="J74" s="6">
        <f t="shared" si="38"/>
        <v>0</v>
      </c>
      <c r="K74" s="2"/>
      <c r="L74" s="7">
        <f t="shared" si="39"/>
        <v>0</v>
      </c>
      <c r="M74" s="2"/>
      <c r="N74" s="6">
        <f t="shared" si="40"/>
        <v>0</v>
      </c>
      <c r="O74" s="11"/>
      <c r="P74" s="7">
        <v>261.93</v>
      </c>
      <c r="Q74" s="2"/>
      <c r="R74" s="6">
        <f t="shared" si="41"/>
        <v>1.2290305143788078E-2</v>
      </c>
      <c r="S74" s="2"/>
      <c r="T74" s="7"/>
      <c r="U74" s="2"/>
      <c r="V74" s="6">
        <f t="shared" si="42"/>
        <v>0</v>
      </c>
      <c r="W74" s="2"/>
      <c r="X74" s="7">
        <f t="shared" si="43"/>
        <v>261.93</v>
      </c>
      <c r="Y74" s="2"/>
      <c r="Z74" s="6">
        <f t="shared" si="44"/>
        <v>0</v>
      </c>
    </row>
    <row r="75" spans="1:26" s="24" customFormat="1" hidden="1" outlineLevel="2" x14ac:dyDescent="0.25">
      <c r="A75" s="25"/>
      <c r="B75" s="11" t="str">
        <f>CONCATENATE("          ", "6375", " - ", "OUTSIDE REPAIRS &amp; MAINTENANCE")</f>
        <v xml:space="preserve">          6375 - OUTSIDE REPAIRS &amp; MAINTENANCE</v>
      </c>
      <c r="C75" s="11"/>
      <c r="D75" s="7"/>
      <c r="E75" s="2"/>
      <c r="F75" s="6">
        <f t="shared" si="37"/>
        <v>0</v>
      </c>
      <c r="G75" s="2"/>
      <c r="H75" s="7">
        <v>100</v>
      </c>
      <c r="I75" s="2"/>
      <c r="J75" s="6">
        <f t="shared" si="38"/>
        <v>1.2198097096852892E-2</v>
      </c>
      <c r="K75" s="2"/>
      <c r="L75" s="7">
        <f t="shared" si="39"/>
        <v>-100</v>
      </c>
      <c r="M75" s="2"/>
      <c r="N75" s="6">
        <f t="shared" si="40"/>
        <v>-1</v>
      </c>
      <c r="O75" s="11"/>
      <c r="P75" s="7"/>
      <c r="Q75" s="2"/>
      <c r="R75" s="6">
        <f t="shared" si="41"/>
        <v>0</v>
      </c>
      <c r="S75" s="2"/>
      <c r="T75" s="7">
        <v>1100</v>
      </c>
      <c r="U75" s="2"/>
      <c r="V75" s="6">
        <f t="shared" si="42"/>
        <v>6.8437752753064147E-3</v>
      </c>
      <c r="W75" s="2"/>
      <c r="X75" s="7">
        <f t="shared" si="43"/>
        <v>-1100</v>
      </c>
      <c r="Y75" s="2"/>
      <c r="Z75" s="6">
        <f t="shared" si="44"/>
        <v>-1</v>
      </c>
    </row>
    <row r="76" spans="1:26" s="27" customFormat="1" outlineLevel="1" collapsed="1" x14ac:dyDescent="0.25">
      <c r="A76" s="26"/>
      <c r="B76" s="13" t="str">
        <f>CONCATENATE("     ","Services                                          ")</f>
        <v xml:space="preserve">     Services                                          </v>
      </c>
      <c r="C76" s="13"/>
      <c r="D76" s="1">
        <f>SUM(OSRRefD22_10x_0)</f>
        <v>0</v>
      </c>
      <c r="E76" s="1"/>
      <c r="F76" s="5">
        <f t="shared" ref="F76:F78" si="45">IF(D$12=0,0,D76/D$12)</f>
        <v>0</v>
      </c>
      <c r="G76" s="1"/>
      <c r="H76" s="1">
        <f>SUM(OSRRefH22_10x_0)</f>
        <v>274</v>
      </c>
      <c r="I76" s="1"/>
      <c r="J76" s="5">
        <f t="shared" ref="J76:J78" si="46">IF(H$12=0,0,H76/H$12)</f>
        <v>3.342278604537692E-2</v>
      </c>
      <c r="K76" s="1"/>
      <c r="L76" s="1">
        <f t="shared" ref="L76:L78" si="47">+D76-H76</f>
        <v>-274</v>
      </c>
      <c r="M76" s="1"/>
      <c r="N76" s="5">
        <f t="shared" ref="N76:N78" si="48">IF(H76=0,0,L76/H76)</f>
        <v>-1</v>
      </c>
      <c r="O76" s="13"/>
      <c r="P76" s="1">
        <f>SUM(OSRRefP22_10x_0)</f>
        <v>18.5</v>
      </c>
      <c r="Q76" s="1"/>
      <c r="R76" s="5">
        <f t="shared" ref="R76:R78" si="49">IF(P$12=0,0,P76/P$12)</f>
        <v>8.6805881403458724E-4</v>
      </c>
      <c r="S76" s="1"/>
      <c r="T76" s="1">
        <f>SUM(OSRRefT22_10x_0)</f>
        <v>2740</v>
      </c>
      <c r="U76" s="1"/>
      <c r="V76" s="5">
        <f t="shared" ref="V76:V78" si="50">IF(T$12=0,0,T76/T$12)</f>
        <v>1.7047222049399614E-2</v>
      </c>
      <c r="W76" s="1"/>
      <c r="X76" s="1">
        <f t="shared" ref="X76:X78" si="51">+P76-T76</f>
        <v>-2721.5</v>
      </c>
      <c r="Y76" s="1"/>
      <c r="Z76" s="5">
        <f t="shared" ref="Z76:Z78" si="52">IF(T76=0,0,X76/T76)</f>
        <v>-0.99324817518248176</v>
      </c>
    </row>
    <row r="77" spans="1:26" s="24" customFormat="1" hidden="1" outlineLevel="2" x14ac:dyDescent="0.25">
      <c r="A77" s="25"/>
      <c r="B77" s="11" t="str">
        <f>CONCATENATE("          ", "6282", " - ", "JANITORIAL/EXTERMINATOR EXPENS")</f>
        <v xml:space="preserve">          6282 - JANITORIAL/EXTERMINATOR EXPENS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>
        <v>176</v>
      </c>
      <c r="Q77" s="2"/>
      <c r="R77" s="6">
        <f t="shared" si="49"/>
        <v>8.2582892578425601E-3</v>
      </c>
      <c r="S77" s="2"/>
      <c r="T77" s="7"/>
      <c r="U77" s="2"/>
      <c r="V77" s="6">
        <f t="shared" si="50"/>
        <v>0</v>
      </c>
      <c r="W77" s="2"/>
      <c r="X77" s="7">
        <f t="shared" si="51"/>
        <v>176</v>
      </c>
      <c r="Y77" s="2"/>
      <c r="Z77" s="6">
        <f t="shared" si="52"/>
        <v>0</v>
      </c>
    </row>
    <row r="78" spans="1:26" s="24" customFormat="1" hidden="1" outlineLevel="2" x14ac:dyDescent="0.25">
      <c r="A78" s="25"/>
      <c r="B78" s="11" t="str">
        <f>CONCATENATE("          ", "6285", " - ", "JANITORIAL SERVICES")</f>
        <v xml:space="preserve">          6285 - JANITORIAL SERVICES</v>
      </c>
      <c r="C78" s="11"/>
      <c r="D78" s="7"/>
      <c r="E78" s="2"/>
      <c r="F78" s="6">
        <f t="shared" si="45"/>
        <v>0</v>
      </c>
      <c r="G78" s="2"/>
      <c r="H78" s="7">
        <v>274</v>
      </c>
      <c r="I78" s="2"/>
      <c r="J78" s="6">
        <f t="shared" si="46"/>
        <v>3.342278604537692E-2</v>
      </c>
      <c r="K78" s="2"/>
      <c r="L78" s="7">
        <f t="shared" si="47"/>
        <v>-274</v>
      </c>
      <c r="M78" s="2"/>
      <c r="N78" s="6">
        <f t="shared" si="48"/>
        <v>-1</v>
      </c>
      <c r="O78" s="11"/>
      <c r="P78" s="7">
        <v>-157.5</v>
      </c>
      <c r="Q78" s="2"/>
      <c r="R78" s="6">
        <f t="shared" si="49"/>
        <v>-7.3902304438079732E-3</v>
      </c>
      <c r="S78" s="2"/>
      <c r="T78" s="7">
        <v>2740</v>
      </c>
      <c r="U78" s="2"/>
      <c r="V78" s="6">
        <f t="shared" si="50"/>
        <v>1.7047222049399614E-2</v>
      </c>
      <c r="W78" s="2"/>
      <c r="X78" s="7">
        <f t="shared" si="51"/>
        <v>-2897.5</v>
      </c>
      <c r="Y78" s="2"/>
      <c r="Z78" s="6">
        <f t="shared" si="52"/>
        <v>-1.0574817518248176</v>
      </c>
    </row>
    <row r="79" spans="1:26" s="27" customFormat="1" outlineLevel="1" collapsed="1" x14ac:dyDescent="0.25">
      <c r="A79" s="26"/>
      <c r="B79" s="13" t="str">
        <f>CONCATENATE("     ","Supplies                                          ")</f>
        <v xml:space="preserve">     Supplies                                          </v>
      </c>
      <c r="C79" s="13"/>
      <c r="D79" s="1">
        <f>SUM(OSRRefD22_11x_0)</f>
        <v>0</v>
      </c>
      <c r="E79" s="1"/>
      <c r="F79" s="5">
        <f t="shared" ref="F79:F83" si="53">IF(D$12=0,0,D79/D$12)</f>
        <v>0</v>
      </c>
      <c r="G79" s="1"/>
      <c r="H79" s="1">
        <f>SUM(OSRRefH22_11x_0)</f>
        <v>300</v>
      </c>
      <c r="I79" s="1"/>
      <c r="J79" s="5">
        <f t="shared" ref="J79:J83" si="54">IF(H$12=0,0,H79/H$12)</f>
        <v>3.6594291290558675E-2</v>
      </c>
      <c r="K79" s="1"/>
      <c r="L79" s="1">
        <f t="shared" ref="L79:L83" si="55">+D79-H79</f>
        <v>-300</v>
      </c>
      <c r="M79" s="1"/>
      <c r="N79" s="5">
        <f t="shared" ref="N79:N83" si="56">IF(H79=0,0,L79/H79)</f>
        <v>-1</v>
      </c>
      <c r="O79" s="13"/>
      <c r="P79" s="1">
        <f>SUM(OSRRefP22_11x_0)</f>
        <v>1892.27</v>
      </c>
      <c r="Q79" s="1"/>
      <c r="R79" s="5">
        <f t="shared" ref="R79:R83" si="57">IF(P$12=0,0,P79/P$12)</f>
        <v>8.8789278488282622E-2</v>
      </c>
      <c r="S79" s="1"/>
      <c r="T79" s="1">
        <f>SUM(OSRRefT22_11x_0)</f>
        <v>3200</v>
      </c>
      <c r="U79" s="1"/>
      <c r="V79" s="5">
        <f t="shared" ref="V79:V83" si="58">IF(T$12=0,0,T79/T$12)</f>
        <v>1.9909164437255024E-2</v>
      </c>
      <c r="W79" s="1"/>
      <c r="X79" s="1">
        <f t="shared" ref="X79:X83" si="59">+P79-T79</f>
        <v>-1307.73</v>
      </c>
      <c r="Y79" s="1"/>
      <c r="Z79" s="5">
        <f t="shared" ref="Z79:Z83" si="60">IF(T79=0,0,X79/T79)</f>
        <v>-0.40866562500000003</v>
      </c>
    </row>
    <row r="80" spans="1:26" s="24" customFormat="1" hidden="1" outlineLevel="2" x14ac:dyDescent="0.25">
      <c r="A80" s="25"/>
      <c r="B80" s="11" t="str">
        <f>CONCATENATE("          ", "6235", " - ", "COVID-19 EXPENSES")</f>
        <v xml:space="preserve">          6235 - COVID-19 EXPENSES</v>
      </c>
      <c r="C80" s="11"/>
      <c r="D80" s="7"/>
      <c r="E80" s="2"/>
      <c r="F80" s="6">
        <f t="shared" si="53"/>
        <v>0</v>
      </c>
      <c r="G80" s="2"/>
      <c r="H80" s="7">
        <v>200</v>
      </c>
      <c r="I80" s="2"/>
      <c r="J80" s="6">
        <f t="shared" si="54"/>
        <v>2.4396194193705784E-2</v>
      </c>
      <c r="K80" s="2"/>
      <c r="L80" s="7">
        <f t="shared" si="55"/>
        <v>-200</v>
      </c>
      <c r="M80" s="2"/>
      <c r="N80" s="6">
        <f t="shared" si="56"/>
        <v>-1</v>
      </c>
      <c r="O80" s="11"/>
      <c r="P80" s="7">
        <v>444.3</v>
      </c>
      <c r="Q80" s="2"/>
      <c r="R80" s="6">
        <f t="shared" si="57"/>
        <v>2.0847488166246871E-2</v>
      </c>
      <c r="S80" s="2"/>
      <c r="T80" s="7">
        <v>2000</v>
      </c>
      <c r="U80" s="2"/>
      <c r="V80" s="6">
        <f t="shared" si="58"/>
        <v>1.2443227773284391E-2</v>
      </c>
      <c r="W80" s="2"/>
      <c r="X80" s="7">
        <f t="shared" si="59"/>
        <v>-1555.7</v>
      </c>
      <c r="Y80" s="2"/>
      <c r="Z80" s="6">
        <f t="shared" si="60"/>
        <v>-0.77785000000000004</v>
      </c>
    </row>
    <row r="81" spans="1:26" s="24" customFormat="1" hidden="1" outlineLevel="2" x14ac:dyDescent="0.25">
      <c r="A81" s="25"/>
      <c r="B81" s="11" t="str">
        <f>CONCATENATE("          ", "6241", " - ", "OFFICE EXPENSE")</f>
        <v xml:space="preserve">          6241 - OFFICE EXPENSE</v>
      </c>
      <c r="C81" s="11"/>
      <c r="D81" s="7"/>
      <c r="E81" s="2"/>
      <c r="F81" s="6">
        <f t="shared" si="53"/>
        <v>0</v>
      </c>
      <c r="G81" s="2"/>
      <c r="H81" s="7"/>
      <c r="I81" s="2"/>
      <c r="J81" s="6">
        <f t="shared" si="54"/>
        <v>0</v>
      </c>
      <c r="K81" s="2"/>
      <c r="L81" s="7">
        <f t="shared" si="55"/>
        <v>0</v>
      </c>
      <c r="M81" s="2"/>
      <c r="N81" s="6">
        <f t="shared" si="56"/>
        <v>0</v>
      </c>
      <c r="O81" s="11"/>
      <c r="P81" s="7">
        <v>225.24</v>
      </c>
      <c r="Q81" s="2"/>
      <c r="R81" s="6">
        <f t="shared" si="57"/>
        <v>1.056873336611624E-2</v>
      </c>
      <c r="S81" s="2"/>
      <c r="T81" s="7"/>
      <c r="U81" s="2"/>
      <c r="V81" s="6">
        <f t="shared" si="58"/>
        <v>0</v>
      </c>
      <c r="W81" s="2"/>
      <c r="X81" s="7">
        <f t="shared" si="59"/>
        <v>225.24</v>
      </c>
      <c r="Y81" s="2"/>
      <c r="Z81" s="6">
        <f t="shared" si="60"/>
        <v>0</v>
      </c>
    </row>
    <row r="82" spans="1:26" s="24" customFormat="1" hidden="1" outlineLevel="2" x14ac:dyDescent="0.25">
      <c r="A82" s="25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53"/>
        <v>0</v>
      </c>
      <c r="G82" s="2"/>
      <c r="H82" s="7">
        <v>100</v>
      </c>
      <c r="I82" s="2"/>
      <c r="J82" s="6">
        <f t="shared" si="54"/>
        <v>1.2198097096852892E-2</v>
      </c>
      <c r="K82" s="2"/>
      <c r="L82" s="7">
        <f t="shared" si="55"/>
        <v>-100</v>
      </c>
      <c r="M82" s="2"/>
      <c r="N82" s="6">
        <f t="shared" si="56"/>
        <v>-1</v>
      </c>
      <c r="O82" s="11"/>
      <c r="P82" s="7">
        <v>1222.73</v>
      </c>
      <c r="Q82" s="2"/>
      <c r="R82" s="6">
        <f t="shared" si="57"/>
        <v>5.7373056955919509E-2</v>
      </c>
      <c r="S82" s="2"/>
      <c r="T82" s="7">
        <v>1000</v>
      </c>
      <c r="U82" s="2"/>
      <c r="V82" s="6">
        <f t="shared" si="58"/>
        <v>6.2216138866421954E-3</v>
      </c>
      <c r="W82" s="2"/>
      <c r="X82" s="7">
        <f t="shared" si="59"/>
        <v>222.73000000000002</v>
      </c>
      <c r="Y82" s="2"/>
      <c r="Z82" s="6">
        <f t="shared" si="60"/>
        <v>0.22273000000000001</v>
      </c>
    </row>
    <row r="83" spans="1:26" s="24" customFormat="1" hidden="1" outlineLevel="2" x14ac:dyDescent="0.25">
      <c r="A83" s="25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53"/>
        <v>0</v>
      </c>
      <c r="G83" s="2"/>
      <c r="H83" s="7"/>
      <c r="I83" s="2"/>
      <c r="J83" s="6">
        <f t="shared" si="54"/>
        <v>0</v>
      </c>
      <c r="K83" s="2"/>
      <c r="L83" s="7">
        <f t="shared" si="55"/>
        <v>0</v>
      </c>
      <c r="M83" s="2"/>
      <c r="N83" s="6">
        <f t="shared" si="56"/>
        <v>0</v>
      </c>
      <c r="O83" s="11"/>
      <c r="P83" s="7"/>
      <c r="Q83" s="2"/>
      <c r="R83" s="6">
        <f t="shared" si="57"/>
        <v>0</v>
      </c>
      <c r="S83" s="2"/>
      <c r="T83" s="7">
        <v>200</v>
      </c>
      <c r="U83" s="2"/>
      <c r="V83" s="6">
        <f t="shared" si="58"/>
        <v>1.244322777328439E-3</v>
      </c>
      <c r="W83" s="2"/>
      <c r="X83" s="7">
        <f t="shared" si="59"/>
        <v>-200</v>
      </c>
      <c r="Y83" s="2"/>
      <c r="Z83" s="6">
        <f t="shared" si="60"/>
        <v>-1</v>
      </c>
    </row>
    <row r="84" spans="1:26" s="27" customFormat="1" outlineLevel="1" collapsed="1" x14ac:dyDescent="0.25">
      <c r="A84" s="26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SUM(OSRRefD22_12x_0)</f>
        <v>53</v>
      </c>
      <c r="E84" s="1"/>
      <c r="F84" s="5">
        <f t="shared" ref="F84:F86" si="61">IF(D$12=0,0,D84/D$12)</f>
        <v>0</v>
      </c>
      <c r="G84" s="1"/>
      <c r="H84" s="1">
        <f>SUM(OSRRefH22_12x_0)</f>
        <v>100</v>
      </c>
      <c r="I84" s="1"/>
      <c r="J84" s="5">
        <f t="shared" ref="J84:J86" si="62">IF(H$12=0,0,H84/H$12)</f>
        <v>1.2198097096852892E-2</v>
      </c>
      <c r="K84" s="1"/>
      <c r="L84" s="1">
        <f t="shared" ref="L84:L86" si="63">+D84-H84</f>
        <v>-47</v>
      </c>
      <c r="M84" s="1"/>
      <c r="N84" s="5">
        <f t="shared" ref="N84:N86" si="64">IF(H84=0,0,L84/H84)</f>
        <v>-0.47</v>
      </c>
      <c r="O84" s="13"/>
      <c r="P84" s="1">
        <f>SUM(OSRRefP22_12x_0)</f>
        <v>631.04999999999995</v>
      </c>
      <c r="Q84" s="1"/>
      <c r="R84" s="5">
        <f t="shared" ref="R84:R86" si="65">IF(P$12=0,0,P84/P$12)</f>
        <v>2.961018997819061E-2</v>
      </c>
      <c r="S84" s="1"/>
      <c r="T84" s="1">
        <f>SUM(OSRRefT22_12x_0)</f>
        <v>1100</v>
      </c>
      <c r="U84" s="1"/>
      <c r="V84" s="5">
        <f t="shared" ref="V84:V86" si="66">IF(T$12=0,0,T84/T$12)</f>
        <v>6.8437752753064147E-3</v>
      </c>
      <c r="W84" s="1"/>
      <c r="X84" s="1">
        <f t="shared" ref="X84:X86" si="67">+P84-T84</f>
        <v>-468.95000000000005</v>
      </c>
      <c r="Y84" s="1"/>
      <c r="Z84" s="5">
        <f t="shared" ref="Z84:Z86" si="68">IF(T84=0,0,X84/T84)</f>
        <v>-0.42631818181818187</v>
      </c>
    </row>
    <row r="85" spans="1:26" s="24" customFormat="1" hidden="1" outlineLevel="2" x14ac:dyDescent="0.25">
      <c r="A85" s="25"/>
      <c r="B85" s="11" t="str">
        <f>CONCATENATE("          ", "6303", " - ", "DATA PHONE LINES")</f>
        <v xml:space="preserve">          6303 - DATA PHONE LINES</v>
      </c>
      <c r="C85" s="11"/>
      <c r="D85" s="7"/>
      <c r="E85" s="2"/>
      <c r="F85" s="6">
        <f t="shared" si="61"/>
        <v>0</v>
      </c>
      <c r="G85" s="2"/>
      <c r="H85" s="7">
        <v>100</v>
      </c>
      <c r="I85" s="2"/>
      <c r="J85" s="6">
        <f t="shared" si="62"/>
        <v>1.2198097096852892E-2</v>
      </c>
      <c r="K85" s="2"/>
      <c r="L85" s="7">
        <f t="shared" si="63"/>
        <v>-100</v>
      </c>
      <c r="M85" s="2"/>
      <c r="N85" s="6">
        <f t="shared" si="64"/>
        <v>-1</v>
      </c>
      <c r="O85" s="11"/>
      <c r="P85" s="7"/>
      <c r="Q85" s="2"/>
      <c r="R85" s="6">
        <f t="shared" si="65"/>
        <v>0</v>
      </c>
      <c r="S85" s="2"/>
      <c r="T85" s="7">
        <v>1100</v>
      </c>
      <c r="U85" s="2"/>
      <c r="V85" s="6">
        <f t="shared" si="66"/>
        <v>6.8437752753064147E-3</v>
      </c>
      <c r="W85" s="2"/>
      <c r="X85" s="7">
        <f t="shared" si="67"/>
        <v>-1100</v>
      </c>
      <c r="Y85" s="2"/>
      <c r="Z85" s="6">
        <f t="shared" si="68"/>
        <v>-1</v>
      </c>
    </row>
    <row r="86" spans="1:26" s="24" customFormat="1" hidden="1" outlineLevel="2" x14ac:dyDescent="0.25">
      <c r="A86" s="25"/>
      <c r="B86" s="11" t="str">
        <f>CONCATENATE("          ", "6309", " - ", "TELEPHONE")</f>
        <v xml:space="preserve">          6309 - TELEPHONE</v>
      </c>
      <c r="C86" s="11"/>
      <c r="D86" s="7">
        <v>53</v>
      </c>
      <c r="E86" s="2"/>
      <c r="F86" s="6">
        <f t="shared" si="61"/>
        <v>0</v>
      </c>
      <c r="G86" s="2"/>
      <c r="H86" s="7"/>
      <c r="I86" s="2"/>
      <c r="J86" s="6">
        <f t="shared" si="62"/>
        <v>0</v>
      </c>
      <c r="K86" s="2"/>
      <c r="L86" s="7">
        <f t="shared" si="63"/>
        <v>53</v>
      </c>
      <c r="M86" s="2"/>
      <c r="N86" s="6">
        <f t="shared" si="64"/>
        <v>0</v>
      </c>
      <c r="O86" s="11"/>
      <c r="P86" s="7">
        <v>631.04999999999995</v>
      </c>
      <c r="Q86" s="2"/>
      <c r="R86" s="6">
        <f t="shared" si="65"/>
        <v>2.961018997819061E-2</v>
      </c>
      <c r="S86" s="2"/>
      <c r="T86" s="7"/>
      <c r="U86" s="2"/>
      <c r="V86" s="6">
        <f t="shared" si="66"/>
        <v>0</v>
      </c>
      <c r="W86" s="2"/>
      <c r="X86" s="7">
        <f t="shared" si="67"/>
        <v>631.04999999999995</v>
      </c>
      <c r="Y86" s="2"/>
      <c r="Z86" s="6">
        <f t="shared" si="68"/>
        <v>0</v>
      </c>
    </row>
    <row r="87" spans="1:26" s="27" customFormat="1" outlineLevel="1" collapsed="1" x14ac:dyDescent="0.25">
      <c r="A87" s="26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SUM(OSRRefD22_13x_0)</f>
        <v>0</v>
      </c>
      <c r="E87" s="1"/>
      <c r="F87" s="5">
        <f t="shared" ref="F87:F88" si="69">IF(D$12=0,0,D87/D$12)</f>
        <v>0</v>
      </c>
      <c r="G87" s="1"/>
      <c r="H87" s="1">
        <f>SUM(OSRRefH22_13x_0)</f>
        <v>0</v>
      </c>
      <c r="I87" s="1"/>
      <c r="J87" s="5">
        <f t="shared" ref="J87:J88" si="70">IF(H$12=0,0,H87/H$12)</f>
        <v>0</v>
      </c>
      <c r="K87" s="1"/>
      <c r="L87" s="1">
        <f t="shared" ref="L87:L88" si="71">+D87-H87</f>
        <v>0</v>
      </c>
      <c r="M87" s="1"/>
      <c r="N87" s="5">
        <f t="shared" ref="N87:N88" si="72">IF(H87=0,0,L87/H87)</f>
        <v>0</v>
      </c>
      <c r="O87" s="13"/>
      <c r="P87" s="1">
        <f>SUM(OSRRefP22_13x_0)</f>
        <v>14</v>
      </c>
      <c r="Q87" s="1"/>
      <c r="R87" s="5">
        <f t="shared" ref="R87:R88" si="73">IF(P$12=0,0,P87/P$12)</f>
        <v>6.5690937278293094E-4</v>
      </c>
      <c r="S87" s="1"/>
      <c r="T87" s="1">
        <f>SUM(OSRRefT22_13x_0)</f>
        <v>120</v>
      </c>
      <c r="U87" s="1"/>
      <c r="V87" s="5">
        <f t="shared" ref="V87:V88" si="74">IF(T$12=0,0,T87/T$12)</f>
        <v>7.4659366639706344E-4</v>
      </c>
      <c r="W87" s="1"/>
      <c r="X87" s="1">
        <f t="shared" ref="X87:X88" si="75">+P87-T87</f>
        <v>-106</v>
      </c>
      <c r="Y87" s="1"/>
      <c r="Z87" s="5">
        <f t="shared" ref="Z87:Z88" si="76">IF(T87=0,0,X87/T87)</f>
        <v>-0.8833333333333333</v>
      </c>
    </row>
    <row r="88" spans="1:26" s="24" customFormat="1" hidden="1" outlineLevel="2" x14ac:dyDescent="0.25">
      <c r="A88" s="25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69"/>
        <v>0</v>
      </c>
      <c r="G88" s="2"/>
      <c r="H88" s="7"/>
      <c r="I88" s="2"/>
      <c r="J88" s="6">
        <f t="shared" si="70"/>
        <v>0</v>
      </c>
      <c r="K88" s="2"/>
      <c r="L88" s="7">
        <f t="shared" si="71"/>
        <v>0</v>
      </c>
      <c r="M88" s="2"/>
      <c r="N88" s="6">
        <f t="shared" si="72"/>
        <v>0</v>
      </c>
      <c r="O88" s="11"/>
      <c r="P88" s="7">
        <v>14</v>
      </c>
      <c r="Q88" s="2"/>
      <c r="R88" s="6">
        <f t="shared" si="73"/>
        <v>6.5690937278293094E-4</v>
      </c>
      <c r="S88" s="2"/>
      <c r="T88" s="7">
        <v>120</v>
      </c>
      <c r="U88" s="2"/>
      <c r="V88" s="6">
        <f t="shared" si="74"/>
        <v>7.4659366639706344E-4</v>
      </c>
      <c r="W88" s="2"/>
      <c r="X88" s="7">
        <f t="shared" si="75"/>
        <v>-106</v>
      </c>
      <c r="Y88" s="2"/>
      <c r="Z88" s="6">
        <f t="shared" si="76"/>
        <v>-0.8833333333333333</v>
      </c>
    </row>
    <row r="89" spans="1:26" s="56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9" t="s">
        <v>293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8" t="s">
        <v>277</v>
      </c>
      <c r="C92" s="28"/>
      <c r="D92" s="20">
        <f>+D35-D37+D90</f>
        <v>-81.53</v>
      </c>
      <c r="E92" s="14"/>
      <c r="F92" s="21">
        <f>IF(D$12=0,0,D92/D$12)</f>
        <v>0</v>
      </c>
      <c r="G92" s="14"/>
      <c r="H92" s="20">
        <f>+H35-H37+H90</f>
        <v>-7101.1557099999991</v>
      </c>
      <c r="I92" s="14"/>
      <c r="J92" s="21">
        <f>IF(H$12=0,0,H92/H$12)</f>
        <v>-0.8662058685045132</v>
      </c>
      <c r="K92" s="15"/>
      <c r="L92" s="20">
        <f>+D92-H92</f>
        <v>7019.6257099999993</v>
      </c>
      <c r="M92" s="15"/>
      <c r="N92" s="21">
        <f>IF(H92=0,0,L92/H92)</f>
        <v>-0.98851877027774682</v>
      </c>
      <c r="O92" s="29"/>
      <c r="P92" s="20">
        <f>+P35-P37+P90</f>
        <v>-5263.4599999999919</v>
      </c>
      <c r="Q92" s="14"/>
      <c r="R92" s="21">
        <f>IF(P$12=0,0,P92/P$12)</f>
        <v>-0.24697258623343143</v>
      </c>
      <c r="S92" s="14"/>
      <c r="T92" s="20">
        <f>+T35-T37+T90</f>
        <v>-66189.317424000008</v>
      </c>
      <c r="U92" s="14"/>
      <c r="V92" s="21">
        <f>IF(T$12=0,0,T92/T$12)</f>
        <v>-0.41180437643252665</v>
      </c>
      <c r="W92" s="15"/>
      <c r="X92" s="20">
        <f>+P92-T92</f>
        <v>60925.857424000016</v>
      </c>
      <c r="Y92" s="15"/>
      <c r="Z92" s="21">
        <f>IF(T92=0,0,X92/T92)</f>
        <v>-0.92047870857644654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128</v>
      </c>
      <c r="C94" s="10"/>
      <c r="D94" s="4">
        <v>95.62</v>
      </c>
      <c r="E94" s="4"/>
      <c r="F94" s="12">
        <f>IF(D$12=0,0,D94/D$12)</f>
        <v>0</v>
      </c>
      <c r="G94" s="4"/>
      <c r="H94" s="4">
        <v>709</v>
      </c>
      <c r="I94" s="4"/>
      <c r="J94" s="12">
        <f>IF(H$12=0,0,H94/H$12)</f>
        <v>8.6484508416686992E-2</v>
      </c>
      <c r="K94" s="4"/>
      <c r="L94" s="4">
        <f>+D94-H94</f>
        <v>-613.38</v>
      </c>
      <c r="M94" s="4"/>
      <c r="N94" s="12">
        <f>IF(H94=0,0,L94/H94)</f>
        <v>-0.86513399153737658</v>
      </c>
      <c r="O94" s="10"/>
      <c r="P94" s="4">
        <v>4554.16</v>
      </c>
      <c r="Q94" s="4"/>
      <c r="R94" s="12">
        <f>IF(P$12=0,0,P94/P$12)</f>
        <v>0.21369074208236519</v>
      </c>
      <c r="S94" s="4"/>
      <c r="T94" s="4">
        <v>29824</v>
      </c>
      <c r="U94" s="4"/>
      <c r="V94" s="12">
        <f>IF(T$12=0,0,T94/T$12)</f>
        <v>0.18555341255521682</v>
      </c>
      <c r="W94" s="4"/>
      <c r="X94" s="4">
        <f>+P94-T94</f>
        <v>-25269.84</v>
      </c>
      <c r="Y94" s="4"/>
      <c r="Z94" s="12">
        <f>IF(T94=0,0,X94/T94)</f>
        <v>-0.84729881974248933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126</v>
      </c>
      <c r="C96" s="28"/>
      <c r="D96" s="35">
        <f>+D92-D94</f>
        <v>-177.15</v>
      </c>
      <c r="E96" s="14"/>
      <c r="F96" s="34">
        <f>IF(D$12=0,0,D96/D$12)</f>
        <v>0</v>
      </c>
      <c r="G96" s="14"/>
      <c r="H96" s="35">
        <f>+H92-H94</f>
        <v>-7810.1557099999991</v>
      </c>
      <c r="I96" s="14"/>
      <c r="J96" s="34">
        <f>IF(H$12=0,0,H96/H$12)</f>
        <v>-0.95269037692120018</v>
      </c>
      <c r="K96" s="15"/>
      <c r="L96" s="35">
        <f>D96-H96</f>
        <v>7633.0057099999995</v>
      </c>
      <c r="M96" s="15"/>
      <c r="N96" s="34">
        <f>IF(H96=0,0,L96/H96)</f>
        <v>-0.97731799383036888</v>
      </c>
      <c r="O96" s="29"/>
      <c r="P96" s="35">
        <f>+P92-P94</f>
        <v>-9817.6199999999917</v>
      </c>
      <c r="Q96" s="14"/>
      <c r="R96" s="34">
        <f>IF(P$12=0,0,P96/P$12)</f>
        <v>-0.46066332831579665</v>
      </c>
      <c r="S96" s="14"/>
      <c r="T96" s="35">
        <f>+T92-T94</f>
        <v>-96013.317424000008</v>
      </c>
      <c r="U96" s="14"/>
      <c r="V96" s="34">
        <f>IF(T$12=0,0,T96/T$12)</f>
        <v>-0.5973577889877435</v>
      </c>
      <c r="W96" s="15"/>
      <c r="X96" s="35">
        <f>P96-T96</f>
        <v>86195.697424000013</v>
      </c>
      <c r="Y96" s="15"/>
      <c r="Z96" s="34">
        <f>IF(T96=0,0,X96/T96)</f>
        <v>-0.89774730981698248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294</v>
      </c>
      <c r="C99" s="28"/>
      <c r="D99" s="33">
        <f>SUM(D96:D98)</f>
        <v>-177.15</v>
      </c>
      <c r="E99" s="14"/>
      <c r="F99" s="32">
        <f>IF(D$12=0,0,D99/D$12)</f>
        <v>0</v>
      </c>
      <c r="G99" s="14"/>
      <c r="H99" s="33">
        <f>SUM(H96:H98)</f>
        <v>-7810.1557099999991</v>
      </c>
      <c r="I99" s="14"/>
      <c r="J99" s="32">
        <f>IF(H$12=0,0,H99/H$12)</f>
        <v>-0.95269037692120018</v>
      </c>
      <c r="K99" s="15"/>
      <c r="L99" s="33">
        <f>+D99-H99</f>
        <v>7633.0057099999995</v>
      </c>
      <c r="M99" s="15"/>
      <c r="N99" s="32">
        <f>IF(H99=0,0,L99/H99)</f>
        <v>-0.97731799383036888</v>
      </c>
      <c r="O99" s="29"/>
      <c r="P99" s="33">
        <f>SUM(P96:P98)</f>
        <v>-9817.6199999999917</v>
      </c>
      <c r="Q99" s="14"/>
      <c r="R99" s="32">
        <f>IF(P$12=0,0,P99/P$12)</f>
        <v>-0.46066332831579665</v>
      </c>
      <c r="S99" s="14"/>
      <c r="T99" s="33">
        <f>SUM(T96:T98)</f>
        <v>-96013.317424000008</v>
      </c>
      <c r="U99" s="14"/>
      <c r="V99" s="32">
        <f>IF(T$12=0,0,T99/T$12)</f>
        <v>-0.5973577889877435</v>
      </c>
      <c r="W99" s="15"/>
      <c r="X99" s="33">
        <f>+P99-T99</f>
        <v>86195.697424000013</v>
      </c>
      <c r="Y99" s="15"/>
      <c r="Z99" s="32">
        <f>IF(T99=0,0,X99/T99)</f>
        <v>-0.89774730981698248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60">
        <v>44356.891834571761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5" t="s">
        <v>56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63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63693.889999999985</v>
      </c>
      <c r="E12" s="4"/>
      <c r="F12" s="12"/>
      <c r="G12" s="4"/>
      <c r="H12" s="4">
        <f>SUM(OSRRefH13x_0)</f>
        <v>60418</v>
      </c>
      <c r="I12" s="4"/>
      <c r="J12" s="12"/>
      <c r="K12" s="4"/>
      <c r="L12" s="4">
        <f t="shared" ref="L12:L35" si="0">+D12-H12</f>
        <v>3275.8899999999849</v>
      </c>
      <c r="M12" s="4"/>
      <c r="N12" s="12">
        <f t="shared" ref="N12:N35" si="1">IF(H12=0,0,L12/H12)</f>
        <v>5.4220430997384633E-2</v>
      </c>
      <c r="O12" s="10"/>
      <c r="P12" s="4">
        <f>SUM(OSRRefP13x_0)</f>
        <v>2743330.4099999997</v>
      </c>
      <c r="Q12" s="4"/>
      <c r="R12" s="12"/>
      <c r="S12" s="4"/>
      <c r="T12" s="4">
        <f>SUM(OSRRefT13x_0)</f>
        <v>4455272</v>
      </c>
      <c r="U12" s="4"/>
      <c r="V12" s="12"/>
      <c r="W12" s="4"/>
      <c r="X12" s="4">
        <f t="shared" ref="X12:X35" si="2">+P12-T12</f>
        <v>-1711941.5900000003</v>
      </c>
      <c r="Y12" s="4"/>
      <c r="Z12" s="12">
        <f t="shared" ref="Z12:Z35" si="3">IF(T12=0,0,X12/T12)</f>
        <v>-0.38425074608239412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-701.64</f>
        <v>-701.64</v>
      </c>
      <c r="E13" s="2"/>
      <c r="F13" s="19"/>
      <c r="G13" s="2"/>
      <c r="H13" s="2">
        <v>60418</v>
      </c>
      <c r="I13" s="2"/>
      <c r="J13" s="19"/>
      <c r="K13" s="2"/>
      <c r="L13" s="2">
        <f t="shared" si="0"/>
        <v>-61119.64</v>
      </c>
      <c r="M13" s="2"/>
      <c r="N13" s="19">
        <f t="shared" si="1"/>
        <v>-1.0116130954351352</v>
      </c>
      <c r="O13" s="11"/>
      <c r="P13" s="2">
        <f>-9280.36</f>
        <v>-9280.36</v>
      </c>
      <c r="Q13" s="2"/>
      <c r="R13" s="19"/>
      <c r="S13" s="2"/>
      <c r="T13" s="2">
        <v>4455272</v>
      </c>
      <c r="U13" s="2"/>
      <c r="V13" s="19"/>
      <c r="W13" s="2"/>
      <c r="X13" s="2">
        <f t="shared" si="2"/>
        <v>-4464552.3600000003</v>
      </c>
      <c r="Y13" s="2"/>
      <c r="Z13" s="19">
        <f t="shared" si="3"/>
        <v>-1.0020830063798574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--35278.2</f>
        <v>35278.199999999997</v>
      </c>
      <c r="E14" s="2"/>
      <c r="F14" s="19"/>
      <c r="G14" s="2"/>
      <c r="H14" s="2"/>
      <c r="I14" s="2"/>
      <c r="J14" s="19"/>
      <c r="K14" s="2"/>
      <c r="L14" s="2">
        <f t="shared" si="0"/>
        <v>35278.199999999997</v>
      </c>
      <c r="M14" s="2"/>
      <c r="N14" s="19">
        <f t="shared" si="1"/>
        <v>0</v>
      </c>
      <c r="O14" s="11"/>
      <c r="P14" s="2">
        <f>--1299088.56</f>
        <v>1299088.56</v>
      </c>
      <c r="Q14" s="2"/>
      <c r="R14" s="19"/>
      <c r="S14" s="2"/>
      <c r="T14" s="2"/>
      <c r="U14" s="2"/>
      <c r="V14" s="19"/>
      <c r="W14" s="2"/>
      <c r="X14" s="2">
        <f t="shared" si="2"/>
        <v>1299088.56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--11501.84</f>
        <v>11501.84</v>
      </c>
      <c r="E15" s="2"/>
      <c r="F15" s="19"/>
      <c r="G15" s="2"/>
      <c r="H15" s="2"/>
      <c r="I15" s="2"/>
      <c r="J15" s="19"/>
      <c r="K15" s="2"/>
      <c r="L15" s="2">
        <f t="shared" si="0"/>
        <v>11501.84</v>
      </c>
      <c r="M15" s="2"/>
      <c r="N15" s="19">
        <f t="shared" si="1"/>
        <v>0</v>
      </c>
      <c r="O15" s="11"/>
      <c r="P15" s="2">
        <f>--590270.47</f>
        <v>590270.47</v>
      </c>
      <c r="Q15" s="2"/>
      <c r="R15" s="19"/>
      <c r="S15" s="2"/>
      <c r="T15" s="2"/>
      <c r="U15" s="2"/>
      <c r="V15" s="19"/>
      <c r="W15" s="2"/>
      <c r="X15" s="2">
        <f t="shared" si="2"/>
        <v>590270.47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--494.96</f>
        <v>494.96</v>
      </c>
      <c r="E16" s="2"/>
      <c r="F16" s="19"/>
      <c r="G16" s="2"/>
      <c r="H16" s="2"/>
      <c r="I16" s="2"/>
      <c r="J16" s="19"/>
      <c r="K16" s="2"/>
      <c r="L16" s="2">
        <f t="shared" si="0"/>
        <v>494.96</v>
      </c>
      <c r="M16" s="2"/>
      <c r="N16" s="19">
        <f t="shared" si="1"/>
        <v>0</v>
      </c>
      <c r="O16" s="11"/>
      <c r="P16" s="2">
        <f>--18492.84</f>
        <v>18492.84</v>
      </c>
      <c r="Q16" s="2"/>
      <c r="R16" s="19"/>
      <c r="S16" s="2"/>
      <c r="T16" s="2"/>
      <c r="U16" s="2"/>
      <c r="V16" s="19"/>
      <c r="W16" s="2"/>
      <c r="X16" s="2">
        <f t="shared" si="2"/>
        <v>18492.84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--61.96</f>
        <v>61.96</v>
      </c>
      <c r="E18" s="2"/>
      <c r="F18" s="19"/>
      <c r="G18" s="2"/>
      <c r="H18" s="2"/>
      <c r="I18" s="2"/>
      <c r="J18" s="19"/>
      <c r="K18" s="2"/>
      <c r="L18" s="2">
        <f t="shared" si="0"/>
        <v>61.96</v>
      </c>
      <c r="M18" s="2"/>
      <c r="N18" s="19">
        <f t="shared" si="1"/>
        <v>0</v>
      </c>
      <c r="O18" s="11"/>
      <c r="P18" s="2">
        <f>--1325.79</f>
        <v>1325.79</v>
      </c>
      <c r="Q18" s="2"/>
      <c r="R18" s="19"/>
      <c r="S18" s="2"/>
      <c r="T18" s="2"/>
      <c r="U18" s="2"/>
      <c r="V18" s="19"/>
      <c r="W18" s="2"/>
      <c r="X18" s="2">
        <f t="shared" si="2"/>
        <v>1325.79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--31.17</f>
        <v>31.17</v>
      </c>
      <c r="E19" s="2"/>
      <c r="F19" s="19"/>
      <c r="G19" s="2"/>
      <c r="H19" s="2"/>
      <c r="I19" s="2"/>
      <c r="J19" s="19"/>
      <c r="K19" s="2"/>
      <c r="L19" s="2">
        <f t="shared" si="0"/>
        <v>31.17</v>
      </c>
      <c r="M19" s="2"/>
      <c r="N19" s="19">
        <f t="shared" si="1"/>
        <v>0</v>
      </c>
      <c r="O19" s="11"/>
      <c r="P19" s="2">
        <f>--515.72</f>
        <v>515.72</v>
      </c>
      <c r="Q19" s="2"/>
      <c r="R19" s="19"/>
      <c r="S19" s="2"/>
      <c r="T19" s="2"/>
      <c r="U19" s="2"/>
      <c r="V19" s="19"/>
      <c r="W19" s="2"/>
      <c r="X19" s="2">
        <f t="shared" si="2"/>
        <v>515.72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--35.38</f>
        <v>35.380000000000003</v>
      </c>
      <c r="E20" s="2"/>
      <c r="F20" s="19"/>
      <c r="G20" s="2"/>
      <c r="H20" s="2"/>
      <c r="I20" s="2"/>
      <c r="J20" s="19"/>
      <c r="K20" s="2"/>
      <c r="L20" s="2">
        <f t="shared" si="0"/>
        <v>35.380000000000003</v>
      </c>
      <c r="M20" s="2"/>
      <c r="N20" s="19">
        <f t="shared" si="1"/>
        <v>0</v>
      </c>
      <c r="O20" s="11"/>
      <c r="P20" s="2">
        <f>--508.48</f>
        <v>508.48</v>
      </c>
      <c r="Q20" s="2"/>
      <c r="R20" s="19"/>
      <c r="S20" s="2"/>
      <c r="T20" s="2"/>
      <c r="U20" s="2"/>
      <c r="V20" s="19"/>
      <c r="W20" s="2"/>
      <c r="X20" s="2">
        <f t="shared" si="2"/>
        <v>508.48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--3546.21</f>
        <v>3546.21</v>
      </c>
      <c r="E21" s="2"/>
      <c r="F21" s="19"/>
      <c r="G21" s="2"/>
      <c r="H21" s="2"/>
      <c r="I21" s="2"/>
      <c r="J21" s="19"/>
      <c r="K21" s="2"/>
      <c r="L21" s="2">
        <f t="shared" si="0"/>
        <v>3546.21</v>
      </c>
      <c r="M21" s="2"/>
      <c r="N21" s="19">
        <f t="shared" si="1"/>
        <v>0</v>
      </c>
      <c r="O21" s="11"/>
      <c r="P21" s="2">
        <f>--277384.98</f>
        <v>277384.98</v>
      </c>
      <c r="Q21" s="2"/>
      <c r="R21" s="19"/>
      <c r="S21" s="2"/>
      <c r="T21" s="2"/>
      <c r="U21" s="2"/>
      <c r="V21" s="19"/>
      <c r="W21" s="2"/>
      <c r="X21" s="2">
        <f t="shared" si="2"/>
        <v>277384.98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--6450.33</f>
        <v>6450.33</v>
      </c>
      <c r="E22" s="2"/>
      <c r="F22" s="19"/>
      <c r="G22" s="2"/>
      <c r="H22" s="2"/>
      <c r="I22" s="2"/>
      <c r="J22" s="19"/>
      <c r="K22" s="2"/>
      <c r="L22" s="2">
        <f t="shared" si="0"/>
        <v>6450.33</v>
      </c>
      <c r="M22" s="2"/>
      <c r="N22" s="19">
        <f t="shared" si="1"/>
        <v>0</v>
      </c>
      <c r="O22" s="11"/>
      <c r="P22" s="2">
        <f>--119247.07</f>
        <v>119247.07</v>
      </c>
      <c r="Q22" s="2"/>
      <c r="R22" s="19"/>
      <c r="S22" s="2"/>
      <c r="T22" s="2"/>
      <c r="U22" s="2"/>
      <c r="V22" s="19"/>
      <c r="W22" s="2"/>
      <c r="X22" s="2">
        <f t="shared" si="2"/>
        <v>119247.07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--2343.31</f>
        <v>2343.31</v>
      </c>
      <c r="E23" s="2"/>
      <c r="F23" s="19"/>
      <c r="G23" s="2"/>
      <c r="H23" s="2"/>
      <c r="I23" s="2"/>
      <c r="J23" s="19"/>
      <c r="K23" s="2"/>
      <c r="L23" s="2">
        <f t="shared" si="0"/>
        <v>2343.31</v>
      </c>
      <c r="M23" s="2"/>
      <c r="N23" s="19">
        <f t="shared" si="1"/>
        <v>0</v>
      </c>
      <c r="O23" s="11"/>
      <c r="P23" s="2">
        <f>--51046.73</f>
        <v>51046.73</v>
      </c>
      <c r="Q23" s="2"/>
      <c r="R23" s="19"/>
      <c r="S23" s="2"/>
      <c r="T23" s="2"/>
      <c r="U23" s="2"/>
      <c r="V23" s="19"/>
      <c r="W23" s="2"/>
      <c r="X23" s="2">
        <f t="shared" si="2"/>
        <v>51046.73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--1138.95</f>
        <v>1138.95</v>
      </c>
      <c r="Q24" s="2"/>
      <c r="R24" s="19"/>
      <c r="S24" s="2"/>
      <c r="T24" s="2"/>
      <c r="U24" s="2"/>
      <c r="V24" s="19"/>
      <c r="W24" s="2"/>
      <c r="X24" s="2">
        <f t="shared" si="2"/>
        <v>1138.95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--10484.56</f>
        <v>10484.56</v>
      </c>
      <c r="E25" s="2"/>
      <c r="F25" s="19"/>
      <c r="G25" s="2"/>
      <c r="H25" s="2"/>
      <c r="I25" s="2"/>
      <c r="J25" s="19"/>
      <c r="K25" s="2"/>
      <c r="L25" s="2">
        <f t="shared" si="0"/>
        <v>10484.56</v>
      </c>
      <c r="M25" s="2"/>
      <c r="N25" s="19">
        <f t="shared" si="1"/>
        <v>0</v>
      </c>
      <c r="O25" s="11"/>
      <c r="P25" s="2">
        <f>--490887.73</f>
        <v>490887.73</v>
      </c>
      <c r="Q25" s="2"/>
      <c r="R25" s="19"/>
      <c r="S25" s="2"/>
      <c r="T25" s="2"/>
      <c r="U25" s="2"/>
      <c r="V25" s="19"/>
      <c r="W25" s="2"/>
      <c r="X25" s="2">
        <f t="shared" si="2"/>
        <v>490887.73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 t="shared" ref="D26:D27" si="4"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--12127.25</f>
        <v>12127.25</v>
      </c>
      <c r="Q26" s="2"/>
      <c r="R26" s="19"/>
      <c r="S26" s="2"/>
      <c r="T26" s="2"/>
      <c r="U26" s="2"/>
      <c r="V26" s="19"/>
      <c r="W26" s="2"/>
      <c r="X26" s="2">
        <f t="shared" si="2"/>
        <v>12127.25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 t="shared" si="4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--771.73</f>
        <v>771.73</v>
      </c>
      <c r="Q27" s="2"/>
      <c r="R27" s="19"/>
      <c r="S27" s="2"/>
      <c r="T27" s="2"/>
      <c r="U27" s="2"/>
      <c r="V27" s="19"/>
      <c r="W27" s="2"/>
      <c r="X27" s="2">
        <f t="shared" si="2"/>
        <v>771.73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-658.4</f>
        <v>-658.4</v>
      </c>
      <c r="E28" s="2"/>
      <c r="F28" s="19"/>
      <c r="G28" s="2"/>
      <c r="H28" s="2"/>
      <c r="I28" s="2"/>
      <c r="J28" s="19"/>
      <c r="K28" s="2"/>
      <c r="L28" s="2">
        <f t="shared" si="0"/>
        <v>-658.4</v>
      </c>
      <c r="M28" s="2"/>
      <c r="N28" s="19">
        <f t="shared" si="1"/>
        <v>0</v>
      </c>
      <c r="O28" s="11"/>
      <c r="P28" s="2">
        <f>-52296.42</f>
        <v>-52296.42</v>
      </c>
      <c r="Q28" s="2"/>
      <c r="R28" s="19"/>
      <c r="S28" s="2"/>
      <c r="T28" s="2"/>
      <c r="U28" s="2"/>
      <c r="V28" s="19"/>
      <c r="W28" s="2"/>
      <c r="X28" s="2">
        <f t="shared" si="2"/>
        <v>-52296.42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-359.4</f>
        <v>-359.4</v>
      </c>
      <c r="E29" s="2"/>
      <c r="F29" s="19"/>
      <c r="G29" s="2"/>
      <c r="H29" s="2"/>
      <c r="I29" s="2"/>
      <c r="J29" s="19"/>
      <c r="K29" s="2"/>
      <c r="L29" s="2">
        <f t="shared" si="0"/>
        <v>-359.4</v>
      </c>
      <c r="M29" s="2"/>
      <c r="N29" s="19">
        <f t="shared" si="1"/>
        <v>0</v>
      </c>
      <c r="O29" s="11"/>
      <c r="P29" s="2">
        <f>-20455.66</f>
        <v>-20455.66</v>
      </c>
      <c r="Q29" s="2"/>
      <c r="R29" s="19"/>
      <c r="S29" s="2"/>
      <c r="T29" s="2"/>
      <c r="U29" s="2"/>
      <c r="V29" s="19"/>
      <c r="W29" s="2"/>
      <c r="X29" s="2">
        <f t="shared" si="2"/>
        <v>-20455.66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"4204", " - ", "SALES RETURN TAXABLE-DIGITAL T")</f>
        <v xml:space="preserve">          4204 - SALES RETURN TAXABLE-DIGITAL T</v>
      </c>
      <c r="C30" s="11"/>
      <c r="D30" s="2">
        <f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-1763.1</f>
        <v>-1763.1</v>
      </c>
      <c r="Q30" s="2"/>
      <c r="R30" s="19"/>
      <c r="S30" s="2"/>
      <c r="T30" s="2"/>
      <c r="U30" s="2"/>
      <c r="V30" s="19"/>
      <c r="W30" s="2"/>
      <c r="X30" s="2">
        <f t="shared" si="2"/>
        <v>-1763.1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"4213", " - ", "NON-TAXABLE SALES-TRADE BOOKS")</f>
        <v xml:space="preserve">          4213 - NON-TAXABLE SALES-TRADE BOOKS</v>
      </c>
      <c r="C31" s="11"/>
      <c r="D31" s="2">
        <f>-8.99</f>
        <v>-8.99</v>
      </c>
      <c r="E31" s="2"/>
      <c r="F31" s="19"/>
      <c r="G31" s="2"/>
      <c r="H31" s="2"/>
      <c r="I31" s="2"/>
      <c r="J31" s="19"/>
      <c r="K31" s="2"/>
      <c r="L31" s="2">
        <f t="shared" si="0"/>
        <v>-8.99</v>
      </c>
      <c r="M31" s="2"/>
      <c r="N31" s="19">
        <f t="shared" si="1"/>
        <v>0</v>
      </c>
      <c r="O31" s="11"/>
      <c r="P31" s="2">
        <f>-78.92</f>
        <v>-78.92</v>
      </c>
      <c r="Q31" s="2"/>
      <c r="R31" s="19"/>
      <c r="S31" s="2"/>
      <c r="T31" s="2"/>
      <c r="U31" s="2"/>
      <c r="V31" s="19"/>
      <c r="W31" s="2"/>
      <c r="X31" s="2">
        <f t="shared" si="2"/>
        <v>-78.92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"4218", " - ", "SALES RETURN TAXABLE-STUDY GUI")</f>
        <v xml:space="preserve">          4218 - SALES RETURN TAXABLE-STUDY GUI</v>
      </c>
      <c r="C32" s="11"/>
      <c r="D32" s="2">
        <f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-5.21</f>
        <v>-5.21</v>
      </c>
      <c r="Q32" s="2"/>
      <c r="R32" s="19"/>
      <c r="S32" s="2"/>
      <c r="T32" s="2"/>
      <c r="U32" s="2"/>
      <c r="V32" s="19"/>
      <c r="W32" s="2"/>
      <c r="X32" s="2">
        <f t="shared" si="2"/>
        <v>-5.21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"4301", " - ", "SALES RETURN NON TAXABLE-NEW T")</f>
        <v xml:space="preserve">          4301 - SALES RETURN NON TAXABLE-NEW T</v>
      </c>
      <c r="C33" s="11"/>
      <c r="D33" s="2">
        <f>-1333.16</f>
        <v>-1333.16</v>
      </c>
      <c r="E33" s="2"/>
      <c r="F33" s="19"/>
      <c r="G33" s="2"/>
      <c r="H33" s="2"/>
      <c r="I33" s="2"/>
      <c r="J33" s="19"/>
      <c r="K33" s="2"/>
      <c r="L33" s="2">
        <f t="shared" si="0"/>
        <v>-1333.16</v>
      </c>
      <c r="M33" s="2"/>
      <c r="N33" s="19">
        <f t="shared" si="1"/>
        <v>0</v>
      </c>
      <c r="O33" s="11"/>
      <c r="P33" s="2">
        <f>-4796.36</f>
        <v>-4796.3599999999997</v>
      </c>
      <c r="Q33" s="2"/>
      <c r="R33" s="19"/>
      <c r="S33" s="2"/>
      <c r="T33" s="2"/>
      <c r="U33" s="2"/>
      <c r="V33" s="19"/>
      <c r="W33" s="2"/>
      <c r="X33" s="2">
        <f t="shared" si="2"/>
        <v>-4796.3599999999997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"4302", " - ", "SALES RETURN NON TAXABLE-TEXT")</f>
        <v xml:space="preserve">          4302 - SALES RETURN NON TAXABLE-TEXT</v>
      </c>
      <c r="C34" s="11"/>
      <c r="D34" s="2">
        <f>-134.22</f>
        <v>-134.22</v>
      </c>
      <c r="E34" s="2"/>
      <c r="F34" s="19"/>
      <c r="G34" s="2"/>
      <c r="H34" s="2"/>
      <c r="I34" s="2"/>
      <c r="J34" s="19"/>
      <c r="K34" s="2"/>
      <c r="L34" s="2">
        <f t="shared" si="0"/>
        <v>-134.22</v>
      </c>
      <c r="M34" s="2"/>
      <c r="N34" s="19">
        <f t="shared" si="1"/>
        <v>0</v>
      </c>
      <c r="O34" s="11"/>
      <c r="P34" s="2">
        <f>-2577.54</f>
        <v>-2577.54</v>
      </c>
      <c r="Q34" s="2"/>
      <c r="R34" s="19"/>
      <c r="S34" s="2"/>
      <c r="T34" s="2"/>
      <c r="U34" s="2"/>
      <c r="V34" s="19"/>
      <c r="W34" s="2"/>
      <c r="X34" s="2">
        <f t="shared" si="2"/>
        <v>-2577.54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"4304", " - ", "SALES RETURN NON TAXABLE-DIGIT")</f>
        <v xml:space="preserve">          4304 - SALES RETURN NON TAXABLE-DIGIT</v>
      </c>
      <c r="C35" s="11"/>
      <c r="D35" s="2">
        <f>-3338.22</f>
        <v>-3338.22</v>
      </c>
      <c r="E35" s="2"/>
      <c r="F35" s="19"/>
      <c r="G35" s="2"/>
      <c r="H35" s="2"/>
      <c r="I35" s="2"/>
      <c r="J35" s="19"/>
      <c r="K35" s="2"/>
      <c r="L35" s="2">
        <f t="shared" si="0"/>
        <v>-3338.22</v>
      </c>
      <c r="M35" s="2"/>
      <c r="N35" s="19">
        <f t="shared" si="1"/>
        <v>0</v>
      </c>
      <c r="O35" s="11"/>
      <c r="P35" s="2">
        <f>-30881.98</f>
        <v>-30881.98</v>
      </c>
      <c r="Q35" s="2"/>
      <c r="R35" s="19"/>
      <c r="S35" s="2"/>
      <c r="T35" s="2"/>
      <c r="U35" s="2"/>
      <c r="V35" s="19"/>
      <c r="W35" s="2"/>
      <c r="X35" s="2">
        <f t="shared" si="2"/>
        <v>-30881.98</v>
      </c>
      <c r="Y35" s="2"/>
      <c r="Z35" s="19">
        <f t="shared" si="3"/>
        <v>0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collapsed="1" x14ac:dyDescent="0.25">
      <c r="A37" s="10"/>
      <c r="B37" s="29" t="s">
        <v>257</v>
      </c>
      <c r="C37" s="10"/>
      <c r="D37" s="4">
        <f>SUM(OSRRefD16x_0)</f>
        <v>52944.540000000008</v>
      </c>
      <c r="E37" s="4"/>
      <c r="F37" s="12">
        <f t="shared" ref="F37:F53" si="5">IF(D$12=0,0,D37/D$12)</f>
        <v>0.83123420472513176</v>
      </c>
      <c r="G37" s="4"/>
      <c r="H37" s="4">
        <f>SUM(OSRRefH16x_0)</f>
        <v>44048</v>
      </c>
      <c r="I37" s="4"/>
      <c r="J37" s="12">
        <f t="shared" ref="J37:J53" si="6">IF(H$12=0,0,H37/H$12)</f>
        <v>0.72905425535436463</v>
      </c>
      <c r="K37" s="4"/>
      <c r="L37" s="4">
        <f t="shared" ref="L37:L53" si="7">+D37-H37</f>
        <v>8896.5400000000081</v>
      </c>
      <c r="M37" s="4"/>
      <c r="N37" s="12">
        <f t="shared" ref="N37:N53" si="8">IF(H37=0,0,L37/H37)</f>
        <v>0.20197375590265185</v>
      </c>
      <c r="O37" s="10"/>
      <c r="P37" s="4">
        <f>SUM(OSRRefP16x_0)</f>
        <v>1957463.76</v>
      </c>
      <c r="Q37" s="4"/>
      <c r="R37" s="12">
        <f t="shared" ref="R37:R53" si="9">IF(P$12=0,0,P37/P$12)</f>
        <v>0.71353554528635876</v>
      </c>
      <c r="S37" s="4"/>
      <c r="T37" s="4">
        <f>SUM(OSRRefT16x_0)</f>
        <v>3240418</v>
      </c>
      <c r="U37" s="4"/>
      <c r="V37" s="12">
        <f t="shared" ref="V37:V53" si="10">IF(T$12=0,0,T37/T$12)</f>
        <v>0.72732214778356963</v>
      </c>
      <c r="W37" s="4"/>
      <c r="X37" s="4">
        <f t="shared" ref="X37:X53" si="11">+P37-T37</f>
        <v>-1282954.24</v>
      </c>
      <c r="Y37" s="4"/>
      <c r="Z37" s="12">
        <f t="shared" ref="Z37:Z53" si="12">IF(T37=0,0,X37/T37)</f>
        <v>-0.39592245197996062</v>
      </c>
    </row>
    <row r="38" spans="1:26" s="24" customFormat="1" hidden="1" outlineLevel="1" x14ac:dyDescent="0.25">
      <c r="A38" s="44"/>
      <c r="B38" s="11" t="str">
        <f>CONCATENATE("          ", "5000", " - ", "PURCHASES @ COST")</f>
        <v xml:space="preserve">          5000 - PURCHASES @ COST</v>
      </c>
      <c r="C38" s="11"/>
      <c r="D38" s="2"/>
      <c r="E38" s="2"/>
      <c r="F38" s="19">
        <f t="shared" si="5"/>
        <v>0</v>
      </c>
      <c r="G38" s="2"/>
      <c r="H38" s="2">
        <v>44048</v>
      </c>
      <c r="I38" s="2"/>
      <c r="J38" s="19">
        <f t="shared" si="6"/>
        <v>0.72905425535436463</v>
      </c>
      <c r="K38" s="2"/>
      <c r="L38" s="2">
        <f t="shared" si="7"/>
        <v>-44048</v>
      </c>
      <c r="M38" s="2"/>
      <c r="N38" s="19">
        <f t="shared" si="8"/>
        <v>-1</v>
      </c>
      <c r="O38" s="11"/>
      <c r="P38" s="2">
        <v>0</v>
      </c>
      <c r="Q38" s="2"/>
      <c r="R38" s="19">
        <f t="shared" si="9"/>
        <v>0</v>
      </c>
      <c r="S38" s="2"/>
      <c r="T38" s="2">
        <v>3240418</v>
      </c>
      <c r="U38" s="2"/>
      <c r="V38" s="19">
        <f t="shared" si="10"/>
        <v>0.72732214778356963</v>
      </c>
      <c r="W38" s="2"/>
      <c r="X38" s="2">
        <f t="shared" si="11"/>
        <v>-3240418</v>
      </c>
      <c r="Y38" s="2"/>
      <c r="Z38" s="19">
        <f t="shared" si="12"/>
        <v>-1</v>
      </c>
    </row>
    <row r="39" spans="1:26" s="24" customFormat="1" hidden="1" outlineLevel="1" x14ac:dyDescent="0.25">
      <c r="A39" s="44"/>
      <c r="B39" s="11" t="str">
        <f>CONCATENATE("          ", "5001", " - ", "PURCHASES @ COST-NEW TEXT")</f>
        <v xml:space="preserve">          5001 - PURCHASES @ COST-NEW TEXT</v>
      </c>
      <c r="C39" s="11"/>
      <c r="D39" s="2">
        <v>65020.01</v>
      </c>
      <c r="E39" s="2"/>
      <c r="F39" s="19">
        <f t="shared" si="5"/>
        <v>1.0208202074013695</v>
      </c>
      <c r="G39" s="2"/>
      <c r="H39" s="2"/>
      <c r="I39" s="2"/>
      <c r="J39" s="19">
        <f t="shared" si="6"/>
        <v>0</v>
      </c>
      <c r="K39" s="2"/>
      <c r="L39" s="2">
        <f t="shared" si="7"/>
        <v>65020.01</v>
      </c>
      <c r="M39" s="2"/>
      <c r="N39" s="19">
        <f t="shared" si="8"/>
        <v>0</v>
      </c>
      <c r="O39" s="11"/>
      <c r="P39" s="2">
        <v>1071566.48</v>
      </c>
      <c r="Q39" s="2"/>
      <c r="R39" s="19">
        <f t="shared" si="9"/>
        <v>0.39060788160766974</v>
      </c>
      <c r="S39" s="2"/>
      <c r="T39" s="2"/>
      <c r="U39" s="2"/>
      <c r="V39" s="19">
        <f t="shared" si="10"/>
        <v>0</v>
      </c>
      <c r="W39" s="2"/>
      <c r="X39" s="2">
        <f t="shared" si="11"/>
        <v>1071566.48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"5002", " - ", "PURCHASES @ COST-USED TEXT")</f>
        <v xml:space="preserve">          5002 - PURCHASES @ COST-USED TEXT</v>
      </c>
      <c r="C40" s="11"/>
      <c r="D40" s="2">
        <v>4952.26</v>
      </c>
      <c r="E40" s="2"/>
      <c r="F40" s="19">
        <f t="shared" si="5"/>
        <v>7.7750942829838174E-2</v>
      </c>
      <c r="G40" s="2"/>
      <c r="H40" s="2"/>
      <c r="I40" s="2"/>
      <c r="J40" s="19">
        <f t="shared" si="6"/>
        <v>0</v>
      </c>
      <c r="K40" s="2"/>
      <c r="L40" s="2">
        <f t="shared" si="7"/>
        <v>4952.26</v>
      </c>
      <c r="M40" s="2"/>
      <c r="N40" s="19">
        <f t="shared" si="8"/>
        <v>0</v>
      </c>
      <c r="O40" s="11"/>
      <c r="P40" s="2">
        <v>279913.28000000003</v>
      </c>
      <c r="Q40" s="2"/>
      <c r="R40" s="19">
        <f t="shared" si="9"/>
        <v>0.10203411115907109</v>
      </c>
      <c r="S40" s="2"/>
      <c r="T40" s="2"/>
      <c r="U40" s="2"/>
      <c r="V40" s="19">
        <f t="shared" si="10"/>
        <v>0</v>
      </c>
      <c r="W40" s="2"/>
      <c r="X40" s="2">
        <f t="shared" si="11"/>
        <v>279913.28000000003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"5003", " - ", "PURCHASES @ COST-RENTAL TEXT")</f>
        <v xml:space="preserve">          5003 - PURCHASES @ COST-RENTAL TEXT</v>
      </c>
      <c r="C41" s="11"/>
      <c r="D41" s="2">
        <v>7179.56</v>
      </c>
      <c r="E41" s="2"/>
      <c r="F41" s="19">
        <f t="shared" si="5"/>
        <v>0.11271976009001809</v>
      </c>
      <c r="G41" s="2"/>
      <c r="H41" s="2"/>
      <c r="I41" s="2"/>
      <c r="J41" s="19">
        <f t="shared" si="6"/>
        <v>0</v>
      </c>
      <c r="K41" s="2"/>
      <c r="L41" s="2">
        <f t="shared" si="7"/>
        <v>7179.56</v>
      </c>
      <c r="M41" s="2"/>
      <c r="N41" s="19">
        <f t="shared" si="8"/>
        <v>0</v>
      </c>
      <c r="O41" s="11"/>
      <c r="P41" s="2">
        <v>7212.08</v>
      </c>
      <c r="Q41" s="2"/>
      <c r="R41" s="19">
        <f t="shared" si="9"/>
        <v>2.6289505535718538E-3</v>
      </c>
      <c r="S41" s="2"/>
      <c r="T41" s="2"/>
      <c r="U41" s="2"/>
      <c r="V41" s="19">
        <f t="shared" si="10"/>
        <v>0</v>
      </c>
      <c r="W41" s="2"/>
      <c r="X41" s="2">
        <f t="shared" si="11"/>
        <v>7212.08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"5004", " - ", "PURCHASES @ COST-DIGITAL TEXT")</f>
        <v xml:space="preserve">          5004 - PURCHASES @ COST-DIGITAL TEXT</v>
      </c>
      <c r="C42" s="11"/>
      <c r="D42" s="2">
        <v>-7843.95</v>
      </c>
      <c r="E42" s="2"/>
      <c r="F42" s="19">
        <f t="shared" si="5"/>
        <v>-0.12315074491446514</v>
      </c>
      <c r="G42" s="2"/>
      <c r="H42" s="2"/>
      <c r="I42" s="2"/>
      <c r="J42" s="19">
        <f t="shared" si="6"/>
        <v>0</v>
      </c>
      <c r="K42" s="2"/>
      <c r="L42" s="2">
        <f t="shared" si="7"/>
        <v>-7843.95</v>
      </c>
      <c r="M42" s="2"/>
      <c r="N42" s="19">
        <f t="shared" si="8"/>
        <v>0</v>
      </c>
      <c r="O42" s="11"/>
      <c r="P42" s="2">
        <v>199606.43</v>
      </c>
      <c r="Q42" s="2"/>
      <c r="R42" s="19">
        <f t="shared" si="9"/>
        <v>7.2760623099716232E-2</v>
      </c>
      <c r="S42" s="2"/>
      <c r="T42" s="2"/>
      <c r="U42" s="2"/>
      <c r="V42" s="19">
        <f t="shared" si="10"/>
        <v>0</v>
      </c>
      <c r="W42" s="2"/>
      <c r="X42" s="2">
        <f t="shared" si="11"/>
        <v>199606.43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"5011", " - ", "PURCHASES @ COST-NO VALUE TEXT")</f>
        <v xml:space="preserve">          5011 - PURCHASES @ COST-NO VALUE TEXT</v>
      </c>
      <c r="C43" s="11"/>
      <c r="D43" s="2"/>
      <c r="E43" s="2"/>
      <c r="F43" s="19">
        <f t="shared" si="5"/>
        <v>0</v>
      </c>
      <c r="G43" s="2"/>
      <c r="H43" s="2"/>
      <c r="I43" s="2"/>
      <c r="J43" s="19">
        <f t="shared" si="6"/>
        <v>0</v>
      </c>
      <c r="K43" s="2"/>
      <c r="L43" s="2">
        <f t="shared" si="7"/>
        <v>0</v>
      </c>
      <c r="M43" s="2"/>
      <c r="N43" s="19">
        <f t="shared" si="8"/>
        <v>0</v>
      </c>
      <c r="O43" s="11"/>
      <c r="P43" s="2">
        <v>67.17</v>
      </c>
      <c r="Q43" s="2"/>
      <c r="R43" s="19">
        <f t="shared" si="9"/>
        <v>2.4484837756017879E-5</v>
      </c>
      <c r="S43" s="2"/>
      <c r="T43" s="2"/>
      <c r="U43" s="2"/>
      <c r="V43" s="19">
        <f t="shared" si="10"/>
        <v>0</v>
      </c>
      <c r="W43" s="2"/>
      <c r="X43" s="2">
        <f t="shared" si="11"/>
        <v>67.17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"5013", " - ", "PURCHASES @ COST-TRADE BOOKS")</f>
        <v xml:space="preserve">          5013 - PURCHASES @ COST-TRADE BOOKS</v>
      </c>
      <c r="C44" s="11"/>
      <c r="D44" s="2"/>
      <c r="E44" s="2"/>
      <c r="F44" s="19">
        <f t="shared" si="5"/>
        <v>0</v>
      </c>
      <c r="G44" s="2"/>
      <c r="H44" s="2"/>
      <c r="I44" s="2"/>
      <c r="J44" s="19">
        <f t="shared" si="6"/>
        <v>0</v>
      </c>
      <c r="K44" s="2"/>
      <c r="L44" s="2">
        <f t="shared" si="7"/>
        <v>0</v>
      </c>
      <c r="M44" s="2"/>
      <c r="N44" s="19">
        <f t="shared" si="8"/>
        <v>0</v>
      </c>
      <c r="O44" s="11"/>
      <c r="P44" s="2">
        <v>9670.02</v>
      </c>
      <c r="Q44" s="2"/>
      <c r="R44" s="19">
        <f t="shared" si="9"/>
        <v>3.5249199165914547E-3</v>
      </c>
      <c r="S44" s="2"/>
      <c r="T44" s="2"/>
      <c r="U44" s="2"/>
      <c r="V44" s="19">
        <f t="shared" si="10"/>
        <v>0</v>
      </c>
      <c r="W44" s="2"/>
      <c r="X44" s="2">
        <f t="shared" si="11"/>
        <v>9670.02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"5014", " - ", "PURCHASES @ COST-REMAINDERS")</f>
        <v xml:space="preserve">          5014 - PURCHASES @ COST-REMAINDERS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111.57</v>
      </c>
      <c r="Q45" s="2"/>
      <c r="R45" s="19">
        <f t="shared" si="9"/>
        <v>4.0669545160621032E-5</v>
      </c>
      <c r="S45" s="2"/>
      <c r="T45" s="2"/>
      <c r="U45" s="2"/>
      <c r="V45" s="19">
        <f t="shared" si="10"/>
        <v>0</v>
      </c>
      <c r="W45" s="2"/>
      <c r="X45" s="2">
        <f t="shared" si="11"/>
        <v>111.57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"5018", " - ", "PURCHASES @ COST-STUDY GUIDES")</f>
        <v xml:space="preserve">          5018 - PURCHASES @ COST-STUDY GUIDES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967.21</v>
      </c>
      <c r="Q46" s="2"/>
      <c r="R46" s="19">
        <f t="shared" si="9"/>
        <v>3.5256781191004991E-4</v>
      </c>
      <c r="S46" s="2"/>
      <c r="T46" s="2"/>
      <c r="U46" s="2"/>
      <c r="V46" s="19">
        <f t="shared" si="10"/>
        <v>0</v>
      </c>
      <c r="W46" s="2"/>
      <c r="X46" s="2">
        <f t="shared" si="11"/>
        <v>967.21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-63605.72</v>
      </c>
      <c r="E47" s="2"/>
      <c r="F47" s="19">
        <f t="shared" si="5"/>
        <v>-0.99861572279538924</v>
      </c>
      <c r="G47" s="2"/>
      <c r="H47" s="2"/>
      <c r="I47" s="2"/>
      <c r="J47" s="19">
        <f t="shared" si="6"/>
        <v>0</v>
      </c>
      <c r="K47" s="2"/>
      <c r="L47" s="2">
        <f t="shared" si="7"/>
        <v>-63605.72</v>
      </c>
      <c r="M47" s="2"/>
      <c r="N47" s="19">
        <f t="shared" si="8"/>
        <v>0</v>
      </c>
      <c r="O47" s="11"/>
      <c r="P47" s="2">
        <v>-1088501.69</v>
      </c>
      <c r="Q47" s="2"/>
      <c r="R47" s="19">
        <f t="shared" si="9"/>
        <v>-0.39678111175824426</v>
      </c>
      <c r="S47" s="2"/>
      <c r="T47" s="2"/>
      <c r="U47" s="2"/>
      <c r="V47" s="19">
        <f t="shared" si="10"/>
        <v>0</v>
      </c>
      <c r="W47" s="2"/>
      <c r="X47" s="2">
        <f t="shared" si="11"/>
        <v>-1088501.69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45586</v>
      </c>
      <c r="E48" s="2"/>
      <c r="F48" s="19">
        <f t="shared" si="5"/>
        <v>0.71570444198022776</v>
      </c>
      <c r="G48" s="2"/>
      <c r="H48" s="2"/>
      <c r="I48" s="2"/>
      <c r="J48" s="19">
        <f t="shared" si="6"/>
        <v>0</v>
      </c>
      <c r="K48" s="2"/>
      <c r="L48" s="2">
        <f t="shared" si="7"/>
        <v>45586</v>
      </c>
      <c r="M48" s="2"/>
      <c r="N48" s="19">
        <f t="shared" si="8"/>
        <v>0</v>
      </c>
      <c r="O48" s="11"/>
      <c r="P48" s="2">
        <v>1406908</v>
      </c>
      <c r="Q48" s="2"/>
      <c r="R48" s="19">
        <f t="shared" si="9"/>
        <v>0.51284671903593271</v>
      </c>
      <c r="S48" s="2"/>
      <c r="T48" s="2"/>
      <c r="U48" s="2"/>
      <c r="V48" s="19">
        <f t="shared" si="10"/>
        <v>0</v>
      </c>
      <c r="W48" s="2"/>
      <c r="X48" s="2">
        <f t="shared" si="11"/>
        <v>1406908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"5500", " - ", "FREIGHT-IN")</f>
        <v xml:space="preserve">          5500 - FREIGHT-IN</v>
      </c>
      <c r="C49" s="11"/>
      <c r="D49" s="2">
        <v>0</v>
      </c>
      <c r="E49" s="2"/>
      <c r="F49" s="19">
        <f t="shared" si="5"/>
        <v>0</v>
      </c>
      <c r="G49" s="2"/>
      <c r="H49" s="2"/>
      <c r="I49" s="2"/>
      <c r="J49" s="19">
        <f t="shared" si="6"/>
        <v>0</v>
      </c>
      <c r="K49" s="2"/>
      <c r="L49" s="2">
        <f t="shared" si="7"/>
        <v>0</v>
      </c>
      <c r="M49" s="2"/>
      <c r="N49" s="19">
        <f t="shared" si="8"/>
        <v>0</v>
      </c>
      <c r="O49" s="11"/>
      <c r="P49" s="2">
        <v>0</v>
      </c>
      <c r="Q49" s="2"/>
      <c r="R49" s="19">
        <f t="shared" si="9"/>
        <v>0</v>
      </c>
      <c r="S49" s="2"/>
      <c r="T49" s="2"/>
      <c r="U49" s="2"/>
      <c r="V49" s="19">
        <f t="shared" si="10"/>
        <v>0</v>
      </c>
      <c r="W49" s="2"/>
      <c r="X49" s="2">
        <f t="shared" si="11"/>
        <v>0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"5501", " - ", "FREIGHT-IN-NEW TEXT")</f>
        <v xml:space="preserve">          5501 - FREIGHT-IN-NEW TEXT</v>
      </c>
      <c r="C50" s="11"/>
      <c r="D50" s="2">
        <v>1522.41</v>
      </c>
      <c r="E50" s="2"/>
      <c r="F50" s="19">
        <f t="shared" si="5"/>
        <v>2.3901978667027566E-2</v>
      </c>
      <c r="G50" s="2"/>
      <c r="H50" s="2"/>
      <c r="I50" s="2"/>
      <c r="J50" s="19">
        <f t="shared" si="6"/>
        <v>0</v>
      </c>
      <c r="K50" s="2"/>
      <c r="L50" s="2">
        <f t="shared" si="7"/>
        <v>1522.41</v>
      </c>
      <c r="M50" s="2"/>
      <c r="N50" s="19">
        <f t="shared" si="8"/>
        <v>0</v>
      </c>
      <c r="O50" s="11"/>
      <c r="P50" s="2">
        <v>51836.14</v>
      </c>
      <c r="Q50" s="2"/>
      <c r="R50" s="19">
        <f t="shared" si="9"/>
        <v>1.8895332407298328E-2</v>
      </c>
      <c r="S50" s="2"/>
      <c r="T50" s="2"/>
      <c r="U50" s="2"/>
      <c r="V50" s="19">
        <f t="shared" si="10"/>
        <v>0</v>
      </c>
      <c r="W50" s="2"/>
      <c r="X50" s="2">
        <f t="shared" si="11"/>
        <v>51836.14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"5502", " - ", "FREIGHT-IN-USED TEXT")</f>
        <v xml:space="preserve">          5502 - FREIGHT-IN-USED TEXT</v>
      </c>
      <c r="C51" s="11"/>
      <c r="D51" s="2">
        <v>133.97</v>
      </c>
      <c r="E51" s="2"/>
      <c r="F51" s="19">
        <f t="shared" si="5"/>
        <v>2.1033414665048724E-3</v>
      </c>
      <c r="G51" s="2"/>
      <c r="H51" s="2"/>
      <c r="I51" s="2"/>
      <c r="J51" s="19">
        <f t="shared" si="6"/>
        <v>0</v>
      </c>
      <c r="K51" s="2"/>
      <c r="L51" s="2">
        <f t="shared" si="7"/>
        <v>133.97</v>
      </c>
      <c r="M51" s="2"/>
      <c r="N51" s="19">
        <f t="shared" si="8"/>
        <v>0</v>
      </c>
      <c r="O51" s="11"/>
      <c r="P51" s="2">
        <v>17992.87</v>
      </c>
      <c r="Q51" s="2"/>
      <c r="R51" s="19">
        <f t="shared" si="9"/>
        <v>6.5587688360149079E-3</v>
      </c>
      <c r="S51" s="2"/>
      <c r="T51" s="2"/>
      <c r="U51" s="2"/>
      <c r="V51" s="19">
        <f t="shared" si="10"/>
        <v>0</v>
      </c>
      <c r="W51" s="2"/>
      <c r="X51" s="2">
        <f t="shared" si="11"/>
        <v>17992.87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"5504", " - ", "FREIGHT-IN-DIGITAL TEXT")</f>
        <v xml:space="preserve">          5504 - FREIGHT-IN-DIGITAL TEXT</v>
      </c>
      <c r="C52" s="11"/>
      <c r="D52" s="2"/>
      <c r="E52" s="2"/>
      <c r="F52" s="19">
        <f t="shared" si="5"/>
        <v>0</v>
      </c>
      <c r="G52" s="2"/>
      <c r="H52" s="2"/>
      <c r="I52" s="2"/>
      <c r="J52" s="19">
        <f t="shared" si="6"/>
        <v>0</v>
      </c>
      <c r="K52" s="2"/>
      <c r="L52" s="2">
        <f t="shared" si="7"/>
        <v>0</v>
      </c>
      <c r="M52" s="2"/>
      <c r="N52" s="19">
        <f t="shared" si="8"/>
        <v>0</v>
      </c>
      <c r="O52" s="11"/>
      <c r="P52" s="2">
        <v>28.92</v>
      </c>
      <c r="Q52" s="2"/>
      <c r="R52" s="19">
        <f t="shared" si="9"/>
        <v>1.0541931039214488E-5</v>
      </c>
      <c r="S52" s="2"/>
      <c r="T52" s="2"/>
      <c r="U52" s="2"/>
      <c r="V52" s="19">
        <f t="shared" si="10"/>
        <v>0</v>
      </c>
      <c r="W52" s="2"/>
      <c r="X52" s="2">
        <f t="shared" si="11"/>
        <v>28.92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"5513", " - ", "FREIGHT-IN-TRADE BOOKS")</f>
        <v xml:space="preserve">          5513 - FREIGHT-IN-TRADE BOOKS</v>
      </c>
      <c r="C53" s="11"/>
      <c r="D53" s="2"/>
      <c r="E53" s="2"/>
      <c r="F53" s="19">
        <f t="shared" si="5"/>
        <v>0</v>
      </c>
      <c r="G53" s="2"/>
      <c r="H53" s="2"/>
      <c r="I53" s="2"/>
      <c r="J53" s="19">
        <f t="shared" si="6"/>
        <v>0</v>
      </c>
      <c r="K53" s="2"/>
      <c r="L53" s="2">
        <f t="shared" si="7"/>
        <v>0</v>
      </c>
      <c r="M53" s="2"/>
      <c r="N53" s="19">
        <f t="shared" si="8"/>
        <v>0</v>
      </c>
      <c r="O53" s="11"/>
      <c r="P53" s="2">
        <v>85.28</v>
      </c>
      <c r="Q53" s="2"/>
      <c r="R53" s="19">
        <f t="shared" si="9"/>
        <v>3.1086302870823358E-5</v>
      </c>
      <c r="S53" s="2"/>
      <c r="T53" s="2"/>
      <c r="U53" s="2"/>
      <c r="V53" s="19">
        <f t="shared" si="10"/>
        <v>0</v>
      </c>
      <c r="W53" s="2"/>
      <c r="X53" s="2">
        <f t="shared" si="11"/>
        <v>85.28</v>
      </c>
      <c r="Y53" s="2"/>
      <c r="Z53" s="19">
        <f t="shared" si="12"/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8" t="s">
        <v>108</v>
      </c>
      <c r="C55" s="28"/>
      <c r="D55" s="20">
        <f>D12-D37</f>
        <v>10749.349999999977</v>
      </c>
      <c r="E55" s="14"/>
      <c r="F55" s="21">
        <f>IF(D$12=0,0,D55/D$12)</f>
        <v>0.16876579527486826</v>
      </c>
      <c r="G55" s="14"/>
      <c r="H55" s="20">
        <f>H12-H37</f>
        <v>16370</v>
      </c>
      <c r="I55" s="14"/>
      <c r="J55" s="21">
        <f>IF(H$12=0,0,H55/H$12)</f>
        <v>0.27094574464563542</v>
      </c>
      <c r="K55" s="15"/>
      <c r="L55" s="20">
        <f>+D55-H55</f>
        <v>-5620.6500000000233</v>
      </c>
      <c r="M55" s="15"/>
      <c r="N55" s="21">
        <f>IF(H55=0,0,L55/H55)</f>
        <v>-0.34335064141722804</v>
      </c>
      <c r="O55" s="29"/>
      <c r="P55" s="20">
        <f>P12-P37</f>
        <v>785866.64999999967</v>
      </c>
      <c r="Q55" s="14"/>
      <c r="R55" s="21">
        <f>IF(P$12=0,0,P55/P$12)</f>
        <v>0.28646445471364118</v>
      </c>
      <c r="S55" s="14"/>
      <c r="T55" s="20">
        <f>T12-T37</f>
        <v>1214854</v>
      </c>
      <c r="U55" s="14"/>
      <c r="V55" s="21">
        <f>IF(T$12=0,0,T55/T$12)</f>
        <v>0.27267785221643032</v>
      </c>
      <c r="W55" s="15"/>
      <c r="X55" s="20">
        <f>+P55-T55</f>
        <v>-428987.35000000033</v>
      </c>
      <c r="Y55" s="15"/>
      <c r="Z55" s="21">
        <f>IF(T55=0,0,X55/T55)</f>
        <v>-0.35311844056981362</v>
      </c>
    </row>
    <row r="56" spans="1:26" x14ac:dyDescent="0.2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9" t="s">
        <v>295</v>
      </c>
      <c r="C57" s="10"/>
      <c r="D57" s="22">
        <f>SUM(OSRRefD22x_0)</f>
        <v>45563.200000000012</v>
      </c>
      <c r="E57" s="22"/>
      <c r="F57" s="31">
        <f t="shared" ref="F57:F68" si="13">IF(D$12=0,0,D57/D$12)</f>
        <v>0.71534647985858646</v>
      </c>
      <c r="G57" s="22"/>
      <c r="H57" s="22">
        <f>SUM(OSRRefH22x_0)</f>
        <v>57331.812610111527</v>
      </c>
      <c r="I57" s="22"/>
      <c r="J57" s="31">
        <f t="shared" ref="J57:J68" si="14">IF(H$12=0,0,H57/H$12)</f>
        <v>0.94891940498049465</v>
      </c>
      <c r="K57" s="4"/>
      <c r="L57" s="22">
        <f t="shared" ref="L57:L68" si="15">+D57-H57</f>
        <v>-11768.612610111515</v>
      </c>
      <c r="M57" s="4"/>
      <c r="N57" s="31">
        <f t="shared" ref="N57:N68" si="16">IF(H57=0,0,L57/H57)</f>
        <v>-0.20527194369633278</v>
      </c>
      <c r="O57" s="10"/>
      <c r="P57" s="22">
        <f>SUM(OSRRefP22x_0)</f>
        <v>507407.53999999986</v>
      </c>
      <c r="Q57" s="22"/>
      <c r="R57" s="31">
        <f t="shared" ref="R57:R68" si="17">IF(P$12=0,0,P57/P$12)</f>
        <v>0.18496041823850154</v>
      </c>
      <c r="S57" s="22"/>
      <c r="T57" s="22">
        <f>SUM(OSRRefT22x_0)</f>
        <v>614664.06863808876</v>
      </c>
      <c r="U57" s="22"/>
      <c r="V57" s="31">
        <f t="shared" ref="V57:V68" si="18">IF(T$12=0,0,T57/T$12)</f>
        <v>0.13796330922962477</v>
      </c>
      <c r="W57" s="4"/>
      <c r="X57" s="22">
        <f t="shared" ref="X57:X68" si="19">+P57-T57</f>
        <v>-107256.5286380889</v>
      </c>
      <c r="Y57" s="4"/>
      <c r="Z57" s="31">
        <f t="shared" ref="Z57:Z68" si="20">IF(T57=0,0,X57/T57)</f>
        <v>-0.17449617459458336</v>
      </c>
    </row>
    <row r="58" spans="1:26" s="27" customFormat="1" outlineLevel="1" collapsed="1" x14ac:dyDescent="0.25">
      <c r="A58" s="26"/>
      <c r="B58" s="13" t="str">
        <f>CONCATENATE("     ","*Benefits                                         ")</f>
        <v xml:space="preserve">     *Benefits                                         </v>
      </c>
      <c r="C58" s="13"/>
      <c r="D58" s="1">
        <f>SUM(OSRRefD22_0x_0)</f>
        <v>11708.38</v>
      </c>
      <c r="E58" s="1"/>
      <c r="F58" s="5">
        <f t="shared" si="13"/>
        <v>0.18382265551687929</v>
      </c>
      <c r="G58" s="1"/>
      <c r="H58" s="1">
        <f>SUM(OSRRefH22_0x_0)</f>
        <v>11451.23546641923</v>
      </c>
      <c r="I58" s="1"/>
      <c r="J58" s="5">
        <f t="shared" si="14"/>
        <v>0.18953350767021798</v>
      </c>
      <c r="K58" s="1"/>
      <c r="L58" s="1">
        <f t="shared" si="15"/>
        <v>257.14453358076935</v>
      </c>
      <c r="M58" s="1"/>
      <c r="N58" s="5">
        <f t="shared" si="16"/>
        <v>2.245561488407484E-2</v>
      </c>
      <c r="O58" s="13"/>
      <c r="P58" s="1">
        <f>SUM(OSRRefP22_0x_0)</f>
        <v>131878.37</v>
      </c>
      <c r="Q58" s="1"/>
      <c r="R58" s="5">
        <f t="shared" si="17"/>
        <v>4.8072361068603478E-2</v>
      </c>
      <c r="S58" s="1"/>
      <c r="T58" s="1">
        <f>SUM(OSRRefT22_0x_0)</f>
        <v>137104.97166378074</v>
      </c>
      <c r="U58" s="1"/>
      <c r="V58" s="5">
        <f t="shared" si="18"/>
        <v>3.077364786342579E-2</v>
      </c>
      <c r="W58" s="1"/>
      <c r="X58" s="1">
        <f t="shared" si="19"/>
        <v>-5226.6016637807479</v>
      </c>
      <c r="Y58" s="1"/>
      <c r="Z58" s="5">
        <f t="shared" si="20"/>
        <v>-3.8121168039025009E-2</v>
      </c>
    </row>
    <row r="59" spans="1:26" s="24" customFormat="1" hidden="1" outlineLevel="2" x14ac:dyDescent="0.25">
      <c r="A59" s="25"/>
      <c r="B59" s="11" t="str">
        <f>CONCATENATE("          ", "6111", " - ", "F.I.C.A.")</f>
        <v xml:space="preserve">          6111 - F.I.C.A.</v>
      </c>
      <c r="C59" s="11"/>
      <c r="D59" s="7">
        <v>2097.79</v>
      </c>
      <c r="E59" s="2"/>
      <c r="F59" s="6">
        <f t="shared" si="13"/>
        <v>3.2935498208697893E-2</v>
      </c>
      <c r="G59" s="2"/>
      <c r="H59" s="7">
        <v>1633.6642166884601</v>
      </c>
      <c r="I59" s="2"/>
      <c r="J59" s="6">
        <f t="shared" si="14"/>
        <v>2.7039362717873151E-2</v>
      </c>
      <c r="K59" s="2"/>
      <c r="L59" s="7">
        <f t="shared" si="15"/>
        <v>464.12578331153986</v>
      </c>
      <c r="M59" s="2"/>
      <c r="N59" s="6">
        <f t="shared" si="16"/>
        <v>0.28410108917752508</v>
      </c>
      <c r="O59" s="11"/>
      <c r="P59" s="7">
        <v>24006.85</v>
      </c>
      <c r="Q59" s="2"/>
      <c r="R59" s="6">
        <f t="shared" si="17"/>
        <v>8.7509874539684045E-3</v>
      </c>
      <c r="S59" s="2"/>
      <c r="T59" s="7">
        <v>21069.385216136499</v>
      </c>
      <c r="U59" s="2"/>
      <c r="V59" s="6">
        <f t="shared" si="18"/>
        <v>4.7290906629576151E-3</v>
      </c>
      <c r="W59" s="2"/>
      <c r="X59" s="7">
        <f t="shared" si="19"/>
        <v>2937.4647838634992</v>
      </c>
      <c r="Y59" s="2"/>
      <c r="Z59" s="6">
        <f t="shared" si="20"/>
        <v>0.13941862820058795</v>
      </c>
    </row>
    <row r="60" spans="1:26" s="24" customFormat="1" hidden="1" outlineLevel="2" x14ac:dyDescent="0.25">
      <c r="A60" s="25"/>
      <c r="B60" s="11" t="str">
        <f>CONCATENATE("          ", "6112", " - ", "COMPENSATION INSURANCE")</f>
        <v xml:space="preserve">          6112 - COMPENSATION INSURANCE</v>
      </c>
      <c r="C60" s="11"/>
      <c r="D60" s="7">
        <v>186.45</v>
      </c>
      <c r="E60" s="2"/>
      <c r="F60" s="6">
        <f t="shared" si="13"/>
        <v>2.927282350002489E-3</v>
      </c>
      <c r="G60" s="2"/>
      <c r="H60" s="7">
        <v>529.38520596153899</v>
      </c>
      <c r="I60" s="2"/>
      <c r="J60" s="6">
        <f t="shared" si="14"/>
        <v>8.7620445225187697E-3</v>
      </c>
      <c r="K60" s="2"/>
      <c r="L60" s="7">
        <f t="shared" si="15"/>
        <v>-342.935205961539</v>
      </c>
      <c r="M60" s="2"/>
      <c r="N60" s="6">
        <f t="shared" si="16"/>
        <v>-0.64779899796907814</v>
      </c>
      <c r="O60" s="11"/>
      <c r="P60" s="7">
        <v>1371.89</v>
      </c>
      <c r="Q60" s="2"/>
      <c r="R60" s="6">
        <f t="shared" si="17"/>
        <v>5.0008194237164468E-4</v>
      </c>
      <c r="S60" s="2"/>
      <c r="T60" s="7">
        <v>7225.0301396634604</v>
      </c>
      <c r="U60" s="2"/>
      <c r="V60" s="6">
        <f t="shared" si="18"/>
        <v>1.6216810420695887E-3</v>
      </c>
      <c r="W60" s="2"/>
      <c r="X60" s="7">
        <f t="shared" si="19"/>
        <v>-5853.1401396634601</v>
      </c>
      <c r="Y60" s="2"/>
      <c r="Z60" s="6">
        <f t="shared" si="20"/>
        <v>-0.81011982324216258</v>
      </c>
    </row>
    <row r="61" spans="1:26" s="24" customFormat="1" hidden="1" outlineLevel="2" x14ac:dyDescent="0.25">
      <c r="A61" s="25"/>
      <c r="B61" s="11" t="str">
        <f>CONCATENATE("          ", "6113", " - ", "GROUP INSURANCE")</f>
        <v xml:space="preserve">          6113 - GROUP INSURANCE</v>
      </c>
      <c r="C61" s="11"/>
      <c r="D61" s="7">
        <v>4943.91</v>
      </c>
      <c r="E61" s="2"/>
      <c r="F61" s="6">
        <f t="shared" si="13"/>
        <v>7.7619847052833493E-2</v>
      </c>
      <c r="G61" s="2"/>
      <c r="H61" s="7">
        <v>4662.6923076923104</v>
      </c>
      <c r="I61" s="2"/>
      <c r="J61" s="6">
        <f t="shared" si="14"/>
        <v>7.7173893668977964E-2</v>
      </c>
      <c r="K61" s="2"/>
      <c r="L61" s="7">
        <f t="shared" si="15"/>
        <v>281.2176923076895</v>
      </c>
      <c r="M61" s="2"/>
      <c r="N61" s="6">
        <f t="shared" si="16"/>
        <v>6.0312298935906318E-2</v>
      </c>
      <c r="O61" s="11"/>
      <c r="P61" s="7">
        <v>50107.77</v>
      </c>
      <c r="Q61" s="2"/>
      <c r="R61" s="6">
        <f t="shared" si="17"/>
        <v>1.8265306219530444E-2</v>
      </c>
      <c r="S61" s="2"/>
      <c r="T61" s="7">
        <v>52517.307692307702</v>
      </c>
      <c r="U61" s="2"/>
      <c r="V61" s="6">
        <f t="shared" si="18"/>
        <v>1.1787677091838098E-2</v>
      </c>
      <c r="W61" s="2"/>
      <c r="X61" s="7">
        <f t="shared" si="19"/>
        <v>-2409.5376923077056</v>
      </c>
      <c r="Y61" s="2"/>
      <c r="Z61" s="6">
        <f t="shared" si="20"/>
        <v>-4.588083049544131E-2</v>
      </c>
    </row>
    <row r="62" spans="1:26" s="24" customFormat="1" hidden="1" outlineLevel="2" x14ac:dyDescent="0.25">
      <c r="A62" s="25"/>
      <c r="B62" s="11" t="str">
        <f>CONCATENATE("          ", "6114", " - ", "STATE UNEMPLOYMENT INSURANCE")</f>
        <v xml:space="preserve">          6114 - STATE UNEMPLOYMENT INSURANCE</v>
      </c>
      <c r="C62" s="11"/>
      <c r="D62" s="7">
        <v>113</v>
      </c>
      <c r="E62" s="2"/>
      <c r="F62" s="6">
        <f t="shared" si="13"/>
        <v>1.7741105151530237E-3</v>
      </c>
      <c r="G62" s="2"/>
      <c r="H62" s="7">
        <v>74.400082999999995</v>
      </c>
      <c r="I62" s="2"/>
      <c r="J62" s="6">
        <f t="shared" si="14"/>
        <v>1.231422473435069E-3</v>
      </c>
      <c r="K62" s="2"/>
      <c r="L62" s="7">
        <f t="shared" si="15"/>
        <v>38.599917000000005</v>
      </c>
      <c r="M62" s="2"/>
      <c r="N62" s="6">
        <f t="shared" si="16"/>
        <v>0.51881550992355763</v>
      </c>
      <c r="O62" s="11"/>
      <c r="P62" s="7">
        <v>875.51</v>
      </c>
      <c r="Q62" s="2"/>
      <c r="R62" s="6">
        <f t="shared" si="17"/>
        <v>3.1914128783342582E-4</v>
      </c>
      <c r="S62" s="2"/>
      <c r="T62" s="7">
        <v>1015.40964125</v>
      </c>
      <c r="U62" s="2"/>
      <c r="V62" s="6">
        <f t="shared" si="18"/>
        <v>2.2791193023680709E-4</v>
      </c>
      <c r="W62" s="2"/>
      <c r="X62" s="7">
        <f t="shared" si="19"/>
        <v>-139.89964125000006</v>
      </c>
      <c r="Y62" s="2"/>
      <c r="Z62" s="6">
        <f t="shared" si="20"/>
        <v>-0.13777655398049929</v>
      </c>
    </row>
    <row r="63" spans="1:26" s="24" customFormat="1" hidden="1" outlineLevel="2" x14ac:dyDescent="0.25">
      <c r="A63" s="25"/>
      <c r="B63" s="11" t="str">
        <f>CONCATENATE("          ", "6115", " - ", "P.E.R.S.")</f>
        <v xml:space="preserve">          6115 - P.E.R.S.</v>
      </c>
      <c r="C63" s="11"/>
      <c r="D63" s="7">
        <v>1783.22</v>
      </c>
      <c r="E63" s="2"/>
      <c r="F63" s="6">
        <f t="shared" si="13"/>
        <v>2.799671993655907E-2</v>
      </c>
      <c r="G63" s="2"/>
      <c r="H63" s="7">
        <v>1268.5379723076901</v>
      </c>
      <c r="I63" s="2"/>
      <c r="J63" s="6">
        <f t="shared" si="14"/>
        <v>2.0996027215526666E-2</v>
      </c>
      <c r="K63" s="2"/>
      <c r="L63" s="7">
        <f t="shared" si="15"/>
        <v>514.68202769230993</v>
      </c>
      <c r="M63" s="2"/>
      <c r="N63" s="6">
        <f t="shared" si="16"/>
        <v>0.40572851497382789</v>
      </c>
      <c r="O63" s="11"/>
      <c r="P63" s="7">
        <v>20247.57</v>
      </c>
      <c r="Q63" s="2"/>
      <c r="R63" s="6">
        <f t="shared" si="17"/>
        <v>7.3806530654103751E-3</v>
      </c>
      <c r="S63" s="2"/>
      <c r="T63" s="7">
        <v>15222.4556676923</v>
      </c>
      <c r="U63" s="2"/>
      <c r="V63" s="6">
        <f t="shared" si="18"/>
        <v>3.4167286907942547E-3</v>
      </c>
      <c r="W63" s="2"/>
      <c r="X63" s="7">
        <f t="shared" si="19"/>
        <v>5025.1143323076994</v>
      </c>
      <c r="Y63" s="2"/>
      <c r="Z63" s="6">
        <f t="shared" si="20"/>
        <v>0.33011193739081512</v>
      </c>
    </row>
    <row r="64" spans="1:26" s="24" customFormat="1" hidden="1" outlineLevel="2" x14ac:dyDescent="0.25">
      <c r="A64" s="25"/>
      <c r="B64" s="11" t="str">
        <f>CONCATENATE("          ", "6116", " - ", "EDUCATIONAL BENEFITS")</f>
        <v xml:space="preserve">          6116 - EDUCATIONAL BENEFITS</v>
      </c>
      <c r="C64" s="11"/>
      <c r="D64" s="7"/>
      <c r="E64" s="2"/>
      <c r="F64" s="6">
        <f t="shared" si="13"/>
        <v>0</v>
      </c>
      <c r="G64" s="2"/>
      <c r="H64" s="7">
        <v>0</v>
      </c>
      <c r="I64" s="2"/>
      <c r="J64" s="6">
        <f t="shared" si="14"/>
        <v>0</v>
      </c>
      <c r="K64" s="2"/>
      <c r="L64" s="7">
        <f t="shared" si="15"/>
        <v>0</v>
      </c>
      <c r="M64" s="2"/>
      <c r="N64" s="6">
        <f t="shared" si="16"/>
        <v>0</v>
      </c>
      <c r="O64" s="11"/>
      <c r="P64" s="7"/>
      <c r="Q64" s="2"/>
      <c r="R64" s="6">
        <f t="shared" si="17"/>
        <v>0</v>
      </c>
      <c r="S64" s="2"/>
      <c r="T64" s="7">
        <v>0</v>
      </c>
      <c r="U64" s="2"/>
      <c r="V64" s="6">
        <f t="shared" si="18"/>
        <v>0</v>
      </c>
      <c r="W64" s="2"/>
      <c r="X64" s="7">
        <f t="shared" si="19"/>
        <v>0</v>
      </c>
      <c r="Y64" s="2"/>
      <c r="Z64" s="6">
        <f t="shared" si="20"/>
        <v>0</v>
      </c>
    </row>
    <row r="65" spans="1:26" s="24" customFormat="1" hidden="1" outlineLevel="2" x14ac:dyDescent="0.25">
      <c r="A65" s="25"/>
      <c r="B65" s="11" t="str">
        <f>CONCATENATE("          ", "6117", " - ", "RETIREMENT STAFF HOURLY")</f>
        <v xml:space="preserve">          6117 - RETIREMENT STAFF HOURLY</v>
      </c>
      <c r="C65" s="11"/>
      <c r="D65" s="7">
        <v>245.58</v>
      </c>
      <c r="E65" s="2"/>
      <c r="F65" s="6">
        <f t="shared" si="13"/>
        <v>3.8556288523122089E-3</v>
      </c>
      <c r="G65" s="2"/>
      <c r="H65" s="7"/>
      <c r="I65" s="2"/>
      <c r="J65" s="6">
        <f t="shared" si="14"/>
        <v>0</v>
      </c>
      <c r="K65" s="2"/>
      <c r="L65" s="7">
        <f t="shared" si="15"/>
        <v>245.58</v>
      </c>
      <c r="M65" s="2"/>
      <c r="N65" s="6">
        <f t="shared" si="16"/>
        <v>0</v>
      </c>
      <c r="O65" s="11"/>
      <c r="P65" s="7">
        <v>3001.4</v>
      </c>
      <c r="Q65" s="2"/>
      <c r="R65" s="6">
        <f t="shared" si="17"/>
        <v>1.0940716397336916E-3</v>
      </c>
      <c r="S65" s="2"/>
      <c r="T65" s="7"/>
      <c r="U65" s="2"/>
      <c r="V65" s="6">
        <f t="shared" si="18"/>
        <v>0</v>
      </c>
      <c r="W65" s="2"/>
      <c r="X65" s="7">
        <f t="shared" si="19"/>
        <v>3001.4</v>
      </c>
      <c r="Y65" s="2"/>
      <c r="Z65" s="6">
        <f t="shared" si="20"/>
        <v>0</v>
      </c>
    </row>
    <row r="66" spans="1:26" s="24" customFormat="1" hidden="1" outlineLevel="2" x14ac:dyDescent="0.25">
      <c r="A66" s="25"/>
      <c r="B66" s="11" t="str">
        <f>CONCATENATE("          ", "6118", " - ", "VACATION")</f>
        <v xml:space="preserve">          6118 - VACATION</v>
      </c>
      <c r="C66" s="11"/>
      <c r="D66" s="7">
        <v>1644.18</v>
      </c>
      <c r="E66" s="2"/>
      <c r="F66" s="6">
        <f t="shared" si="13"/>
        <v>2.581377899826813E-2</v>
      </c>
      <c r="G66" s="2"/>
      <c r="H66" s="7">
        <v>1346.2077200000001</v>
      </c>
      <c r="I66" s="2"/>
      <c r="J66" s="6">
        <f t="shared" si="14"/>
        <v>2.2281567082657487E-2</v>
      </c>
      <c r="K66" s="2"/>
      <c r="L66" s="7">
        <f t="shared" si="15"/>
        <v>297.97227999999996</v>
      </c>
      <c r="M66" s="2"/>
      <c r="N66" s="6">
        <f t="shared" si="16"/>
        <v>0.22134197833897426</v>
      </c>
      <c r="O66" s="11"/>
      <c r="P66" s="7">
        <v>16145.13</v>
      </c>
      <c r="Q66" s="2"/>
      <c r="R66" s="6">
        <f t="shared" si="17"/>
        <v>5.8852298436774886E-3</v>
      </c>
      <c r="S66" s="2"/>
      <c r="T66" s="7">
        <v>16154.49264</v>
      </c>
      <c r="U66" s="2"/>
      <c r="V66" s="6">
        <f t="shared" si="18"/>
        <v>3.625927359766138E-3</v>
      </c>
      <c r="W66" s="2"/>
      <c r="X66" s="7">
        <f t="shared" si="19"/>
        <v>-9.3626400000011927</v>
      </c>
      <c r="Y66" s="2"/>
      <c r="Z66" s="6">
        <f t="shared" si="20"/>
        <v>-5.7956880532530257E-4</v>
      </c>
    </row>
    <row r="67" spans="1:26" s="24" customFormat="1" hidden="1" outlineLevel="2" x14ac:dyDescent="0.25">
      <c r="A67" s="25"/>
      <c r="B67" s="11" t="str">
        <f>CONCATENATE("          ", "6119", " - ", "SICK LEAVE")</f>
        <v xml:space="preserve">          6119 - SICK LEAVE</v>
      </c>
      <c r="C67" s="11"/>
      <c r="D67" s="7">
        <v>284.64</v>
      </c>
      <c r="E67" s="2"/>
      <c r="F67" s="6">
        <f t="shared" si="13"/>
        <v>4.4688744870190851E-3</v>
      </c>
      <c r="G67" s="2"/>
      <c r="H67" s="7">
        <v>1186.34796076923</v>
      </c>
      <c r="I67" s="2"/>
      <c r="J67" s="6">
        <f t="shared" si="14"/>
        <v>1.9635670839306663E-2</v>
      </c>
      <c r="K67" s="2"/>
      <c r="L67" s="7">
        <f t="shared" si="15"/>
        <v>-901.70796076923</v>
      </c>
      <c r="M67" s="2"/>
      <c r="N67" s="6">
        <f t="shared" si="16"/>
        <v>-0.7600703929937731</v>
      </c>
      <c r="O67" s="11"/>
      <c r="P67" s="7">
        <v>11461.54</v>
      </c>
      <c r="Q67" s="2"/>
      <c r="R67" s="6">
        <f t="shared" si="17"/>
        <v>4.1779655699584516E-3</v>
      </c>
      <c r="S67" s="2"/>
      <c r="T67" s="7">
        <v>15650.8906667308</v>
      </c>
      <c r="U67" s="2"/>
      <c r="V67" s="6">
        <f t="shared" si="18"/>
        <v>3.512892291813115E-3</v>
      </c>
      <c r="W67" s="2"/>
      <c r="X67" s="7">
        <f t="shared" si="19"/>
        <v>-4189.3506667307993</v>
      </c>
      <c r="Y67" s="2"/>
      <c r="Z67" s="6">
        <f t="shared" si="20"/>
        <v>-0.2676749046388861</v>
      </c>
    </row>
    <row r="68" spans="1:26" s="24" customFormat="1" hidden="1" outlineLevel="2" x14ac:dyDescent="0.25">
      <c r="A68" s="25"/>
      <c r="B68" s="11" t="str">
        <f>CONCATENATE("          ", "6156", " - ", "EMPLOYEE MEALS")</f>
        <v xml:space="preserve">          6156 - EMPLOYEE MEALS</v>
      </c>
      <c r="C68" s="11"/>
      <c r="D68" s="7">
        <v>409.61</v>
      </c>
      <c r="E68" s="2"/>
      <c r="F68" s="6">
        <f t="shared" si="13"/>
        <v>6.4309151160338949E-3</v>
      </c>
      <c r="G68" s="2"/>
      <c r="H68" s="7">
        <v>750</v>
      </c>
      <c r="I68" s="2"/>
      <c r="J68" s="6">
        <f t="shared" si="14"/>
        <v>1.2413519149922208E-2</v>
      </c>
      <c r="K68" s="2"/>
      <c r="L68" s="7">
        <f t="shared" si="15"/>
        <v>-340.39</v>
      </c>
      <c r="M68" s="2"/>
      <c r="N68" s="6">
        <f t="shared" si="16"/>
        <v>-0.45385333333333333</v>
      </c>
      <c r="O68" s="11"/>
      <c r="P68" s="7">
        <v>4660.71</v>
      </c>
      <c r="Q68" s="2"/>
      <c r="R68" s="6">
        <f t="shared" si="17"/>
        <v>1.6989240461195488E-3</v>
      </c>
      <c r="S68" s="2"/>
      <c r="T68" s="7">
        <v>8250</v>
      </c>
      <c r="U68" s="2"/>
      <c r="V68" s="6">
        <f t="shared" si="18"/>
        <v>1.8517387939501785E-3</v>
      </c>
      <c r="W68" s="2"/>
      <c r="X68" s="7">
        <f t="shared" si="19"/>
        <v>-3589.29</v>
      </c>
      <c r="Y68" s="2"/>
      <c r="Z68" s="6">
        <f t="shared" si="20"/>
        <v>-0.43506545454545453</v>
      </c>
    </row>
    <row r="69" spans="1:26" s="27" customFormat="1" outlineLevel="1" collapsed="1" x14ac:dyDescent="0.25">
      <c r="A69" s="26"/>
      <c r="B69" s="13" t="str">
        <f>CONCATENATE("     ","*Payroll                                          ")</f>
        <v xml:space="preserve">     *Payroll                                          </v>
      </c>
      <c r="C69" s="13"/>
      <c r="D69" s="1">
        <f>SUM(OSRRefD22_1x_0)</f>
        <v>28613.609999999997</v>
      </c>
      <c r="E69" s="1"/>
      <c r="F69" s="5">
        <f t="shared" ref="F69:F79" si="21">IF(D$12=0,0,D69/D$12)</f>
        <v>0.44923633962378501</v>
      </c>
      <c r="G69" s="1"/>
      <c r="H69" s="1">
        <f>SUM(OSRRefH22_1x_0)</f>
        <v>26515.577143692299</v>
      </c>
      <c r="I69" s="1"/>
      <c r="J69" s="5">
        <f t="shared" ref="J69:J79" si="22">IF(H$12=0,0,H69/H$12)</f>
        <v>0.4388688328592853</v>
      </c>
      <c r="K69" s="1"/>
      <c r="L69" s="1">
        <f t="shared" ref="L69:L79" si="23">+D69-H69</f>
        <v>2098.0328563076982</v>
      </c>
      <c r="M69" s="1"/>
      <c r="N69" s="5">
        <f t="shared" ref="N69:N79" si="24">IF(H69=0,0,L69/H69)</f>
        <v>7.9124540451754502E-2</v>
      </c>
      <c r="O69" s="13"/>
      <c r="P69" s="1">
        <f>SUM(OSRRefP22_1x_0)</f>
        <v>310823.01999999996</v>
      </c>
      <c r="Q69" s="1"/>
      <c r="R69" s="5">
        <f t="shared" ref="R69:R79" si="25">IF(P$12=0,0,P69/P$12)</f>
        <v>0.11330134309268274</v>
      </c>
      <c r="S69" s="1"/>
      <c r="T69" s="1">
        <f>SUM(OSRRefT22_1x_0)</f>
        <v>365344.09697430802</v>
      </c>
      <c r="U69" s="1"/>
      <c r="V69" s="5">
        <f t="shared" ref="V69:V79" si="26">IF(T$12=0,0,T69/T$12)</f>
        <v>8.2002646970669363E-2</v>
      </c>
      <c r="W69" s="1"/>
      <c r="X69" s="1">
        <f t="shared" ref="X69:X79" si="27">+P69-T69</f>
        <v>-54521.07697430806</v>
      </c>
      <c r="Y69" s="1"/>
      <c r="Z69" s="5">
        <f t="shared" ref="Z69:Z79" si="28">IF(T69=0,0,X69/T69)</f>
        <v>-0.14923212781002487</v>
      </c>
    </row>
    <row r="70" spans="1:26" s="24" customFormat="1" hidden="1" outlineLevel="2" x14ac:dyDescent="0.25">
      <c r="A70" s="25"/>
      <c r="B70" s="11" t="str">
        <f>CONCATENATE("          ", "6001", " - ", "ADMINISTRATIVE SALARIES")</f>
        <v xml:space="preserve">          6001 - ADMINISTRATIVE SALARIES</v>
      </c>
      <c r="C70" s="11"/>
      <c r="D70" s="7"/>
      <c r="E70" s="2"/>
      <c r="F70" s="6">
        <f t="shared" si="21"/>
        <v>0</v>
      </c>
      <c r="G70" s="2"/>
      <c r="H70" s="7">
        <v>0</v>
      </c>
      <c r="I70" s="2"/>
      <c r="J70" s="6">
        <f t="shared" si="22"/>
        <v>0</v>
      </c>
      <c r="K70" s="2"/>
      <c r="L70" s="7">
        <f t="shared" si="23"/>
        <v>0</v>
      </c>
      <c r="M70" s="2"/>
      <c r="N70" s="6">
        <f t="shared" si="24"/>
        <v>0</v>
      </c>
      <c r="O70" s="11"/>
      <c r="P70" s="7">
        <v>-311.32</v>
      </c>
      <c r="Q70" s="2"/>
      <c r="R70" s="6">
        <f t="shared" si="25"/>
        <v>-1.134825024594832E-4</v>
      </c>
      <c r="S70" s="2"/>
      <c r="T70" s="7">
        <v>0</v>
      </c>
      <c r="U70" s="2"/>
      <c r="V70" s="6">
        <f t="shared" si="26"/>
        <v>0</v>
      </c>
      <c r="W70" s="2"/>
      <c r="X70" s="7">
        <f t="shared" si="27"/>
        <v>-311.32</v>
      </c>
      <c r="Y70" s="2"/>
      <c r="Z70" s="6">
        <f t="shared" si="28"/>
        <v>0</v>
      </c>
    </row>
    <row r="71" spans="1:26" s="24" customFormat="1" hidden="1" outlineLevel="2" x14ac:dyDescent="0.25">
      <c r="A71" s="25"/>
      <c r="B71" s="11" t="str">
        <f>CONCATENATE("          ", "6002", " - ", "STAFF SALARIES")</f>
        <v xml:space="preserve">          6002 - STAFF SALARIES</v>
      </c>
      <c r="C71" s="11"/>
      <c r="D71" s="7">
        <v>18291.48</v>
      </c>
      <c r="E71" s="2"/>
      <c r="F71" s="6">
        <f t="shared" si="21"/>
        <v>0.28717793810363917</v>
      </c>
      <c r="G71" s="2"/>
      <c r="H71" s="7">
        <v>13107.2520636923</v>
      </c>
      <c r="I71" s="2"/>
      <c r="J71" s="6">
        <f t="shared" si="22"/>
        <v>0.21694283266066899</v>
      </c>
      <c r="K71" s="2"/>
      <c r="L71" s="7">
        <f t="shared" si="23"/>
        <v>5184.2279363076996</v>
      </c>
      <c r="M71" s="2"/>
      <c r="N71" s="6">
        <f t="shared" si="24"/>
        <v>0.39552363158317927</v>
      </c>
      <c r="O71" s="11"/>
      <c r="P71" s="7">
        <v>192215.53</v>
      </c>
      <c r="Q71" s="2"/>
      <c r="R71" s="6">
        <f t="shared" si="25"/>
        <v>7.0066489001592777E-2</v>
      </c>
      <c r="S71" s="2"/>
      <c r="T71" s="7">
        <v>157287.02476430801</v>
      </c>
      <c r="U71" s="2"/>
      <c r="V71" s="6">
        <f t="shared" si="26"/>
        <v>3.5303574004978376E-2</v>
      </c>
      <c r="W71" s="2"/>
      <c r="X71" s="7">
        <f t="shared" si="27"/>
        <v>34928.505235691991</v>
      </c>
      <c r="Y71" s="2"/>
      <c r="Z71" s="6">
        <f t="shared" si="28"/>
        <v>0.22206857360314225</v>
      </c>
    </row>
    <row r="72" spans="1:26" s="24" customFormat="1" hidden="1" outlineLevel="2" x14ac:dyDescent="0.25">
      <c r="A72" s="25"/>
      <c r="B72" s="11" t="str">
        <f>CONCATENATE("          ", "6003", " - ", "STAFF HOURLY-9 MONTH")</f>
        <v xml:space="preserve">          6003 - STAFF HOURLY-9 MONTH</v>
      </c>
      <c r="C72" s="11"/>
      <c r="D72" s="7"/>
      <c r="E72" s="2"/>
      <c r="F72" s="6">
        <f t="shared" si="21"/>
        <v>0</v>
      </c>
      <c r="G72" s="2"/>
      <c r="H72" s="7">
        <v>0</v>
      </c>
      <c r="I72" s="2"/>
      <c r="J72" s="6">
        <f t="shared" si="22"/>
        <v>0</v>
      </c>
      <c r="K72" s="2"/>
      <c r="L72" s="7">
        <f t="shared" si="23"/>
        <v>0</v>
      </c>
      <c r="M72" s="2"/>
      <c r="N72" s="6">
        <f t="shared" si="24"/>
        <v>0</v>
      </c>
      <c r="O72" s="11"/>
      <c r="P72" s="7"/>
      <c r="Q72" s="2"/>
      <c r="R72" s="6">
        <f t="shared" si="25"/>
        <v>0</v>
      </c>
      <c r="S72" s="2"/>
      <c r="T72" s="7">
        <v>0</v>
      </c>
      <c r="U72" s="2"/>
      <c r="V72" s="6">
        <f t="shared" si="26"/>
        <v>0</v>
      </c>
      <c r="W72" s="2"/>
      <c r="X72" s="7">
        <f t="shared" si="27"/>
        <v>0</v>
      </c>
      <c r="Y72" s="2"/>
      <c r="Z72" s="6">
        <f t="shared" si="28"/>
        <v>0</v>
      </c>
    </row>
    <row r="73" spans="1:26" s="24" customFormat="1" hidden="1" outlineLevel="2" x14ac:dyDescent="0.25">
      <c r="A73" s="25"/>
      <c r="B73" s="11" t="str">
        <f>CONCATENATE("          ", "6004", " - ", "STAFF HOURLY")</f>
        <v xml:space="preserve">          6004 - STAFF HOURLY</v>
      </c>
      <c r="C73" s="11"/>
      <c r="D73" s="7">
        <v>6146.69</v>
      </c>
      <c r="E73" s="2"/>
      <c r="F73" s="6">
        <f t="shared" si="21"/>
        <v>9.6503604976866719E-2</v>
      </c>
      <c r="G73" s="2"/>
      <c r="H73" s="7">
        <v>5285.7500799999998</v>
      </c>
      <c r="I73" s="2"/>
      <c r="J73" s="6">
        <f t="shared" si="22"/>
        <v>8.748634645304379E-2</v>
      </c>
      <c r="K73" s="2"/>
      <c r="L73" s="7">
        <f t="shared" si="23"/>
        <v>860.9399199999998</v>
      </c>
      <c r="M73" s="2"/>
      <c r="N73" s="6">
        <f t="shared" si="24"/>
        <v>0.16287942240356545</v>
      </c>
      <c r="O73" s="11"/>
      <c r="P73" s="7">
        <v>74445.429999999993</v>
      </c>
      <c r="Q73" s="2"/>
      <c r="R73" s="6">
        <f t="shared" si="25"/>
        <v>2.7136880679276252E-2</v>
      </c>
      <c r="S73" s="2"/>
      <c r="T73" s="7">
        <v>63429.000959999998</v>
      </c>
      <c r="U73" s="2"/>
      <c r="V73" s="6">
        <f t="shared" si="26"/>
        <v>1.4236841422925469E-2</v>
      </c>
      <c r="W73" s="2"/>
      <c r="X73" s="7">
        <f t="shared" si="27"/>
        <v>11016.429039999995</v>
      </c>
      <c r="Y73" s="2"/>
      <c r="Z73" s="6">
        <f t="shared" si="28"/>
        <v>0.17368126366907854</v>
      </c>
    </row>
    <row r="74" spans="1:26" s="24" customFormat="1" hidden="1" outlineLevel="2" x14ac:dyDescent="0.25">
      <c r="A74" s="25"/>
      <c r="B74" s="11" t="str">
        <f>CONCATENATE("          ", "6005", " - ", "TEMPORARY WAGES-HOURLY")</f>
        <v xml:space="preserve">          6005 - TEMPORARY WAGES-HOURLY</v>
      </c>
      <c r="C74" s="11"/>
      <c r="D74" s="7">
        <v>1870</v>
      </c>
      <c r="E74" s="2"/>
      <c r="F74" s="6">
        <f t="shared" si="21"/>
        <v>2.9359174011824377E-2</v>
      </c>
      <c r="G74" s="2"/>
      <c r="H74" s="7">
        <v>3853.2</v>
      </c>
      <c r="I74" s="2"/>
      <c r="J74" s="6">
        <f t="shared" si="22"/>
        <v>6.3775695984640335E-2</v>
      </c>
      <c r="K74" s="2"/>
      <c r="L74" s="7">
        <f t="shared" si="23"/>
        <v>-1983.1999999999998</v>
      </c>
      <c r="M74" s="2"/>
      <c r="N74" s="6">
        <f t="shared" si="24"/>
        <v>-0.51468908958787496</v>
      </c>
      <c r="O74" s="11"/>
      <c r="P74" s="7">
        <v>17555.16</v>
      </c>
      <c r="Q74" s="2"/>
      <c r="R74" s="6">
        <f t="shared" si="25"/>
        <v>6.3992145955178627E-3</v>
      </c>
      <c r="S74" s="2"/>
      <c r="T74" s="7">
        <v>39473.64</v>
      </c>
      <c r="U74" s="2"/>
      <c r="V74" s="6">
        <f t="shared" si="26"/>
        <v>8.8599843062331547E-3</v>
      </c>
      <c r="W74" s="2"/>
      <c r="X74" s="7">
        <f t="shared" si="27"/>
        <v>-21918.48</v>
      </c>
      <c r="Y74" s="2"/>
      <c r="Z74" s="6">
        <f t="shared" si="28"/>
        <v>-0.55526878190103568</v>
      </c>
    </row>
    <row r="75" spans="1:26" s="24" customFormat="1" hidden="1" outlineLevel="2" x14ac:dyDescent="0.25">
      <c r="A75" s="25"/>
      <c r="B75" s="11" t="str">
        <f>CONCATENATE("          ", "6006", " - ", "TEMPORARY PART TIME")</f>
        <v xml:space="preserve">          6006 - TEMPORARY PART TIME</v>
      </c>
      <c r="C75" s="11"/>
      <c r="D75" s="7">
        <v>411.75</v>
      </c>
      <c r="E75" s="2"/>
      <c r="F75" s="6">
        <f t="shared" si="21"/>
        <v>6.4645133151704209E-3</v>
      </c>
      <c r="G75" s="2"/>
      <c r="H75" s="7">
        <v>0</v>
      </c>
      <c r="I75" s="2"/>
      <c r="J75" s="6">
        <f t="shared" si="22"/>
        <v>0</v>
      </c>
      <c r="K75" s="2"/>
      <c r="L75" s="7">
        <f t="shared" si="23"/>
        <v>411.75</v>
      </c>
      <c r="M75" s="2"/>
      <c r="N75" s="6">
        <f t="shared" si="24"/>
        <v>0</v>
      </c>
      <c r="O75" s="11"/>
      <c r="P75" s="7">
        <v>914.04</v>
      </c>
      <c r="Q75" s="2"/>
      <c r="R75" s="6">
        <f t="shared" si="25"/>
        <v>3.3318626027260058E-4</v>
      </c>
      <c r="S75" s="2"/>
      <c r="T75" s="7">
        <v>0</v>
      </c>
      <c r="U75" s="2"/>
      <c r="V75" s="6">
        <f t="shared" si="26"/>
        <v>0</v>
      </c>
      <c r="W75" s="2"/>
      <c r="X75" s="7">
        <f t="shared" si="27"/>
        <v>914.04</v>
      </c>
      <c r="Y75" s="2"/>
      <c r="Z75" s="6">
        <f t="shared" si="28"/>
        <v>0</v>
      </c>
    </row>
    <row r="76" spans="1:26" s="24" customFormat="1" hidden="1" outlineLevel="2" x14ac:dyDescent="0.25">
      <c r="A76" s="25"/>
      <c r="B76" s="11" t="str">
        <f>CONCATENATE("          ", "6007", " - ", "STUDENT HOURLY")</f>
        <v xml:space="preserve">          6007 - STUDENT HOURLY</v>
      </c>
      <c r="C76" s="11"/>
      <c r="D76" s="7">
        <v>1893.69</v>
      </c>
      <c r="E76" s="2"/>
      <c r="F76" s="6">
        <f t="shared" si="21"/>
        <v>2.9731109216284333E-2</v>
      </c>
      <c r="G76" s="2"/>
      <c r="H76" s="7">
        <v>853.875</v>
      </c>
      <c r="I76" s="2"/>
      <c r="J76" s="6">
        <f t="shared" si="22"/>
        <v>1.4132791552186434E-2</v>
      </c>
      <c r="K76" s="2"/>
      <c r="L76" s="7">
        <f t="shared" si="23"/>
        <v>1039.8150000000001</v>
      </c>
      <c r="M76" s="2"/>
      <c r="N76" s="6">
        <f t="shared" si="24"/>
        <v>1.2177602108036891</v>
      </c>
      <c r="O76" s="11"/>
      <c r="P76" s="7">
        <v>25036.92</v>
      </c>
      <c r="Q76" s="2"/>
      <c r="R76" s="6">
        <f t="shared" si="25"/>
        <v>9.1264690205508283E-3</v>
      </c>
      <c r="S76" s="2"/>
      <c r="T76" s="7">
        <v>29394.737499999999</v>
      </c>
      <c r="U76" s="2"/>
      <c r="V76" s="6">
        <f t="shared" si="26"/>
        <v>6.5977425171796465E-3</v>
      </c>
      <c r="W76" s="2"/>
      <c r="X76" s="7">
        <f t="shared" si="27"/>
        <v>-4357.817500000001</v>
      </c>
      <c r="Y76" s="2"/>
      <c r="Z76" s="6">
        <f t="shared" si="28"/>
        <v>-0.14825162157001745</v>
      </c>
    </row>
    <row r="77" spans="1:26" s="24" customFormat="1" hidden="1" outlineLevel="2" x14ac:dyDescent="0.25">
      <c r="A77" s="25"/>
      <c r="B77" s="11" t="str">
        <f>CONCATENATE("          ", "6008", " - ", "STUDENT HOURLY-FICA EXEMPT")</f>
        <v xml:space="preserve">          6008 - STUDENT HOURLY-FICA EXEMPT</v>
      </c>
      <c r="C77" s="11"/>
      <c r="D77" s="7"/>
      <c r="E77" s="2"/>
      <c r="F77" s="6">
        <f t="shared" si="21"/>
        <v>0</v>
      </c>
      <c r="G77" s="2"/>
      <c r="H77" s="7">
        <v>3415.5</v>
      </c>
      <c r="I77" s="2"/>
      <c r="J77" s="6">
        <f t="shared" si="22"/>
        <v>5.6531166208745737E-2</v>
      </c>
      <c r="K77" s="2"/>
      <c r="L77" s="7">
        <f t="shared" si="23"/>
        <v>-3415.5</v>
      </c>
      <c r="M77" s="2"/>
      <c r="N77" s="6">
        <f t="shared" si="24"/>
        <v>-1</v>
      </c>
      <c r="O77" s="11"/>
      <c r="P77" s="7">
        <v>967.26</v>
      </c>
      <c r="Q77" s="2"/>
      <c r="R77" s="6">
        <f t="shared" si="25"/>
        <v>3.5258603793190192E-4</v>
      </c>
      <c r="S77" s="2"/>
      <c r="T77" s="7">
        <v>75759.693750000006</v>
      </c>
      <c r="U77" s="2"/>
      <c r="V77" s="6">
        <f t="shared" si="26"/>
        <v>1.7004504719352713E-2</v>
      </c>
      <c r="W77" s="2"/>
      <c r="X77" s="7">
        <f t="shared" si="27"/>
        <v>-74792.433750000011</v>
      </c>
      <c r="Y77" s="2"/>
      <c r="Z77" s="6">
        <f t="shared" si="28"/>
        <v>-0.9872325249466839</v>
      </c>
    </row>
    <row r="78" spans="1:26" s="24" customFormat="1" hidden="1" outlineLevel="2" x14ac:dyDescent="0.25">
      <c r="A78" s="25"/>
      <c r="B78" s="11" t="str">
        <f>CONCATENATE("          ", "6009", " - ", "TEMPORARY-SEASONAL")</f>
        <v xml:space="preserve">          6009 - TEMPORARY-SEASONAL</v>
      </c>
      <c r="C78" s="11"/>
      <c r="D78" s="7"/>
      <c r="E78" s="2"/>
      <c r="F78" s="6">
        <f t="shared" si="21"/>
        <v>0</v>
      </c>
      <c r="G78" s="2"/>
      <c r="H78" s="7">
        <v>0</v>
      </c>
      <c r="I78" s="2"/>
      <c r="J78" s="6">
        <f t="shared" si="22"/>
        <v>0</v>
      </c>
      <c r="K78" s="2"/>
      <c r="L78" s="7">
        <f t="shared" si="23"/>
        <v>0</v>
      </c>
      <c r="M78" s="2"/>
      <c r="N78" s="6">
        <f t="shared" si="24"/>
        <v>0</v>
      </c>
      <c r="O78" s="11"/>
      <c r="P78" s="7"/>
      <c r="Q78" s="2"/>
      <c r="R78" s="6">
        <f t="shared" si="25"/>
        <v>0</v>
      </c>
      <c r="S78" s="2"/>
      <c r="T78" s="7">
        <v>0</v>
      </c>
      <c r="U78" s="2"/>
      <c r="V78" s="6">
        <f t="shared" si="26"/>
        <v>0</v>
      </c>
      <c r="W78" s="2"/>
      <c r="X78" s="7">
        <f t="shared" si="27"/>
        <v>0</v>
      </c>
      <c r="Y78" s="2"/>
      <c r="Z78" s="6">
        <f t="shared" si="28"/>
        <v>0</v>
      </c>
    </row>
    <row r="79" spans="1:26" s="24" customFormat="1" hidden="1" outlineLevel="2" x14ac:dyDescent="0.25">
      <c r="A79" s="25"/>
      <c r="B79" s="11" t="str">
        <f>CONCATENATE("          ", "6010", " - ", "GRATUITY")</f>
        <v xml:space="preserve">          6010 - GRATUITY</v>
      </c>
      <c r="C79" s="11"/>
      <c r="D79" s="7"/>
      <c r="E79" s="2"/>
      <c r="F79" s="6">
        <f t="shared" si="21"/>
        <v>0</v>
      </c>
      <c r="G79" s="2"/>
      <c r="H79" s="7">
        <v>0</v>
      </c>
      <c r="I79" s="2"/>
      <c r="J79" s="6">
        <f t="shared" si="22"/>
        <v>0</v>
      </c>
      <c r="K79" s="2"/>
      <c r="L79" s="7">
        <f t="shared" si="23"/>
        <v>0</v>
      </c>
      <c r="M79" s="2"/>
      <c r="N79" s="6">
        <f t="shared" si="24"/>
        <v>0</v>
      </c>
      <c r="O79" s="11"/>
      <c r="P79" s="7"/>
      <c r="Q79" s="2"/>
      <c r="R79" s="6">
        <f t="shared" si="25"/>
        <v>0</v>
      </c>
      <c r="S79" s="2"/>
      <c r="T79" s="7">
        <v>0</v>
      </c>
      <c r="U79" s="2"/>
      <c r="V79" s="6">
        <f t="shared" si="26"/>
        <v>0</v>
      </c>
      <c r="W79" s="2"/>
      <c r="X79" s="7">
        <f t="shared" si="27"/>
        <v>0</v>
      </c>
      <c r="Y79" s="2"/>
      <c r="Z79" s="6">
        <f t="shared" si="28"/>
        <v>0</v>
      </c>
    </row>
    <row r="80" spans="1:26" s="27" customFormat="1" outlineLevel="1" collapsed="1" x14ac:dyDescent="0.25">
      <c r="A80" s="26"/>
      <c r="B80" s="13" t="str">
        <f>CONCATENATE("     ","Advertising/Promo                                 ")</f>
        <v xml:space="preserve">     Advertising/Promo                                 </v>
      </c>
      <c r="C80" s="13"/>
      <c r="D80" s="1">
        <f>SUM(OSRRefD22_2x_0)</f>
        <v>348.4</v>
      </c>
      <c r="E80" s="1"/>
      <c r="F80" s="5">
        <f t="shared" ref="F80:F84" si="29">IF(D$12=0,0,D80/D$12)</f>
        <v>5.4699124201709149E-3</v>
      </c>
      <c r="G80" s="1"/>
      <c r="H80" s="1">
        <f>SUM(OSRRefH22_2x_0)</f>
        <v>500</v>
      </c>
      <c r="I80" s="1"/>
      <c r="J80" s="5">
        <f t="shared" ref="J80:J84" si="30">IF(H$12=0,0,H80/H$12)</f>
        <v>8.2756794332814725E-3</v>
      </c>
      <c r="K80" s="1"/>
      <c r="L80" s="1">
        <f t="shared" ref="L80:L84" si="31">+D80-H80</f>
        <v>-151.60000000000002</v>
      </c>
      <c r="M80" s="1"/>
      <c r="N80" s="5">
        <f t="shared" ref="N80:N84" si="32">IF(H80=0,0,L80/H80)</f>
        <v>-0.30320000000000003</v>
      </c>
      <c r="O80" s="13"/>
      <c r="P80" s="1">
        <f>SUM(OSRRefP22_2x_0)</f>
        <v>2380.9899999999998</v>
      </c>
      <c r="Q80" s="1"/>
      <c r="R80" s="5">
        <f t="shared" ref="R80:R84" si="33">IF(P$12=0,0,P80/P$12)</f>
        <v>8.679195153893256E-4</v>
      </c>
      <c r="S80" s="1"/>
      <c r="T80" s="1">
        <f>SUM(OSRRefT22_2x_0)</f>
        <v>2900</v>
      </c>
      <c r="U80" s="1"/>
      <c r="V80" s="5">
        <f t="shared" ref="V80:V84" si="34">IF(T$12=0,0,T80/T$12)</f>
        <v>6.5091424272188095E-4</v>
      </c>
      <c r="W80" s="1"/>
      <c r="X80" s="1">
        <f t="shared" ref="X80:X84" si="35">+P80-T80</f>
        <v>-519.01000000000022</v>
      </c>
      <c r="Y80" s="1"/>
      <c r="Z80" s="5">
        <f t="shared" ref="Z80:Z84" si="36">IF(T80=0,0,X80/T80)</f>
        <v>-0.17896896551724145</v>
      </c>
    </row>
    <row r="81" spans="1:26" s="24" customFormat="1" hidden="1" outlineLevel="2" x14ac:dyDescent="0.25">
      <c r="A81" s="25"/>
      <c r="B81" s="11" t="str">
        <f>CONCATENATE("          ", "6362", " - ", "ADVERTISING EXPENSE")</f>
        <v xml:space="preserve">          6362 - ADVERTISING EXPENSE</v>
      </c>
      <c r="C81" s="11"/>
      <c r="D81" s="7">
        <v>348.4</v>
      </c>
      <c r="E81" s="2"/>
      <c r="F81" s="6">
        <f t="shared" si="29"/>
        <v>5.4699124201709149E-3</v>
      </c>
      <c r="G81" s="2"/>
      <c r="H81" s="7">
        <v>500</v>
      </c>
      <c r="I81" s="2"/>
      <c r="J81" s="6">
        <f t="shared" si="30"/>
        <v>8.2756794332814725E-3</v>
      </c>
      <c r="K81" s="2"/>
      <c r="L81" s="7">
        <f t="shared" si="31"/>
        <v>-151.60000000000002</v>
      </c>
      <c r="M81" s="2"/>
      <c r="N81" s="6">
        <f t="shared" si="32"/>
        <v>-0.30320000000000003</v>
      </c>
      <c r="O81" s="11"/>
      <c r="P81" s="7">
        <v>2380.9899999999998</v>
      </c>
      <c r="Q81" s="2"/>
      <c r="R81" s="6">
        <f t="shared" si="33"/>
        <v>8.679195153893256E-4</v>
      </c>
      <c r="S81" s="2"/>
      <c r="T81" s="7">
        <v>2900</v>
      </c>
      <c r="U81" s="2"/>
      <c r="V81" s="6">
        <f t="shared" si="34"/>
        <v>6.5091424272188095E-4</v>
      </c>
      <c r="W81" s="2"/>
      <c r="X81" s="7">
        <f t="shared" si="35"/>
        <v>-519.01000000000022</v>
      </c>
      <c r="Y81" s="2"/>
      <c r="Z81" s="6">
        <f t="shared" si="36"/>
        <v>-0.17896896551724145</v>
      </c>
    </row>
    <row r="82" spans="1:26" s="27" customFormat="1" outlineLevel="1" collapsed="1" x14ac:dyDescent="0.25">
      <c r="A82" s="26"/>
      <c r="B82" s="13" t="str">
        <f>CONCATENATE("     ","Discounts and Markdowns                           ")</f>
        <v xml:space="preserve">     Discounts and Markdowns                           </v>
      </c>
      <c r="C82" s="13"/>
      <c r="D82" s="1">
        <f>SUM(OSRRefD22_3x_0)</f>
        <v>0</v>
      </c>
      <c r="E82" s="1"/>
      <c r="F82" s="5">
        <f t="shared" si="29"/>
        <v>0</v>
      </c>
      <c r="G82" s="1"/>
      <c r="H82" s="1">
        <f>SUM(OSRRefH22_3x_0)</f>
        <v>1200</v>
      </c>
      <c r="I82" s="1"/>
      <c r="J82" s="5">
        <f t="shared" si="30"/>
        <v>1.9861630639875533E-2</v>
      </c>
      <c r="K82" s="1"/>
      <c r="L82" s="1">
        <f t="shared" si="31"/>
        <v>-1200</v>
      </c>
      <c r="M82" s="1"/>
      <c r="N82" s="5">
        <f t="shared" si="32"/>
        <v>-1</v>
      </c>
      <c r="O82" s="13"/>
      <c r="P82" s="1">
        <f>SUM(OSRRefP22_3x_0)</f>
        <v>0</v>
      </c>
      <c r="Q82" s="1"/>
      <c r="R82" s="5">
        <f t="shared" si="33"/>
        <v>0</v>
      </c>
      <c r="S82" s="1"/>
      <c r="T82" s="1">
        <f>SUM(OSRRefT22_3x_0)</f>
        <v>18800</v>
      </c>
      <c r="U82" s="1"/>
      <c r="V82" s="5">
        <f t="shared" si="34"/>
        <v>4.2197199183349526E-3</v>
      </c>
      <c r="W82" s="1"/>
      <c r="X82" s="1">
        <f t="shared" si="35"/>
        <v>-18800</v>
      </c>
      <c r="Y82" s="1"/>
      <c r="Z82" s="5">
        <f t="shared" si="36"/>
        <v>-1</v>
      </c>
    </row>
    <row r="83" spans="1:26" s="24" customFormat="1" hidden="1" outlineLevel="2" x14ac:dyDescent="0.25">
      <c r="A83" s="25"/>
      <c r="B83" s="11" t="str">
        <f>CONCATENATE("          ", "6382", " - ", "DISCOUNTS/MARK DOWNS")</f>
        <v xml:space="preserve">          6382 - DISCOUNTS/MARK DOWNS</v>
      </c>
      <c r="C83" s="11"/>
      <c r="D83" s="7">
        <v>0</v>
      </c>
      <c r="E83" s="2"/>
      <c r="F83" s="6">
        <f t="shared" si="29"/>
        <v>0</v>
      </c>
      <c r="G83" s="2"/>
      <c r="H83" s="7">
        <v>1200</v>
      </c>
      <c r="I83" s="2"/>
      <c r="J83" s="6">
        <f t="shared" si="30"/>
        <v>1.9861630639875533E-2</v>
      </c>
      <c r="K83" s="2"/>
      <c r="L83" s="7">
        <f t="shared" si="31"/>
        <v>-1200</v>
      </c>
      <c r="M83" s="2"/>
      <c r="N83" s="6">
        <f t="shared" si="32"/>
        <v>-1</v>
      </c>
      <c r="O83" s="11"/>
      <c r="P83" s="7">
        <v>0</v>
      </c>
      <c r="Q83" s="2"/>
      <c r="R83" s="6">
        <f t="shared" si="33"/>
        <v>0</v>
      </c>
      <c r="S83" s="2"/>
      <c r="T83" s="7">
        <v>18800</v>
      </c>
      <c r="U83" s="2"/>
      <c r="V83" s="6">
        <f t="shared" si="34"/>
        <v>4.2197199183349526E-3</v>
      </c>
      <c r="W83" s="2"/>
      <c r="X83" s="7">
        <f t="shared" si="35"/>
        <v>-18800</v>
      </c>
      <c r="Y83" s="2"/>
      <c r="Z83" s="6">
        <f t="shared" si="36"/>
        <v>-1</v>
      </c>
    </row>
    <row r="84" spans="1:26" s="24" customFormat="1" hidden="1" outlineLevel="2" x14ac:dyDescent="0.25">
      <c r="A84" s="25"/>
      <c r="B84" s="11" t="str">
        <f>CONCATENATE("          ", "9175", " - ", "EARNED DISCOUNTS")</f>
        <v xml:space="preserve">          9175 - EARNED DISCOUNTS</v>
      </c>
      <c r="C84" s="11"/>
      <c r="D84" s="7"/>
      <c r="E84" s="2"/>
      <c r="F84" s="6">
        <f t="shared" si="29"/>
        <v>0</v>
      </c>
      <c r="G84" s="2"/>
      <c r="H84" s="7"/>
      <c r="I84" s="2"/>
      <c r="J84" s="6">
        <f t="shared" si="30"/>
        <v>0</v>
      </c>
      <c r="K84" s="2"/>
      <c r="L84" s="7">
        <f t="shared" si="31"/>
        <v>0</v>
      </c>
      <c r="M84" s="2"/>
      <c r="N84" s="6">
        <f t="shared" si="32"/>
        <v>0</v>
      </c>
      <c r="O84" s="11"/>
      <c r="P84" s="7">
        <v>0</v>
      </c>
      <c r="Q84" s="2"/>
      <c r="R84" s="6">
        <f t="shared" si="33"/>
        <v>0</v>
      </c>
      <c r="S84" s="2"/>
      <c r="T84" s="7"/>
      <c r="U84" s="2"/>
      <c r="V84" s="6">
        <f t="shared" si="34"/>
        <v>0</v>
      </c>
      <c r="W84" s="2"/>
      <c r="X84" s="7">
        <f t="shared" si="35"/>
        <v>0</v>
      </c>
      <c r="Y84" s="2"/>
      <c r="Z84" s="6">
        <f t="shared" si="36"/>
        <v>0</v>
      </c>
    </row>
    <row r="85" spans="1:26" s="27" customFormat="1" outlineLevel="1" collapsed="1" x14ac:dyDescent="0.25">
      <c r="A85" s="26"/>
      <c r="B85" s="13" t="str">
        <f>CONCATENATE("     ","Employees' Appreciation                           ")</f>
        <v xml:space="preserve">     Employees' Appreciation                           </v>
      </c>
      <c r="C85" s="13"/>
      <c r="D85" s="1">
        <f>SUM(OSRRefD22_4x_0)</f>
        <v>0</v>
      </c>
      <c r="E85" s="1"/>
      <c r="F85" s="5">
        <f t="shared" ref="F85:F91" si="37">IF(D$12=0,0,D85/D$12)</f>
        <v>0</v>
      </c>
      <c r="G85" s="1"/>
      <c r="H85" s="1">
        <f>SUM(OSRRefH22_4x_0)</f>
        <v>75</v>
      </c>
      <c r="I85" s="1"/>
      <c r="J85" s="5">
        <f t="shared" ref="J85:J91" si="38">IF(H$12=0,0,H85/H$12)</f>
        <v>1.2413519149922208E-3</v>
      </c>
      <c r="K85" s="1"/>
      <c r="L85" s="1">
        <f t="shared" ref="L85:L91" si="39">+D85-H85</f>
        <v>-75</v>
      </c>
      <c r="M85" s="1"/>
      <c r="N85" s="5">
        <f t="shared" ref="N85:N91" si="40">IF(H85=0,0,L85/H85)</f>
        <v>-1</v>
      </c>
      <c r="O85" s="13"/>
      <c r="P85" s="1">
        <f>SUM(OSRRefP22_4x_0)</f>
        <v>107.7</v>
      </c>
      <c r="Q85" s="1"/>
      <c r="R85" s="5">
        <f t="shared" ref="R85:R91" si="41">IF(P$12=0,0,P85/P$12)</f>
        <v>3.9258851069273868E-5</v>
      </c>
      <c r="S85" s="1"/>
      <c r="T85" s="1">
        <f>SUM(OSRRefT22_4x_0)</f>
        <v>825</v>
      </c>
      <c r="U85" s="1"/>
      <c r="V85" s="5">
        <f t="shared" ref="V85:V91" si="42">IF(T$12=0,0,T85/T$12)</f>
        <v>1.8517387939501786E-4</v>
      </c>
      <c r="W85" s="1"/>
      <c r="X85" s="1">
        <f t="shared" ref="X85:X91" si="43">+P85-T85</f>
        <v>-717.3</v>
      </c>
      <c r="Y85" s="1"/>
      <c r="Z85" s="5">
        <f t="shared" ref="Z85:Z91" si="44">IF(T85=0,0,X85/T85)</f>
        <v>-0.86945454545454537</v>
      </c>
    </row>
    <row r="86" spans="1:26" s="24" customFormat="1" hidden="1" outlineLevel="2" x14ac:dyDescent="0.25">
      <c r="A86" s="25"/>
      <c r="B86" s="11" t="str">
        <f>CONCATENATE("          ", "6277", " - ", "EMPLOYEE APPRECIATION")</f>
        <v xml:space="preserve">          6277 - EMPLOYEE APPRECIATION</v>
      </c>
      <c r="C86" s="11"/>
      <c r="D86" s="7"/>
      <c r="E86" s="2"/>
      <c r="F86" s="6">
        <f t="shared" si="37"/>
        <v>0</v>
      </c>
      <c r="G86" s="2"/>
      <c r="H86" s="7">
        <v>75</v>
      </c>
      <c r="I86" s="2"/>
      <c r="J86" s="6">
        <f t="shared" si="38"/>
        <v>1.2413519149922208E-3</v>
      </c>
      <c r="K86" s="2"/>
      <c r="L86" s="7">
        <f t="shared" si="39"/>
        <v>-75</v>
      </c>
      <c r="M86" s="2"/>
      <c r="N86" s="6">
        <f t="shared" si="40"/>
        <v>-1</v>
      </c>
      <c r="O86" s="11"/>
      <c r="P86" s="7">
        <v>107.7</v>
      </c>
      <c r="Q86" s="2"/>
      <c r="R86" s="6">
        <f t="shared" si="41"/>
        <v>3.9258851069273868E-5</v>
      </c>
      <c r="S86" s="2"/>
      <c r="T86" s="7">
        <v>825</v>
      </c>
      <c r="U86" s="2"/>
      <c r="V86" s="6">
        <f t="shared" si="42"/>
        <v>1.8517387939501786E-4</v>
      </c>
      <c r="W86" s="2"/>
      <c r="X86" s="7">
        <f t="shared" si="43"/>
        <v>-717.3</v>
      </c>
      <c r="Y86" s="2"/>
      <c r="Z86" s="6">
        <f t="shared" si="44"/>
        <v>-0.86945454545454537</v>
      </c>
    </row>
    <row r="87" spans="1:26" s="27" customFormat="1" outlineLevel="1" collapsed="1" x14ac:dyDescent="0.25">
      <c r="A87" s="26"/>
      <c r="B87" s="13" t="str">
        <f>CONCATENATE("     ","Equipment Rental                                  ")</f>
        <v xml:space="preserve">     Equipment Rental                                  </v>
      </c>
      <c r="C87" s="13"/>
      <c r="D87" s="1">
        <f>SUM(OSRRefD22_5x_0)</f>
        <v>91.26</v>
      </c>
      <c r="E87" s="1"/>
      <c r="F87" s="5">
        <f t="shared" si="37"/>
        <v>1.4327904921492473E-3</v>
      </c>
      <c r="G87" s="1"/>
      <c r="H87" s="1">
        <f>SUM(OSRRefH22_5x_0)</f>
        <v>100</v>
      </c>
      <c r="I87" s="1"/>
      <c r="J87" s="5">
        <f t="shared" si="38"/>
        <v>1.6551358866562945E-3</v>
      </c>
      <c r="K87" s="1"/>
      <c r="L87" s="1">
        <f t="shared" si="39"/>
        <v>-8.7399999999999949</v>
      </c>
      <c r="M87" s="1"/>
      <c r="N87" s="5">
        <f t="shared" si="40"/>
        <v>-8.739999999999995E-2</v>
      </c>
      <c r="O87" s="13"/>
      <c r="P87" s="1">
        <f>SUM(OSRRefP22_5x_0)</f>
        <v>1003.86</v>
      </c>
      <c r="Q87" s="1"/>
      <c r="R87" s="5">
        <f t="shared" si="41"/>
        <v>3.6592748592758831E-4</v>
      </c>
      <c r="S87" s="1"/>
      <c r="T87" s="1">
        <f>SUM(OSRRefT22_5x_0)</f>
        <v>1100</v>
      </c>
      <c r="U87" s="1"/>
      <c r="V87" s="5">
        <f t="shared" si="42"/>
        <v>2.468985058600238E-4</v>
      </c>
      <c r="W87" s="1"/>
      <c r="X87" s="1">
        <f t="shared" si="43"/>
        <v>-96.139999999999986</v>
      </c>
      <c r="Y87" s="1"/>
      <c r="Z87" s="5">
        <f t="shared" si="44"/>
        <v>-8.7399999999999992E-2</v>
      </c>
    </row>
    <row r="88" spans="1:26" s="24" customFormat="1" hidden="1" outlineLevel="2" x14ac:dyDescent="0.25">
      <c r="A88" s="25"/>
      <c r="B88" s="11" t="str">
        <f>CONCATENATE("          ", "6351", " - ", "EQUIPMENT RENTAL")</f>
        <v xml:space="preserve">          6351 - EQUIPMENT RENTAL</v>
      </c>
      <c r="C88" s="11"/>
      <c r="D88" s="7">
        <v>91.26</v>
      </c>
      <c r="E88" s="2"/>
      <c r="F88" s="6">
        <f t="shared" si="37"/>
        <v>1.4327904921492473E-3</v>
      </c>
      <c r="G88" s="2"/>
      <c r="H88" s="7">
        <v>100</v>
      </c>
      <c r="I88" s="2"/>
      <c r="J88" s="6">
        <f t="shared" si="38"/>
        <v>1.6551358866562945E-3</v>
      </c>
      <c r="K88" s="2"/>
      <c r="L88" s="7">
        <f t="shared" si="39"/>
        <v>-8.7399999999999949</v>
      </c>
      <c r="M88" s="2"/>
      <c r="N88" s="6">
        <f t="shared" si="40"/>
        <v>-8.739999999999995E-2</v>
      </c>
      <c r="O88" s="11"/>
      <c r="P88" s="7">
        <v>1003.86</v>
      </c>
      <c r="Q88" s="2"/>
      <c r="R88" s="6">
        <f t="shared" si="41"/>
        <v>3.6592748592758831E-4</v>
      </c>
      <c r="S88" s="2"/>
      <c r="T88" s="7">
        <v>1100</v>
      </c>
      <c r="U88" s="2"/>
      <c r="V88" s="6">
        <f t="shared" si="42"/>
        <v>2.468985058600238E-4</v>
      </c>
      <c r="W88" s="2"/>
      <c r="X88" s="7">
        <f t="shared" si="43"/>
        <v>-96.139999999999986</v>
      </c>
      <c r="Y88" s="2"/>
      <c r="Z88" s="6">
        <f t="shared" si="44"/>
        <v>-8.7399999999999992E-2</v>
      </c>
    </row>
    <row r="89" spans="1:26" s="27" customFormat="1" outlineLevel="1" collapsed="1" x14ac:dyDescent="0.25">
      <c r="A89" s="26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2675.75</v>
      </c>
      <c r="E89" s="1"/>
      <c r="F89" s="5">
        <f t="shared" si="37"/>
        <v>4.2009523990448702E-2</v>
      </c>
      <c r="G89" s="1"/>
      <c r="H89" s="1">
        <f>SUM(OSRRefH22_6x_0)</f>
        <v>1000</v>
      </c>
      <c r="I89" s="1"/>
      <c r="J89" s="5">
        <f t="shared" si="38"/>
        <v>1.6551358866562945E-2</v>
      </c>
      <c r="K89" s="1"/>
      <c r="L89" s="1">
        <f t="shared" si="39"/>
        <v>1675.75</v>
      </c>
      <c r="M89" s="1"/>
      <c r="N89" s="5">
        <f t="shared" si="40"/>
        <v>1.6757500000000001</v>
      </c>
      <c r="O89" s="13"/>
      <c r="P89" s="1">
        <f>SUM(OSRRefP22_6x_0)</f>
        <v>26453.74</v>
      </c>
      <c r="Q89" s="1"/>
      <c r="R89" s="5">
        <f t="shared" si="41"/>
        <v>9.6429288661587093E-3</v>
      </c>
      <c r="S89" s="1"/>
      <c r="T89" s="1">
        <f>SUM(OSRRefT22_6x_0)</f>
        <v>24000</v>
      </c>
      <c r="U89" s="1"/>
      <c r="V89" s="5">
        <f t="shared" si="42"/>
        <v>5.3868764914914288E-3</v>
      </c>
      <c r="W89" s="1"/>
      <c r="X89" s="1">
        <f t="shared" si="43"/>
        <v>2453.7400000000016</v>
      </c>
      <c r="Y89" s="1"/>
      <c r="Z89" s="5">
        <f t="shared" si="44"/>
        <v>0.10223916666666673</v>
      </c>
    </row>
    <row r="90" spans="1:26" s="24" customFormat="1" hidden="1" outlineLevel="2" x14ac:dyDescent="0.25">
      <c r="A90" s="25"/>
      <c r="B90" s="11" t="str">
        <f>CONCATENATE("          ", "6305", " - ", "FREIGHT OUT")</f>
        <v xml:space="preserve">          6305 - FREIGHT OUT</v>
      </c>
      <c r="C90" s="11"/>
      <c r="D90" s="7">
        <v>2675.75</v>
      </c>
      <c r="E90" s="2"/>
      <c r="F90" s="6">
        <f t="shared" si="37"/>
        <v>4.2009523990448702E-2</v>
      </c>
      <c r="G90" s="2"/>
      <c r="H90" s="7">
        <v>1000</v>
      </c>
      <c r="I90" s="2"/>
      <c r="J90" s="6">
        <f t="shared" si="38"/>
        <v>1.6551358866562945E-2</v>
      </c>
      <c r="K90" s="2"/>
      <c r="L90" s="7">
        <f t="shared" si="39"/>
        <v>1675.75</v>
      </c>
      <c r="M90" s="2"/>
      <c r="N90" s="6">
        <f t="shared" si="40"/>
        <v>1.6757500000000001</v>
      </c>
      <c r="O90" s="11"/>
      <c r="P90" s="7">
        <v>26453.24</v>
      </c>
      <c r="Q90" s="2"/>
      <c r="R90" s="6">
        <f t="shared" si="41"/>
        <v>9.6427466059401876E-3</v>
      </c>
      <c r="S90" s="2"/>
      <c r="T90" s="7">
        <v>24000</v>
      </c>
      <c r="U90" s="2"/>
      <c r="V90" s="6">
        <f t="shared" si="42"/>
        <v>5.3868764914914288E-3</v>
      </c>
      <c r="W90" s="2"/>
      <c r="X90" s="7">
        <f t="shared" si="43"/>
        <v>2453.2400000000016</v>
      </c>
      <c r="Y90" s="2"/>
      <c r="Z90" s="6">
        <f t="shared" si="44"/>
        <v>0.1022183333333334</v>
      </c>
    </row>
    <row r="91" spans="1:26" s="24" customFormat="1" hidden="1" outlineLevel="2" x14ac:dyDescent="0.25">
      <c r="A91" s="25"/>
      <c r="B91" s="11" t="str">
        <f>CONCATENATE("          ", "6307", " - ", "POSTAGE")</f>
        <v xml:space="preserve">          6307 - POSTAGE</v>
      </c>
      <c r="C91" s="11"/>
      <c r="D91" s="7"/>
      <c r="E91" s="2"/>
      <c r="F91" s="6">
        <f t="shared" si="37"/>
        <v>0</v>
      </c>
      <c r="G91" s="2"/>
      <c r="H91" s="7"/>
      <c r="I91" s="2"/>
      <c r="J91" s="6">
        <f t="shared" si="38"/>
        <v>0</v>
      </c>
      <c r="K91" s="2"/>
      <c r="L91" s="7">
        <f t="shared" si="39"/>
        <v>0</v>
      </c>
      <c r="M91" s="2"/>
      <c r="N91" s="6">
        <f t="shared" si="40"/>
        <v>0</v>
      </c>
      <c r="O91" s="11"/>
      <c r="P91" s="7">
        <v>0.5</v>
      </c>
      <c r="Q91" s="2"/>
      <c r="R91" s="6">
        <f t="shared" si="41"/>
        <v>1.8226021852030578E-7</v>
      </c>
      <c r="S91" s="2"/>
      <c r="T91" s="7"/>
      <c r="U91" s="2"/>
      <c r="V91" s="6">
        <f t="shared" si="42"/>
        <v>0</v>
      </c>
      <c r="W91" s="2"/>
      <c r="X91" s="7">
        <f t="shared" si="43"/>
        <v>0.5</v>
      </c>
      <c r="Y91" s="2"/>
      <c r="Z91" s="6">
        <f t="shared" si="44"/>
        <v>0</v>
      </c>
    </row>
    <row r="92" spans="1:26" s="27" customFormat="1" outlineLevel="1" collapsed="1" x14ac:dyDescent="0.25">
      <c r="A92" s="26"/>
      <c r="B92" s="13" t="str">
        <f>CONCATENATE("     ","General                                           ")</f>
        <v xml:space="preserve">     General                                           </v>
      </c>
      <c r="C92" s="13"/>
      <c r="D92" s="1">
        <f>SUM(OSRRefD22_7x_0)</f>
        <v>0</v>
      </c>
      <c r="E92" s="1"/>
      <c r="F92" s="5">
        <f t="shared" ref="F92:F94" si="45">IF(D$12=0,0,D92/D$12)</f>
        <v>0</v>
      </c>
      <c r="G92" s="1"/>
      <c r="H92" s="1">
        <f>SUM(OSRRefH22_7x_0)</f>
        <v>1250</v>
      </c>
      <c r="I92" s="1"/>
      <c r="J92" s="5">
        <f t="shared" ref="J92:J94" si="46">IF(H$12=0,0,H92/H$12)</f>
        <v>2.0689198583203682E-2</v>
      </c>
      <c r="K92" s="1"/>
      <c r="L92" s="1">
        <f t="shared" ref="L92:L94" si="47">+D92-H92</f>
        <v>-1250</v>
      </c>
      <c r="M92" s="1"/>
      <c r="N92" s="5">
        <f t="shared" ref="N92:N94" si="48">IF(H92=0,0,L92/H92)</f>
        <v>-1</v>
      </c>
      <c r="O92" s="13"/>
      <c r="P92" s="1">
        <f>SUM(OSRRefP22_7x_0)</f>
        <v>-1043.02</v>
      </c>
      <c r="Q92" s="1"/>
      <c r="R92" s="5">
        <f t="shared" ref="R92:R94" si="49">IF(P$12=0,0,P92/P$12)</f>
        <v>-3.8020210624209867E-4</v>
      </c>
      <c r="S92" s="1"/>
      <c r="T92" s="1">
        <f>SUM(OSRRefT22_7x_0)</f>
        <v>2750</v>
      </c>
      <c r="U92" s="1"/>
      <c r="V92" s="5">
        <f t="shared" ref="V92:V94" si="50">IF(T$12=0,0,T92/T$12)</f>
        <v>6.1724626465005958E-4</v>
      </c>
      <c r="W92" s="1"/>
      <c r="X92" s="1">
        <f t="shared" ref="X92:X94" si="51">+P92-T92</f>
        <v>-3793.02</v>
      </c>
      <c r="Y92" s="1"/>
      <c r="Z92" s="5">
        <f t="shared" ref="Z92:Z94" si="52">IF(T92=0,0,X92/T92)</f>
        <v>-1.3792800000000001</v>
      </c>
    </row>
    <row r="93" spans="1:26" s="24" customFormat="1" hidden="1" outlineLevel="2" x14ac:dyDescent="0.25">
      <c r="A93" s="25"/>
      <c r="B93" s="11" t="str">
        <f>CONCATENATE("          ", "6269", " - ", "ENTERTAINMENT")</f>
        <v xml:space="preserve">          6269 - ENTERTAINMENT</v>
      </c>
      <c r="C93" s="11"/>
      <c r="D93" s="7"/>
      <c r="E93" s="2"/>
      <c r="F93" s="6">
        <f t="shared" si="45"/>
        <v>0</v>
      </c>
      <c r="G93" s="2"/>
      <c r="H93" s="7">
        <v>1250</v>
      </c>
      <c r="I93" s="2"/>
      <c r="J93" s="6">
        <f t="shared" si="46"/>
        <v>2.0689198583203682E-2</v>
      </c>
      <c r="K93" s="2"/>
      <c r="L93" s="7">
        <f t="shared" si="47"/>
        <v>-1250</v>
      </c>
      <c r="M93" s="2"/>
      <c r="N93" s="6">
        <f t="shared" si="48"/>
        <v>-1</v>
      </c>
      <c r="O93" s="11"/>
      <c r="P93" s="7"/>
      <c r="Q93" s="2"/>
      <c r="R93" s="6">
        <f t="shared" si="49"/>
        <v>0</v>
      </c>
      <c r="S93" s="2"/>
      <c r="T93" s="7">
        <v>2750</v>
      </c>
      <c r="U93" s="2"/>
      <c r="V93" s="6">
        <f t="shared" si="50"/>
        <v>6.1724626465005958E-4</v>
      </c>
      <c r="W93" s="2"/>
      <c r="X93" s="7">
        <f t="shared" si="51"/>
        <v>-2750</v>
      </c>
      <c r="Y93" s="2"/>
      <c r="Z93" s="6">
        <f t="shared" si="52"/>
        <v>-1</v>
      </c>
    </row>
    <row r="94" spans="1:26" s="24" customFormat="1" hidden="1" outlineLevel="2" x14ac:dyDescent="0.25">
      <c r="A94" s="25"/>
      <c r="B94" s="11" t="str">
        <f>CONCATENATE("          ", "6279", " - ", "GENERAL EXPENSE")</f>
        <v xml:space="preserve">          6279 - GENERAL EXPENSE</v>
      </c>
      <c r="C94" s="11"/>
      <c r="D94" s="7"/>
      <c r="E94" s="2"/>
      <c r="F94" s="6">
        <f t="shared" si="45"/>
        <v>0</v>
      </c>
      <c r="G94" s="2"/>
      <c r="H94" s="7"/>
      <c r="I94" s="2"/>
      <c r="J94" s="6">
        <f t="shared" si="46"/>
        <v>0</v>
      </c>
      <c r="K94" s="2"/>
      <c r="L94" s="7">
        <f t="shared" si="47"/>
        <v>0</v>
      </c>
      <c r="M94" s="2"/>
      <c r="N94" s="6">
        <f t="shared" si="48"/>
        <v>0</v>
      </c>
      <c r="O94" s="11"/>
      <c r="P94" s="7">
        <v>-1043.02</v>
      </c>
      <c r="Q94" s="2"/>
      <c r="R94" s="6">
        <f t="shared" si="49"/>
        <v>-3.8020210624209867E-4</v>
      </c>
      <c r="S94" s="2"/>
      <c r="T94" s="7"/>
      <c r="U94" s="2"/>
      <c r="V94" s="6">
        <f t="shared" si="50"/>
        <v>0</v>
      </c>
      <c r="W94" s="2"/>
      <c r="X94" s="7">
        <f t="shared" si="51"/>
        <v>-1043.02</v>
      </c>
      <c r="Y94" s="2"/>
      <c r="Z94" s="6">
        <f t="shared" si="52"/>
        <v>0</v>
      </c>
    </row>
    <row r="95" spans="1:26" s="27" customFormat="1" outlineLevel="1" collapsed="1" x14ac:dyDescent="0.25">
      <c r="A95" s="26"/>
      <c r="B95" s="13" t="str">
        <f>CONCATENATE("     ","Inventory Adjustment                              ")</f>
        <v xml:space="preserve">     Inventory Adjustment                              </v>
      </c>
      <c r="C95" s="13"/>
      <c r="D95" s="1">
        <f>SUM(OSRRefD22_8x_0)</f>
        <v>1000</v>
      </c>
      <c r="E95" s="1"/>
      <c r="F95" s="5">
        <f t="shared" ref="F95:F100" si="53">IF(D$12=0,0,D95/D$12)</f>
        <v>1.5700093054451539E-2</v>
      </c>
      <c r="G95" s="1"/>
      <c r="H95" s="1">
        <f>SUM(OSRRefH22_8x_0)</f>
        <v>1000</v>
      </c>
      <c r="I95" s="1"/>
      <c r="J95" s="5">
        <f t="shared" ref="J95:J100" si="54">IF(H$12=0,0,H95/H$12)</f>
        <v>1.6551358866562945E-2</v>
      </c>
      <c r="K95" s="1"/>
      <c r="L95" s="1">
        <f t="shared" ref="L95:L100" si="55">+D95-H95</f>
        <v>0</v>
      </c>
      <c r="M95" s="1"/>
      <c r="N95" s="5">
        <f t="shared" ref="N95:N100" si="56">IF(H95=0,0,L95/H95)</f>
        <v>0</v>
      </c>
      <c r="O95" s="13"/>
      <c r="P95" s="1">
        <f>SUM(OSRRefP22_8x_0)</f>
        <v>16000</v>
      </c>
      <c r="Q95" s="1"/>
      <c r="R95" s="5">
        <f t="shared" ref="R95:R100" si="57">IF(P$12=0,0,P95/P$12)</f>
        <v>5.8323269926497849E-3</v>
      </c>
      <c r="S95" s="1"/>
      <c r="T95" s="1">
        <f>SUM(OSRRefT22_8x_0)</f>
        <v>16000</v>
      </c>
      <c r="U95" s="1"/>
      <c r="V95" s="5">
        <f t="shared" ref="V95:V100" si="58">IF(T$12=0,0,T95/T$12)</f>
        <v>3.5912509943276192E-3</v>
      </c>
      <c r="W95" s="1"/>
      <c r="X95" s="1">
        <f t="shared" ref="X95:X100" si="59">+P95-T95</f>
        <v>0</v>
      </c>
      <c r="Y95" s="1"/>
      <c r="Z95" s="5">
        <f t="shared" ref="Z95:Z100" si="60">IF(T95=0,0,X95/T95)</f>
        <v>0</v>
      </c>
    </row>
    <row r="96" spans="1:26" s="24" customFormat="1" hidden="1" outlineLevel="2" x14ac:dyDescent="0.25">
      <c r="A96" s="25"/>
      <c r="B96" s="11" t="str">
        <f>CONCATENATE("          ", "6408", " - ", "INVENTORY ADJUSTMENT")</f>
        <v xml:space="preserve">          6408 - INVENTORY ADJUSTMENT</v>
      </c>
      <c r="C96" s="11"/>
      <c r="D96" s="7">
        <v>1000</v>
      </c>
      <c r="E96" s="2"/>
      <c r="F96" s="6">
        <f t="shared" si="53"/>
        <v>1.5700093054451539E-2</v>
      </c>
      <c r="G96" s="2"/>
      <c r="H96" s="7">
        <v>1000</v>
      </c>
      <c r="I96" s="2"/>
      <c r="J96" s="6">
        <f t="shared" si="54"/>
        <v>1.6551358866562945E-2</v>
      </c>
      <c r="K96" s="2"/>
      <c r="L96" s="7">
        <f t="shared" si="55"/>
        <v>0</v>
      </c>
      <c r="M96" s="2"/>
      <c r="N96" s="6">
        <f t="shared" si="56"/>
        <v>0</v>
      </c>
      <c r="O96" s="11"/>
      <c r="P96" s="7">
        <v>16000</v>
      </c>
      <c r="Q96" s="2"/>
      <c r="R96" s="6">
        <f t="shared" si="57"/>
        <v>5.8323269926497849E-3</v>
      </c>
      <c r="S96" s="2"/>
      <c r="T96" s="7">
        <v>16000</v>
      </c>
      <c r="U96" s="2"/>
      <c r="V96" s="6">
        <f t="shared" si="58"/>
        <v>3.5912509943276192E-3</v>
      </c>
      <c r="W96" s="2"/>
      <c r="X96" s="7">
        <f t="shared" si="59"/>
        <v>0</v>
      </c>
      <c r="Y96" s="2"/>
      <c r="Z96" s="6">
        <f t="shared" si="60"/>
        <v>0</v>
      </c>
    </row>
    <row r="97" spans="1:26" s="27" customFormat="1" outlineLevel="1" collapsed="1" x14ac:dyDescent="0.25">
      <c r="A97" s="26"/>
      <c r="B97" s="13" t="str">
        <f>CONCATENATE("     ","Repair and Maintenance                            ")</f>
        <v xml:space="preserve">     Repair and Maintenance                            </v>
      </c>
      <c r="C97" s="13"/>
      <c r="D97" s="1">
        <f>SUM(OSRRefD22_9x_0)</f>
        <v>14.74</v>
      </c>
      <c r="E97" s="1"/>
      <c r="F97" s="5">
        <f t="shared" si="53"/>
        <v>2.3141937162261567E-4</v>
      </c>
      <c r="G97" s="1"/>
      <c r="H97" s="1">
        <f>SUM(OSRRefH22_9x_0)</f>
        <v>12140</v>
      </c>
      <c r="I97" s="1"/>
      <c r="J97" s="5">
        <f t="shared" si="54"/>
        <v>0.20093349664007415</v>
      </c>
      <c r="K97" s="1"/>
      <c r="L97" s="1">
        <f t="shared" si="55"/>
        <v>-12125.26</v>
      </c>
      <c r="M97" s="1"/>
      <c r="N97" s="5">
        <f t="shared" si="56"/>
        <v>-0.99878583196046133</v>
      </c>
      <c r="O97" s="13"/>
      <c r="P97" s="1">
        <f>SUM(OSRRefP22_9x_0)</f>
        <v>476.99</v>
      </c>
      <c r="Q97" s="1"/>
      <c r="R97" s="5">
        <f t="shared" si="57"/>
        <v>1.7387260326400133E-4</v>
      </c>
      <c r="S97" s="1"/>
      <c r="T97" s="1">
        <f>SUM(OSRRefT22_9x_0)</f>
        <v>13540</v>
      </c>
      <c r="U97" s="1"/>
      <c r="V97" s="5">
        <f t="shared" si="58"/>
        <v>3.0390961539497477E-3</v>
      </c>
      <c r="W97" s="1"/>
      <c r="X97" s="1">
        <f t="shared" si="59"/>
        <v>-13063.01</v>
      </c>
      <c r="Y97" s="1"/>
      <c r="Z97" s="5">
        <f t="shared" si="60"/>
        <v>-0.96477178729689805</v>
      </c>
    </row>
    <row r="98" spans="1:26" s="24" customFormat="1" hidden="1" outlineLevel="2" x14ac:dyDescent="0.25">
      <c r="A98" s="25"/>
      <c r="B98" s="11" t="str">
        <f>CONCATENATE("          ", "6371", " - ", "COMPUTER SOFTWARE MAINTENANCE")</f>
        <v xml:space="preserve">          6371 - COMPUTER SOFTWARE MAINTENANCE</v>
      </c>
      <c r="C98" s="11"/>
      <c r="D98" s="7"/>
      <c r="E98" s="2"/>
      <c r="F98" s="6">
        <f t="shared" si="53"/>
        <v>0</v>
      </c>
      <c r="G98" s="2"/>
      <c r="H98" s="7">
        <v>12000</v>
      </c>
      <c r="I98" s="2"/>
      <c r="J98" s="6">
        <f t="shared" si="54"/>
        <v>0.19861630639875533</v>
      </c>
      <c r="K98" s="2"/>
      <c r="L98" s="7">
        <f t="shared" si="55"/>
        <v>-12000</v>
      </c>
      <c r="M98" s="2"/>
      <c r="N98" s="6">
        <f t="shared" si="56"/>
        <v>-1</v>
      </c>
      <c r="O98" s="11"/>
      <c r="P98" s="7"/>
      <c r="Q98" s="2"/>
      <c r="R98" s="6">
        <f t="shared" si="57"/>
        <v>0</v>
      </c>
      <c r="S98" s="2"/>
      <c r="T98" s="7">
        <v>12000</v>
      </c>
      <c r="U98" s="2"/>
      <c r="V98" s="6">
        <f t="shared" si="58"/>
        <v>2.6934382457457144E-3</v>
      </c>
      <c r="W98" s="2"/>
      <c r="X98" s="7">
        <f t="shared" si="59"/>
        <v>-12000</v>
      </c>
      <c r="Y98" s="2"/>
      <c r="Z98" s="6">
        <f t="shared" si="60"/>
        <v>-1</v>
      </c>
    </row>
    <row r="99" spans="1:26" s="24" customFormat="1" hidden="1" outlineLevel="2" x14ac:dyDescent="0.25">
      <c r="A99" s="25"/>
      <c r="B99" s="11" t="str">
        <f>CONCATENATE("          ", "6373", " - ", "MAINTENANCE CONTRACTS")</f>
        <v xml:space="preserve">          6373 - MAINTENANCE CONTRACTS</v>
      </c>
      <c r="C99" s="11"/>
      <c r="D99" s="7">
        <v>14.74</v>
      </c>
      <c r="E99" s="2"/>
      <c r="F99" s="6">
        <f t="shared" si="53"/>
        <v>2.3141937162261567E-4</v>
      </c>
      <c r="G99" s="2"/>
      <c r="H99" s="7">
        <v>40</v>
      </c>
      <c r="I99" s="2"/>
      <c r="J99" s="6">
        <f t="shared" si="54"/>
        <v>6.6205435466251781E-4</v>
      </c>
      <c r="K99" s="2"/>
      <c r="L99" s="7">
        <f t="shared" si="55"/>
        <v>-25.259999999999998</v>
      </c>
      <c r="M99" s="2"/>
      <c r="N99" s="6">
        <f t="shared" si="56"/>
        <v>-0.63149999999999995</v>
      </c>
      <c r="O99" s="11"/>
      <c r="P99" s="7">
        <v>219.48</v>
      </c>
      <c r="Q99" s="2"/>
      <c r="R99" s="6">
        <f t="shared" si="57"/>
        <v>8.0004945521673423E-5</v>
      </c>
      <c r="S99" s="2"/>
      <c r="T99" s="7">
        <v>440</v>
      </c>
      <c r="U99" s="2"/>
      <c r="V99" s="6">
        <f t="shared" si="58"/>
        <v>9.875940234400953E-5</v>
      </c>
      <c r="W99" s="2"/>
      <c r="X99" s="7">
        <f t="shared" si="59"/>
        <v>-220.52</v>
      </c>
      <c r="Y99" s="2"/>
      <c r="Z99" s="6">
        <f t="shared" si="60"/>
        <v>-0.50118181818181817</v>
      </c>
    </row>
    <row r="100" spans="1:26" s="24" customFormat="1" hidden="1" outlineLevel="2" x14ac:dyDescent="0.25">
      <c r="A100" s="25"/>
      <c r="B100" s="11" t="str">
        <f>CONCATENATE("          ", "6375", " - ", "OUTSIDE REPAIRS &amp; MAINTENANCE")</f>
        <v xml:space="preserve">          6375 - OUTSIDE REPAIRS &amp; MAINTENANCE</v>
      </c>
      <c r="C100" s="11"/>
      <c r="D100" s="7"/>
      <c r="E100" s="2"/>
      <c r="F100" s="6">
        <f t="shared" si="53"/>
        <v>0</v>
      </c>
      <c r="G100" s="2"/>
      <c r="H100" s="7">
        <v>100</v>
      </c>
      <c r="I100" s="2"/>
      <c r="J100" s="6">
        <f t="shared" si="54"/>
        <v>1.6551358866562945E-3</v>
      </c>
      <c r="K100" s="2"/>
      <c r="L100" s="7">
        <f t="shared" si="55"/>
        <v>-100</v>
      </c>
      <c r="M100" s="2"/>
      <c r="N100" s="6">
        <f t="shared" si="56"/>
        <v>-1</v>
      </c>
      <c r="O100" s="11"/>
      <c r="P100" s="7">
        <v>257.51</v>
      </c>
      <c r="Q100" s="2"/>
      <c r="R100" s="6">
        <f t="shared" si="57"/>
        <v>9.3867657742327876E-5</v>
      </c>
      <c r="S100" s="2"/>
      <c r="T100" s="7">
        <v>1100</v>
      </c>
      <c r="U100" s="2"/>
      <c r="V100" s="6">
        <f t="shared" si="58"/>
        <v>2.468985058600238E-4</v>
      </c>
      <c r="W100" s="2"/>
      <c r="X100" s="7">
        <f t="shared" si="59"/>
        <v>-842.49</v>
      </c>
      <c r="Y100" s="2"/>
      <c r="Z100" s="6">
        <f t="shared" si="60"/>
        <v>-0.76590000000000003</v>
      </c>
    </row>
    <row r="101" spans="1:26" s="27" customFormat="1" outlineLevel="1" collapsed="1" x14ac:dyDescent="0.25">
      <c r="A101" s="26"/>
      <c r="B101" s="13" t="str">
        <f>CONCATENATE("     ","Subscriptions &amp; Dues                              ")</f>
        <v xml:space="preserve">     Subscriptions &amp; Dues                              </v>
      </c>
      <c r="C101" s="13"/>
      <c r="D101" s="1">
        <f>SUM(OSRRefD22_10x_0)</f>
        <v>554.32000000000005</v>
      </c>
      <c r="E101" s="1"/>
      <c r="F101" s="5">
        <f t="shared" ref="F101:F103" si="61">IF(D$12=0,0,D101/D$12)</f>
        <v>8.7028755819435772E-3</v>
      </c>
      <c r="G101" s="1"/>
      <c r="H101" s="1">
        <f>SUM(OSRRefH22_10x_0)</f>
        <v>300</v>
      </c>
      <c r="I101" s="1"/>
      <c r="J101" s="5">
        <f t="shared" ref="J101:J103" si="62">IF(H$12=0,0,H101/H$12)</f>
        <v>4.9654076599688832E-3</v>
      </c>
      <c r="K101" s="1"/>
      <c r="L101" s="1">
        <f t="shared" ref="L101:L103" si="63">+D101-H101</f>
        <v>254.32000000000005</v>
      </c>
      <c r="M101" s="1"/>
      <c r="N101" s="5">
        <f t="shared" ref="N101:N103" si="64">IF(H101=0,0,L101/H101)</f>
        <v>0.84773333333333345</v>
      </c>
      <c r="O101" s="13"/>
      <c r="P101" s="1">
        <f>SUM(OSRRefP22_10x_0)</f>
        <v>5209.66</v>
      </c>
      <c r="Q101" s="1"/>
      <c r="R101" s="5">
        <f t="shared" ref="R101:R103" si="65">IF(P$12=0,0,P101/P$12)</f>
        <v>1.8990275400329925E-3</v>
      </c>
      <c r="S101" s="1"/>
      <c r="T101" s="1">
        <f>SUM(OSRRefT22_10x_0)</f>
        <v>5100</v>
      </c>
      <c r="U101" s="1"/>
      <c r="V101" s="5">
        <f t="shared" ref="V101:V103" si="66">IF(T$12=0,0,T101/T$12)</f>
        <v>1.1447112544419285E-3</v>
      </c>
      <c r="W101" s="1"/>
      <c r="X101" s="1">
        <f t="shared" ref="X101:X103" si="67">+P101-T101</f>
        <v>109.65999999999985</v>
      </c>
      <c r="Y101" s="1"/>
      <c r="Z101" s="5">
        <f t="shared" ref="Z101:Z103" si="68">IF(T101=0,0,X101/T101)</f>
        <v>2.1501960784313698E-2</v>
      </c>
    </row>
    <row r="102" spans="1:26" s="24" customFormat="1" hidden="1" outlineLevel="2" x14ac:dyDescent="0.25">
      <c r="A102" s="25"/>
      <c r="B102" s="11" t="str">
        <f>CONCATENATE("          ", "6258", " - ", "MEMBERSHIP DUES")</f>
        <v xml:space="preserve">          6258 - MEMBERSHIP DUES</v>
      </c>
      <c r="C102" s="11"/>
      <c r="D102" s="7">
        <v>554.32000000000005</v>
      </c>
      <c r="E102" s="2"/>
      <c r="F102" s="6">
        <f t="shared" si="61"/>
        <v>8.7028755819435772E-3</v>
      </c>
      <c r="G102" s="2"/>
      <c r="H102" s="7">
        <v>300</v>
      </c>
      <c r="I102" s="2"/>
      <c r="J102" s="6">
        <f t="shared" si="62"/>
        <v>4.9654076599688832E-3</v>
      </c>
      <c r="K102" s="2"/>
      <c r="L102" s="7">
        <f t="shared" si="63"/>
        <v>254.32000000000005</v>
      </c>
      <c r="M102" s="2"/>
      <c r="N102" s="6">
        <f t="shared" si="64"/>
        <v>0.84773333333333345</v>
      </c>
      <c r="O102" s="11"/>
      <c r="P102" s="7">
        <v>3357.58</v>
      </c>
      <c r="Q102" s="2"/>
      <c r="R102" s="6">
        <f t="shared" si="65"/>
        <v>1.2239065289988166E-3</v>
      </c>
      <c r="S102" s="2"/>
      <c r="T102" s="7">
        <v>3300</v>
      </c>
      <c r="U102" s="2"/>
      <c r="V102" s="6">
        <f t="shared" si="66"/>
        <v>7.4069551758007145E-4</v>
      </c>
      <c r="W102" s="2"/>
      <c r="X102" s="7">
        <f t="shared" si="67"/>
        <v>57.579999999999927</v>
      </c>
      <c r="Y102" s="2"/>
      <c r="Z102" s="6">
        <f t="shared" si="68"/>
        <v>1.7448484848484828E-2</v>
      </c>
    </row>
    <row r="103" spans="1:26" s="24" customFormat="1" hidden="1" outlineLevel="2" x14ac:dyDescent="0.25">
      <c r="A103" s="25"/>
      <c r="B103" s="11" t="str">
        <f>CONCATENATE("          ", "6275", " - ", "SUBSCRIPTIONS")</f>
        <v xml:space="preserve">          6275 - SUBSCRIPTIONS</v>
      </c>
      <c r="C103" s="11"/>
      <c r="D103" s="7"/>
      <c r="E103" s="2"/>
      <c r="F103" s="6">
        <f t="shared" si="61"/>
        <v>0</v>
      </c>
      <c r="G103" s="2"/>
      <c r="H103" s="7"/>
      <c r="I103" s="2"/>
      <c r="J103" s="6">
        <f t="shared" si="62"/>
        <v>0</v>
      </c>
      <c r="K103" s="2"/>
      <c r="L103" s="7">
        <f t="shared" si="63"/>
        <v>0</v>
      </c>
      <c r="M103" s="2"/>
      <c r="N103" s="6">
        <f t="shared" si="64"/>
        <v>0</v>
      </c>
      <c r="O103" s="11"/>
      <c r="P103" s="7">
        <v>1852.08</v>
      </c>
      <c r="Q103" s="2"/>
      <c r="R103" s="6">
        <f t="shared" si="65"/>
        <v>6.7512101103417584E-4</v>
      </c>
      <c r="S103" s="2"/>
      <c r="T103" s="7">
        <v>1800</v>
      </c>
      <c r="U103" s="2"/>
      <c r="V103" s="6">
        <f t="shared" si="66"/>
        <v>4.0401573686185715E-4</v>
      </c>
      <c r="W103" s="2"/>
      <c r="X103" s="7">
        <f t="shared" si="67"/>
        <v>52.079999999999927</v>
      </c>
      <c r="Y103" s="2"/>
      <c r="Z103" s="6">
        <f t="shared" si="68"/>
        <v>2.8933333333333294E-2</v>
      </c>
    </row>
    <row r="104" spans="1:26" s="27" customFormat="1" outlineLevel="1" collapsed="1" x14ac:dyDescent="0.25">
      <c r="A104" s="26"/>
      <c r="B104" s="13" t="str">
        <f>CONCATENATE("     ","Supplies                                          ")</f>
        <v xml:space="preserve">     Supplies                                          </v>
      </c>
      <c r="C104" s="13"/>
      <c r="D104" s="1">
        <f>SUM(OSRRefD22_11x_0)</f>
        <v>-7.0600000000000023</v>
      </c>
      <c r="E104" s="1"/>
      <c r="F104" s="5">
        <f t="shared" ref="F104:F107" si="69">IF(D$12=0,0,D104/D$12)</f>
        <v>-1.1084265696442789E-4</v>
      </c>
      <c r="G104" s="1"/>
      <c r="H104" s="1">
        <f>SUM(OSRRefH22_11x_0)</f>
        <v>1200</v>
      </c>
      <c r="I104" s="1"/>
      <c r="J104" s="5">
        <f t="shared" ref="J104:J107" si="70">IF(H$12=0,0,H104/H$12)</f>
        <v>1.9861630639875533E-2</v>
      </c>
      <c r="K104" s="1"/>
      <c r="L104" s="1">
        <f t="shared" ref="L104:L107" si="71">+D104-H104</f>
        <v>-1207.06</v>
      </c>
      <c r="M104" s="1"/>
      <c r="N104" s="5">
        <f t="shared" ref="N104:N107" si="72">IF(H104=0,0,L104/H104)</f>
        <v>-1.0058833333333332</v>
      </c>
      <c r="O104" s="13"/>
      <c r="P104" s="1">
        <f>SUM(OSRRefP22_11x_0)</f>
        <v>5366.37</v>
      </c>
      <c r="Q104" s="1"/>
      <c r="R104" s="5">
        <f t="shared" ref="R104:R107" si="73">IF(P$12=0,0,P104/P$12)</f>
        <v>1.9561515377216265E-3</v>
      </c>
      <c r="S104" s="1"/>
      <c r="T104" s="1">
        <f>SUM(OSRRefT22_11x_0)</f>
        <v>13300</v>
      </c>
      <c r="U104" s="1"/>
      <c r="V104" s="5">
        <f t="shared" ref="V104:V107" si="74">IF(T$12=0,0,T104/T$12)</f>
        <v>2.9852273890348334E-3</v>
      </c>
      <c r="W104" s="1"/>
      <c r="X104" s="1">
        <f t="shared" ref="X104:X107" si="75">+P104-T104</f>
        <v>-7933.63</v>
      </c>
      <c r="Y104" s="1"/>
      <c r="Z104" s="5">
        <f t="shared" ref="Z104:Z107" si="76">IF(T104=0,0,X104/T104)</f>
        <v>-0.5965135338345865</v>
      </c>
    </row>
    <row r="105" spans="1:26" s="24" customFormat="1" hidden="1" outlineLevel="2" x14ac:dyDescent="0.25">
      <c r="A105" s="25"/>
      <c r="B105" s="11" t="str">
        <f>CONCATENATE("          ", "6241", " - ", "OFFICE EXPENSE")</f>
        <v xml:space="preserve">          6241 - OFFICE EXPENSE</v>
      </c>
      <c r="C105" s="11"/>
      <c r="D105" s="7">
        <v>58.08</v>
      </c>
      <c r="E105" s="2"/>
      <c r="F105" s="6">
        <f t="shared" si="69"/>
        <v>9.1186140460254529E-4</v>
      </c>
      <c r="G105" s="2"/>
      <c r="H105" s="7">
        <v>300</v>
      </c>
      <c r="I105" s="2"/>
      <c r="J105" s="6">
        <f t="shared" si="70"/>
        <v>4.9654076599688832E-3</v>
      </c>
      <c r="K105" s="2"/>
      <c r="L105" s="7">
        <f t="shared" si="71"/>
        <v>-241.92000000000002</v>
      </c>
      <c r="M105" s="2"/>
      <c r="N105" s="6">
        <f t="shared" si="72"/>
        <v>-0.80640000000000001</v>
      </c>
      <c r="O105" s="11"/>
      <c r="P105" s="7">
        <v>1624.75</v>
      </c>
      <c r="Q105" s="2"/>
      <c r="R105" s="6">
        <f t="shared" si="73"/>
        <v>5.9225458008173369E-4</v>
      </c>
      <c r="S105" s="2"/>
      <c r="T105" s="7">
        <v>4500</v>
      </c>
      <c r="U105" s="2"/>
      <c r="V105" s="6">
        <f t="shared" si="74"/>
        <v>1.0100393421546428E-3</v>
      </c>
      <c r="W105" s="2"/>
      <c r="X105" s="7">
        <f t="shared" si="75"/>
        <v>-2875.25</v>
      </c>
      <c r="Y105" s="2"/>
      <c r="Z105" s="6">
        <f t="shared" si="76"/>
        <v>-0.63894444444444443</v>
      </c>
    </row>
    <row r="106" spans="1:26" s="24" customFormat="1" hidden="1" outlineLevel="2" x14ac:dyDescent="0.25">
      <c r="A106" s="25"/>
      <c r="B106" s="11" t="str">
        <f>CONCATENATE("          ", "6245", " - ", "PRINTING")</f>
        <v xml:space="preserve">          6245 - PRINTING</v>
      </c>
      <c r="C106" s="11"/>
      <c r="D106" s="7"/>
      <c r="E106" s="2"/>
      <c r="F106" s="6">
        <f t="shared" si="69"/>
        <v>0</v>
      </c>
      <c r="G106" s="2"/>
      <c r="H106" s="7">
        <v>500</v>
      </c>
      <c r="I106" s="2"/>
      <c r="J106" s="6">
        <f t="shared" si="70"/>
        <v>8.2756794332814725E-3</v>
      </c>
      <c r="K106" s="2"/>
      <c r="L106" s="7">
        <f t="shared" si="71"/>
        <v>-500</v>
      </c>
      <c r="M106" s="2"/>
      <c r="N106" s="6">
        <f t="shared" si="72"/>
        <v>-1</v>
      </c>
      <c r="O106" s="11"/>
      <c r="P106" s="7"/>
      <c r="Q106" s="2"/>
      <c r="R106" s="6">
        <f t="shared" si="73"/>
        <v>0</v>
      </c>
      <c r="S106" s="2"/>
      <c r="T106" s="7">
        <v>2500</v>
      </c>
      <c r="U106" s="2"/>
      <c r="V106" s="6">
        <f t="shared" si="74"/>
        <v>5.6113296786369045E-4</v>
      </c>
      <c r="W106" s="2"/>
      <c r="X106" s="7">
        <f t="shared" si="75"/>
        <v>-2500</v>
      </c>
      <c r="Y106" s="2"/>
      <c r="Z106" s="6">
        <f t="shared" si="76"/>
        <v>-1</v>
      </c>
    </row>
    <row r="107" spans="1:26" s="24" customFormat="1" hidden="1" outlineLevel="2" x14ac:dyDescent="0.25">
      <c r="A107" s="25"/>
      <c r="B107" s="11" t="str">
        <f>CONCATENATE("          ", "6247", " - ", "STORE SUPPLIES")</f>
        <v xml:space="preserve">          6247 - STORE SUPPLIES</v>
      </c>
      <c r="C107" s="11"/>
      <c r="D107" s="7">
        <v>-65.14</v>
      </c>
      <c r="E107" s="2"/>
      <c r="F107" s="6">
        <f t="shared" si="69"/>
        <v>-1.0227040615669732E-3</v>
      </c>
      <c r="G107" s="2"/>
      <c r="H107" s="7">
        <v>400</v>
      </c>
      <c r="I107" s="2"/>
      <c r="J107" s="6">
        <f t="shared" si="70"/>
        <v>6.6205435466251778E-3</v>
      </c>
      <c r="K107" s="2"/>
      <c r="L107" s="7">
        <f t="shared" si="71"/>
        <v>-465.14</v>
      </c>
      <c r="M107" s="2"/>
      <c r="N107" s="6">
        <f t="shared" si="72"/>
        <v>-1.1628499999999999</v>
      </c>
      <c r="O107" s="11"/>
      <c r="P107" s="7">
        <v>3741.62</v>
      </c>
      <c r="Q107" s="2"/>
      <c r="R107" s="6">
        <f t="shared" si="73"/>
        <v>1.363896957639893E-3</v>
      </c>
      <c r="S107" s="2"/>
      <c r="T107" s="7">
        <v>6300</v>
      </c>
      <c r="U107" s="2"/>
      <c r="V107" s="6">
        <f t="shared" si="74"/>
        <v>1.4140550790164999E-3</v>
      </c>
      <c r="W107" s="2"/>
      <c r="X107" s="7">
        <f t="shared" si="75"/>
        <v>-2558.38</v>
      </c>
      <c r="Y107" s="2"/>
      <c r="Z107" s="6">
        <f t="shared" si="76"/>
        <v>-0.4060920634920635</v>
      </c>
    </row>
    <row r="108" spans="1:26" s="27" customFormat="1" outlineLevel="1" collapsed="1" x14ac:dyDescent="0.25">
      <c r="A108" s="26"/>
      <c r="B108" s="13" t="str">
        <f>CONCATENATE("     ","Telephone/Data Lines                              ")</f>
        <v xml:space="preserve">     Telephone/Data Lines                              </v>
      </c>
      <c r="C108" s="13"/>
      <c r="D108" s="1">
        <f>SUM(OSRRefD22_12x_0)</f>
        <v>563.79999999999995</v>
      </c>
      <c r="E108" s="1"/>
      <c r="F108" s="5">
        <f t="shared" ref="F108:F110" si="77">IF(D$12=0,0,D108/D$12)</f>
        <v>8.8517124640997754E-3</v>
      </c>
      <c r="G108" s="1"/>
      <c r="H108" s="1">
        <f>SUM(OSRRefH22_12x_0)</f>
        <v>600</v>
      </c>
      <c r="I108" s="1"/>
      <c r="J108" s="5">
        <f t="shared" ref="J108:J110" si="78">IF(H$12=0,0,H108/H$12)</f>
        <v>9.9308153199377663E-3</v>
      </c>
      <c r="K108" s="1"/>
      <c r="L108" s="1">
        <f t="shared" ref="L108:L110" si="79">+D108-H108</f>
        <v>-36.200000000000045</v>
      </c>
      <c r="M108" s="1"/>
      <c r="N108" s="5">
        <f t="shared" ref="N108:N110" si="80">IF(H108=0,0,L108/H108)</f>
        <v>-6.0333333333333412E-2</v>
      </c>
      <c r="O108" s="13"/>
      <c r="P108" s="1">
        <f>SUM(OSRRefP22_12x_0)</f>
        <v>8749.7000000000007</v>
      </c>
      <c r="Q108" s="1"/>
      <c r="R108" s="5">
        <f t="shared" ref="R108:R110" si="81">IF(P$12=0,0,P108/P$12)</f>
        <v>3.1894444679742393E-3</v>
      </c>
      <c r="S108" s="1"/>
      <c r="T108" s="1">
        <f>SUM(OSRRefT22_12x_0)</f>
        <v>8900</v>
      </c>
      <c r="U108" s="1"/>
      <c r="V108" s="5">
        <f t="shared" ref="V108:V110" si="82">IF(T$12=0,0,T108/T$12)</f>
        <v>1.997633365594738E-3</v>
      </c>
      <c r="W108" s="1"/>
      <c r="X108" s="1">
        <f t="shared" ref="X108:X110" si="83">+P108-T108</f>
        <v>-150.29999999999927</v>
      </c>
      <c r="Y108" s="1"/>
      <c r="Z108" s="5">
        <f t="shared" ref="Z108:Z110" si="84">IF(T108=0,0,X108/T108)</f>
        <v>-1.6887640449438121E-2</v>
      </c>
    </row>
    <row r="109" spans="1:26" s="24" customFormat="1" hidden="1" outlineLevel="2" x14ac:dyDescent="0.25">
      <c r="A109" s="25"/>
      <c r="B109" s="11" t="str">
        <f>CONCATENATE("          ", "6303", " - ", "DATA PHONE LINES")</f>
        <v xml:space="preserve">          6303 - DATA PHONE LINES</v>
      </c>
      <c r="C109" s="11"/>
      <c r="D109" s="7"/>
      <c r="E109" s="2"/>
      <c r="F109" s="6">
        <f t="shared" si="77"/>
        <v>0</v>
      </c>
      <c r="G109" s="2"/>
      <c r="H109" s="7">
        <v>300</v>
      </c>
      <c r="I109" s="2"/>
      <c r="J109" s="6">
        <f t="shared" si="78"/>
        <v>4.9654076599688832E-3</v>
      </c>
      <c r="K109" s="2"/>
      <c r="L109" s="7">
        <f t="shared" si="79"/>
        <v>-300</v>
      </c>
      <c r="M109" s="2"/>
      <c r="N109" s="6">
        <f t="shared" si="80"/>
        <v>-1</v>
      </c>
      <c r="O109" s="11"/>
      <c r="P109" s="7">
        <v>3540</v>
      </c>
      <c r="Q109" s="2"/>
      <c r="R109" s="6">
        <f t="shared" si="81"/>
        <v>1.290402347123765E-3</v>
      </c>
      <c r="S109" s="2"/>
      <c r="T109" s="7">
        <v>3300</v>
      </c>
      <c r="U109" s="2"/>
      <c r="V109" s="6">
        <f t="shared" si="82"/>
        <v>7.4069551758007145E-4</v>
      </c>
      <c r="W109" s="2"/>
      <c r="X109" s="7">
        <f t="shared" si="83"/>
        <v>240</v>
      </c>
      <c r="Y109" s="2"/>
      <c r="Z109" s="6">
        <f t="shared" si="84"/>
        <v>7.2727272727272724E-2</v>
      </c>
    </row>
    <row r="110" spans="1:26" s="24" customFormat="1" hidden="1" outlineLevel="2" x14ac:dyDescent="0.25">
      <c r="A110" s="25"/>
      <c r="B110" s="11" t="str">
        <f>CONCATENATE("          ", "6309", " - ", "TELEPHONE")</f>
        <v xml:space="preserve">          6309 - TELEPHONE</v>
      </c>
      <c r="C110" s="11"/>
      <c r="D110" s="7">
        <v>563.79999999999995</v>
      </c>
      <c r="E110" s="2"/>
      <c r="F110" s="6">
        <f t="shared" si="77"/>
        <v>8.8517124640997754E-3</v>
      </c>
      <c r="G110" s="2"/>
      <c r="H110" s="7">
        <v>300</v>
      </c>
      <c r="I110" s="2"/>
      <c r="J110" s="6">
        <f t="shared" si="78"/>
        <v>4.9654076599688832E-3</v>
      </c>
      <c r="K110" s="2"/>
      <c r="L110" s="7">
        <f t="shared" si="79"/>
        <v>263.79999999999995</v>
      </c>
      <c r="M110" s="2"/>
      <c r="N110" s="6">
        <f t="shared" si="80"/>
        <v>0.87933333333333319</v>
      </c>
      <c r="O110" s="11"/>
      <c r="P110" s="7">
        <v>5209.7</v>
      </c>
      <c r="Q110" s="2"/>
      <c r="R110" s="6">
        <f t="shared" si="81"/>
        <v>1.899042120850474E-3</v>
      </c>
      <c r="S110" s="2"/>
      <c r="T110" s="7">
        <v>5600</v>
      </c>
      <c r="U110" s="2"/>
      <c r="V110" s="6">
        <f t="shared" si="82"/>
        <v>1.2569378480146666E-3</v>
      </c>
      <c r="W110" s="2"/>
      <c r="X110" s="7">
        <f t="shared" si="83"/>
        <v>-390.30000000000018</v>
      </c>
      <c r="Y110" s="2"/>
      <c r="Z110" s="6">
        <f t="shared" si="84"/>
        <v>-6.9696428571428604E-2</v>
      </c>
    </row>
    <row r="111" spans="1:26" s="27" customFormat="1" outlineLevel="1" collapsed="1" x14ac:dyDescent="0.25">
      <c r="A111" s="26"/>
      <c r="B111" s="13" t="str">
        <f>CONCATENATE("     ","Training                                          ")</f>
        <v xml:space="preserve">     Training                                          </v>
      </c>
      <c r="C111" s="13"/>
      <c r="D111" s="1">
        <f>SUM(OSRRefD22_13x_0)</f>
        <v>0</v>
      </c>
      <c r="E111" s="1"/>
      <c r="F111" s="5">
        <f t="shared" ref="F111:F114" si="85">IF(D$12=0,0,D111/D$12)</f>
        <v>0</v>
      </c>
      <c r="G111" s="1"/>
      <c r="H111" s="1">
        <f>SUM(OSRRefH22_13x_0)</f>
        <v>0</v>
      </c>
      <c r="I111" s="1"/>
      <c r="J111" s="5">
        <f t="shared" ref="J111:J114" si="86">IF(H$12=0,0,H111/H$12)</f>
        <v>0</v>
      </c>
      <c r="K111" s="1"/>
      <c r="L111" s="1">
        <f t="shared" ref="L111:L114" si="87">+D111-H111</f>
        <v>0</v>
      </c>
      <c r="M111" s="1"/>
      <c r="N111" s="5">
        <f t="shared" ref="N111:N114" si="88">IF(H111=0,0,L111/H111)</f>
        <v>0</v>
      </c>
      <c r="O111" s="13"/>
      <c r="P111" s="1">
        <f>SUM(OSRRefP22_13x_0)</f>
        <v>0</v>
      </c>
      <c r="Q111" s="1"/>
      <c r="R111" s="5">
        <f t="shared" ref="R111:R114" si="89">IF(P$12=0,0,P111/P$12)</f>
        <v>0</v>
      </c>
      <c r="S111" s="1"/>
      <c r="T111" s="1">
        <f>SUM(OSRRefT22_13x_0)</f>
        <v>5000</v>
      </c>
      <c r="U111" s="1"/>
      <c r="V111" s="5">
        <f t="shared" ref="V111:V114" si="90">IF(T$12=0,0,T111/T$12)</f>
        <v>1.1222659357273809E-3</v>
      </c>
      <c r="W111" s="1"/>
      <c r="X111" s="1">
        <f t="shared" ref="X111:X114" si="91">+P111-T111</f>
        <v>-5000</v>
      </c>
      <c r="Y111" s="1"/>
      <c r="Z111" s="5">
        <f t="shared" ref="Z111:Z114" si="92">IF(T111=0,0,X111/T111)</f>
        <v>-1</v>
      </c>
    </row>
    <row r="112" spans="1:26" s="24" customFormat="1" hidden="1" outlineLevel="2" x14ac:dyDescent="0.25">
      <c r="A112" s="25"/>
      <c r="B112" s="11" t="str">
        <f>CONCATENATE("          ", "6376", " - ", "TRAINING")</f>
        <v xml:space="preserve">          6376 - TRAINING</v>
      </c>
      <c r="C112" s="11"/>
      <c r="D112" s="7"/>
      <c r="E112" s="2"/>
      <c r="F112" s="6">
        <f t="shared" si="85"/>
        <v>0</v>
      </c>
      <c r="G112" s="2"/>
      <c r="H112" s="7"/>
      <c r="I112" s="2"/>
      <c r="J112" s="6">
        <f t="shared" si="86"/>
        <v>0</v>
      </c>
      <c r="K112" s="2"/>
      <c r="L112" s="7">
        <f t="shared" si="87"/>
        <v>0</v>
      </c>
      <c r="M112" s="2"/>
      <c r="N112" s="6">
        <f t="shared" si="88"/>
        <v>0</v>
      </c>
      <c r="O112" s="11"/>
      <c r="P112" s="7"/>
      <c r="Q112" s="2"/>
      <c r="R112" s="6">
        <f t="shared" si="89"/>
        <v>0</v>
      </c>
      <c r="S112" s="2"/>
      <c r="T112" s="7">
        <v>5000</v>
      </c>
      <c r="U112" s="2"/>
      <c r="V112" s="6">
        <f t="shared" si="90"/>
        <v>1.1222659357273809E-3</v>
      </c>
      <c r="W112" s="2"/>
      <c r="X112" s="7">
        <f t="shared" si="91"/>
        <v>-5000</v>
      </c>
      <c r="Y112" s="2"/>
      <c r="Z112" s="6">
        <f t="shared" si="92"/>
        <v>-1</v>
      </c>
    </row>
    <row r="113" spans="1:26" s="27" customFormat="1" outlineLevel="1" collapsed="1" x14ac:dyDescent="0.25">
      <c r="A113" s="26"/>
      <c r="B113" s="13" t="str">
        <f>CONCATENATE("     ","Travel                                            ")</f>
        <v xml:space="preserve">     Travel                                            </v>
      </c>
      <c r="C113" s="13"/>
      <c r="D113" s="1">
        <f>SUM(OSRRefD22_14x_0)</f>
        <v>0</v>
      </c>
      <c r="E113" s="1"/>
      <c r="F113" s="5">
        <f t="shared" si="85"/>
        <v>0</v>
      </c>
      <c r="G113" s="1"/>
      <c r="H113" s="1">
        <f>SUM(OSRRefH22_14x_0)</f>
        <v>0</v>
      </c>
      <c r="I113" s="1"/>
      <c r="J113" s="5">
        <f t="shared" si="86"/>
        <v>0</v>
      </c>
      <c r="K113" s="1"/>
      <c r="L113" s="1">
        <f t="shared" si="87"/>
        <v>0</v>
      </c>
      <c r="M113" s="1"/>
      <c r="N113" s="5">
        <f t="shared" si="88"/>
        <v>0</v>
      </c>
      <c r="O113" s="13"/>
      <c r="P113" s="1">
        <f>SUM(OSRRefP22_14x_0)</f>
        <v>0.16</v>
      </c>
      <c r="Q113" s="1"/>
      <c r="R113" s="5">
        <f t="shared" si="89"/>
        <v>5.8323269926497855E-8</v>
      </c>
      <c r="S113" s="1"/>
      <c r="T113" s="1">
        <f>SUM(OSRRefT22_14x_0)</f>
        <v>0</v>
      </c>
      <c r="U113" s="1"/>
      <c r="V113" s="5">
        <f t="shared" si="90"/>
        <v>0</v>
      </c>
      <c r="W113" s="1"/>
      <c r="X113" s="1">
        <f t="shared" si="91"/>
        <v>0.16</v>
      </c>
      <c r="Y113" s="1"/>
      <c r="Z113" s="5">
        <f t="shared" si="92"/>
        <v>0</v>
      </c>
    </row>
    <row r="114" spans="1:26" s="24" customFormat="1" hidden="1" outlineLevel="2" x14ac:dyDescent="0.25">
      <c r="A114" s="25"/>
      <c r="B114" s="11" t="str">
        <f>CONCATENATE("          ", "6292", " - ", "TRAVEL/CONFERENCE")</f>
        <v xml:space="preserve">          6292 - TRAVEL/CONFERENCE</v>
      </c>
      <c r="C114" s="11"/>
      <c r="D114" s="7"/>
      <c r="E114" s="2"/>
      <c r="F114" s="6">
        <f t="shared" si="85"/>
        <v>0</v>
      </c>
      <c r="G114" s="2"/>
      <c r="H114" s="7"/>
      <c r="I114" s="2"/>
      <c r="J114" s="6">
        <f t="shared" si="86"/>
        <v>0</v>
      </c>
      <c r="K114" s="2"/>
      <c r="L114" s="7">
        <f t="shared" si="87"/>
        <v>0</v>
      </c>
      <c r="M114" s="2"/>
      <c r="N114" s="6">
        <f t="shared" si="88"/>
        <v>0</v>
      </c>
      <c r="O114" s="11"/>
      <c r="P114" s="7">
        <v>0.16</v>
      </c>
      <c r="Q114" s="2"/>
      <c r="R114" s="6">
        <f t="shared" si="89"/>
        <v>5.8323269926497855E-8</v>
      </c>
      <c r="S114" s="2"/>
      <c r="T114" s="7"/>
      <c r="U114" s="2"/>
      <c r="V114" s="6">
        <f t="shared" si="90"/>
        <v>0</v>
      </c>
      <c r="W114" s="2"/>
      <c r="X114" s="7">
        <f t="shared" si="91"/>
        <v>0.16</v>
      </c>
      <c r="Y114" s="2"/>
      <c r="Z114" s="6">
        <f t="shared" si="92"/>
        <v>0</v>
      </c>
    </row>
    <row r="115" spans="1:26" s="56" customFormat="1" x14ac:dyDescent="0.25">
      <c r="A115" s="36"/>
      <c r="B115" s="36"/>
      <c r="C115" s="36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6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collapsed="1" x14ac:dyDescent="0.25">
      <c r="A116" s="10"/>
      <c r="B116" s="29" t="s">
        <v>293</v>
      </c>
      <c r="C116" s="10"/>
      <c r="D116" s="4">
        <f>SUM(OSRRefD25x_0)</f>
        <v>3009.01</v>
      </c>
      <c r="E116" s="4"/>
      <c r="F116" s="12">
        <f t="shared" ref="F116:F119" si="93">IF(D$12=0,0,D116/D$12)</f>
        <v>4.7241737001775225E-2</v>
      </c>
      <c r="G116" s="4"/>
      <c r="H116" s="4">
        <f>SUM(OSRRefH25x_0)</f>
        <v>6000</v>
      </c>
      <c r="I116" s="4"/>
      <c r="J116" s="12">
        <f t="shared" ref="J116:J119" si="94">IF(H$12=0,0,H116/H$12)</f>
        <v>9.9308153199377663E-2</v>
      </c>
      <c r="K116" s="4"/>
      <c r="L116" s="4">
        <f t="shared" ref="L116:L119" si="95">+D116-H116</f>
        <v>-2990.99</v>
      </c>
      <c r="M116" s="4"/>
      <c r="N116" s="12">
        <f t="shared" ref="N116:N119" si="96">IF(H116=0,0,L116/H116)</f>
        <v>-0.49849833333333332</v>
      </c>
      <c r="O116" s="10"/>
      <c r="P116" s="4">
        <f>SUM(OSRRefP25x_0)</f>
        <v>334317.08</v>
      </c>
      <c r="Q116" s="4"/>
      <c r="R116" s="12">
        <f t="shared" ref="R116:R119" si="97">IF(P$12=0,0,P116/P$12)</f>
        <v>0.12186540811174111</v>
      </c>
      <c r="S116" s="4"/>
      <c r="T116" s="4">
        <f>SUM(OSRRefT25x_0)</f>
        <v>203080</v>
      </c>
      <c r="U116" s="4"/>
      <c r="V116" s="12">
        <f t="shared" ref="V116:V119" si="98">IF(T$12=0,0,T116/T$12)</f>
        <v>4.5581953245503307E-2</v>
      </c>
      <c r="W116" s="4"/>
      <c r="X116" s="4">
        <f t="shared" ref="X116:X119" si="99">+P116-T116</f>
        <v>131237.08000000002</v>
      </c>
      <c r="Y116" s="4"/>
      <c r="Z116" s="12">
        <f t="shared" ref="Z116:Z119" si="100">IF(T116=0,0,X116/T116)</f>
        <v>0.6462334055544614</v>
      </c>
    </row>
    <row r="117" spans="1:26" s="24" customFormat="1" hidden="1" outlineLevel="1" x14ac:dyDescent="0.25">
      <c r="A117" s="44"/>
      <c r="B117" s="11" t="str">
        <f>CONCATENATE("          ", "9150", " - ", "MISC. INCOME")</f>
        <v xml:space="preserve">          9150 - MISC. INCOME</v>
      </c>
      <c r="C117" s="11"/>
      <c r="D117" s="2">
        <f>--1572.94</f>
        <v>1572.94</v>
      </c>
      <c r="E117" s="2"/>
      <c r="F117" s="19">
        <f t="shared" si="93"/>
        <v>2.4695304369069002E-2</v>
      </c>
      <c r="G117" s="2"/>
      <c r="H117" s="2">
        <v>6000</v>
      </c>
      <c r="I117" s="2"/>
      <c r="J117" s="19">
        <f t="shared" si="94"/>
        <v>9.9308153199377663E-2</v>
      </c>
      <c r="K117" s="2"/>
      <c r="L117" s="2">
        <f t="shared" si="95"/>
        <v>-4427.0599999999995</v>
      </c>
      <c r="M117" s="2"/>
      <c r="N117" s="19">
        <f t="shared" si="96"/>
        <v>-0.7378433333333333</v>
      </c>
      <c r="O117" s="11"/>
      <c r="P117" s="2">
        <f>--33036.05</f>
        <v>33036.050000000003</v>
      </c>
      <c r="Q117" s="2"/>
      <c r="R117" s="19">
        <f t="shared" si="97"/>
        <v>1.2042315384095496E-2</v>
      </c>
      <c r="S117" s="2"/>
      <c r="T117" s="2">
        <v>32000</v>
      </c>
      <c r="U117" s="2"/>
      <c r="V117" s="19">
        <f t="shared" si="98"/>
        <v>7.1825019886552384E-3</v>
      </c>
      <c r="W117" s="2"/>
      <c r="X117" s="2">
        <f t="shared" si="99"/>
        <v>1036.0500000000029</v>
      </c>
      <c r="Y117" s="2"/>
      <c r="Z117" s="19">
        <f t="shared" si="100"/>
        <v>3.2376562500000088E-2</v>
      </c>
    </row>
    <row r="118" spans="1:26" s="24" customFormat="1" hidden="1" outlineLevel="1" x14ac:dyDescent="0.25">
      <c r="A118" s="44"/>
      <c r="B118" s="11" t="str">
        <f>CONCATENATE("          ", "9151", " - ", "MISC. INCOME")</f>
        <v xml:space="preserve">          9151 - MISC. INCOME</v>
      </c>
      <c r="C118" s="11"/>
      <c r="D118" s="2">
        <f>0</f>
        <v>0</v>
      </c>
      <c r="E118" s="2"/>
      <c r="F118" s="19">
        <f t="shared" si="93"/>
        <v>0</v>
      </c>
      <c r="G118" s="2"/>
      <c r="H118" s="2"/>
      <c r="I118" s="2"/>
      <c r="J118" s="19">
        <f t="shared" si="94"/>
        <v>0</v>
      </c>
      <c r="K118" s="2"/>
      <c r="L118" s="2">
        <f t="shared" si="95"/>
        <v>0</v>
      </c>
      <c r="M118" s="2"/>
      <c r="N118" s="19">
        <f t="shared" si="96"/>
        <v>0</v>
      </c>
      <c r="O118" s="11"/>
      <c r="P118" s="2">
        <f>--295628.46</f>
        <v>295628.46000000002</v>
      </c>
      <c r="Q118" s="2"/>
      <c r="R118" s="19">
        <f t="shared" si="97"/>
        <v>0.10776261544084297</v>
      </c>
      <c r="S118" s="2"/>
      <c r="T118" s="2">
        <v>171080</v>
      </c>
      <c r="U118" s="2"/>
      <c r="V118" s="19">
        <f t="shared" si="98"/>
        <v>3.8399451256848065E-2</v>
      </c>
      <c r="W118" s="2"/>
      <c r="X118" s="2">
        <f t="shared" si="99"/>
        <v>124548.46000000002</v>
      </c>
      <c r="Y118" s="2"/>
      <c r="Z118" s="19">
        <f t="shared" si="100"/>
        <v>0.72801297638531692</v>
      </c>
    </row>
    <row r="119" spans="1:26" s="24" customFormat="1" hidden="1" outlineLevel="1" x14ac:dyDescent="0.25">
      <c r="A119" s="44"/>
      <c r="B119" s="11" t="str">
        <f>CONCATENATE("          ", "9152", " - ", "MISC. INCOME")</f>
        <v xml:space="preserve">          9152 - MISC. INCOME</v>
      </c>
      <c r="C119" s="11"/>
      <c r="D119" s="2">
        <f>--1436.07</f>
        <v>1436.07</v>
      </c>
      <c r="E119" s="2"/>
      <c r="F119" s="19">
        <f t="shared" si="93"/>
        <v>2.2546432632706219E-2</v>
      </c>
      <c r="G119" s="2"/>
      <c r="H119" s="2"/>
      <c r="I119" s="2"/>
      <c r="J119" s="19">
        <f t="shared" si="94"/>
        <v>0</v>
      </c>
      <c r="K119" s="2"/>
      <c r="L119" s="2">
        <f t="shared" si="95"/>
        <v>1436.07</v>
      </c>
      <c r="M119" s="2"/>
      <c r="N119" s="19">
        <f t="shared" si="96"/>
        <v>0</v>
      </c>
      <c r="O119" s="11"/>
      <c r="P119" s="2">
        <f>--5652.57</f>
        <v>5652.57</v>
      </c>
      <c r="Q119" s="2"/>
      <c r="R119" s="19">
        <f t="shared" si="97"/>
        <v>2.0604772868026496E-3</v>
      </c>
      <c r="S119" s="2"/>
      <c r="T119" s="2"/>
      <c r="U119" s="2"/>
      <c r="V119" s="19">
        <f t="shared" si="98"/>
        <v>0</v>
      </c>
      <c r="W119" s="2"/>
      <c r="X119" s="2">
        <f t="shared" si="99"/>
        <v>5652.57</v>
      </c>
      <c r="Y119" s="2"/>
      <c r="Z119" s="19">
        <f t="shared" si="100"/>
        <v>0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8" t="s">
        <v>277</v>
      </c>
      <c r="C121" s="28"/>
      <c r="D121" s="20">
        <f>+D55-D57+D116</f>
        <v>-31804.840000000033</v>
      </c>
      <c r="E121" s="14"/>
      <c r="F121" s="21">
        <f>IF(D$12=0,0,D121/D$12)</f>
        <v>-0.49933894758194297</v>
      </c>
      <c r="G121" s="14"/>
      <c r="H121" s="20">
        <f>+H55-H57+H116</f>
        <v>-34961.812610111527</v>
      </c>
      <c r="I121" s="14"/>
      <c r="J121" s="21">
        <f>IF(H$12=0,0,H121/H$12)</f>
        <v>-0.57866550713548159</v>
      </c>
      <c r="K121" s="15"/>
      <c r="L121" s="20">
        <f>+D121-H121</f>
        <v>3156.9726101114939</v>
      </c>
      <c r="M121" s="15"/>
      <c r="N121" s="21">
        <f>IF(H121=0,0,L121/H121)</f>
        <v>-9.0297738430142091E-2</v>
      </c>
      <c r="O121" s="29"/>
      <c r="P121" s="20">
        <f>+P55-P57+P116</f>
        <v>612776.18999999983</v>
      </c>
      <c r="Q121" s="14"/>
      <c r="R121" s="21">
        <f>IF(P$12=0,0,P121/P$12)</f>
        <v>0.22336944458688077</v>
      </c>
      <c r="S121" s="14"/>
      <c r="T121" s="20">
        <f>+T55-T57+T116</f>
        <v>803269.93136191124</v>
      </c>
      <c r="U121" s="14"/>
      <c r="V121" s="21">
        <f>IF(T$12=0,0,T121/T$12)</f>
        <v>0.18029649623230887</v>
      </c>
      <c r="W121" s="15"/>
      <c r="X121" s="20">
        <f>+P121-T121</f>
        <v>-190493.74136191141</v>
      </c>
      <c r="Y121" s="15"/>
      <c r="Z121" s="21">
        <f>IF(T121=0,0,X121/T121)</f>
        <v>-0.23714785519101542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52"/>
      <c r="B123" s="10" t="s">
        <v>128</v>
      </c>
      <c r="C123" s="10"/>
      <c r="D123" s="4">
        <v>25632.87</v>
      </c>
      <c r="E123" s="4"/>
      <c r="F123" s="12">
        <f>IF(D$12=0,0,D123/D$12)</f>
        <v>0.40243844425265918</v>
      </c>
      <c r="G123" s="4"/>
      <c r="H123" s="4">
        <v>26397</v>
      </c>
      <c r="I123" s="4"/>
      <c r="J123" s="12">
        <f>IF(H$12=0,0,H123/H$12)</f>
        <v>0.43690622000066204</v>
      </c>
      <c r="K123" s="4"/>
      <c r="L123" s="4">
        <f>+D123-H123</f>
        <v>-764.13000000000102</v>
      </c>
      <c r="M123" s="4"/>
      <c r="N123" s="12">
        <f>IF(H123=0,0,L123/H123)</f>
        <v>-2.8947607682691254E-2</v>
      </c>
      <c r="O123" s="10"/>
      <c r="P123" s="4">
        <v>586223.69999999995</v>
      </c>
      <c r="Q123" s="4"/>
      <c r="R123" s="12">
        <f>IF(P$12=0,0,P123/P$12)</f>
        <v>0.21369051932756433</v>
      </c>
      <c r="S123" s="4"/>
      <c r="T123" s="4">
        <v>822513</v>
      </c>
      <c r="U123" s="4"/>
      <c r="V123" s="12">
        <f>IF(T$12=0,0,T123/T$12)</f>
        <v>0.18461566431858706</v>
      </c>
      <c r="W123" s="4"/>
      <c r="X123" s="4">
        <f>+P123-T123</f>
        <v>-236289.30000000005</v>
      </c>
      <c r="Y123" s="4"/>
      <c r="Z123" s="12">
        <f>IF(T123=0,0,X123/T123)</f>
        <v>-0.28727728315540307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8" t="s">
        <v>126</v>
      </c>
      <c r="C125" s="28"/>
      <c r="D125" s="35">
        <f>+D121-D123</f>
        <v>-57437.710000000036</v>
      </c>
      <c r="E125" s="14"/>
      <c r="F125" s="34">
        <f>IF(D$12=0,0,D125/D$12)</f>
        <v>-0.90177739183460215</v>
      </c>
      <c r="G125" s="14"/>
      <c r="H125" s="35">
        <f>+H121-H123</f>
        <v>-61358.812610111527</v>
      </c>
      <c r="I125" s="14"/>
      <c r="J125" s="34">
        <f>IF(H$12=0,0,H125/H$12)</f>
        <v>-1.0155717271361437</v>
      </c>
      <c r="K125" s="15"/>
      <c r="L125" s="35">
        <f>D125-H125</f>
        <v>3921.1026101114912</v>
      </c>
      <c r="M125" s="15"/>
      <c r="N125" s="34">
        <f>IF(H125=0,0,L125/H125)</f>
        <v>-6.3904473429548067E-2</v>
      </c>
      <c r="O125" s="29"/>
      <c r="P125" s="35">
        <f>+P121-P123</f>
        <v>26552.489999999874</v>
      </c>
      <c r="Q125" s="14"/>
      <c r="R125" s="34">
        <f>IF(P$12=0,0,P125/P$12)</f>
        <v>9.6789252593164222E-3</v>
      </c>
      <c r="S125" s="14"/>
      <c r="T125" s="35">
        <f>+T121-T123</f>
        <v>-19243.068638088764</v>
      </c>
      <c r="U125" s="14"/>
      <c r="V125" s="34">
        <f>IF(T$12=0,0,T125/T$12)</f>
        <v>-4.3191680862781807E-3</v>
      </c>
      <c r="W125" s="15"/>
      <c r="X125" s="35">
        <f>P125-T125</f>
        <v>45795.558638088638</v>
      </c>
      <c r="Y125" s="15"/>
      <c r="Z125" s="34">
        <f>IF(T125=0,0,X125/T125)</f>
        <v>-2.3798469724024791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8" t="s">
        <v>294</v>
      </c>
      <c r="C128" s="28"/>
      <c r="D128" s="33">
        <f>SUM(D125:D127)</f>
        <v>-57437.710000000036</v>
      </c>
      <c r="E128" s="14"/>
      <c r="F128" s="32">
        <f>IF(D$12=0,0,D128/D$12)</f>
        <v>-0.90177739183460215</v>
      </c>
      <c r="G128" s="14"/>
      <c r="H128" s="33">
        <f>SUM(H125:H127)</f>
        <v>-61358.812610111527</v>
      </c>
      <c r="I128" s="14"/>
      <c r="J128" s="32">
        <f>IF(H$12=0,0,H128/H$12)</f>
        <v>-1.0155717271361437</v>
      </c>
      <c r="K128" s="15"/>
      <c r="L128" s="33">
        <f>+D128-H128</f>
        <v>3921.1026101114912</v>
      </c>
      <c r="M128" s="15"/>
      <c r="N128" s="32">
        <f>IF(H128=0,0,L128/H128)</f>
        <v>-6.3904473429548067E-2</v>
      </c>
      <c r="O128" s="29"/>
      <c r="P128" s="33">
        <f>SUM(P125:P127)</f>
        <v>26552.489999999874</v>
      </c>
      <c r="Q128" s="14"/>
      <c r="R128" s="32">
        <f>IF(P$12=0,0,P128/P$12)</f>
        <v>9.6789252593164222E-3</v>
      </c>
      <c r="S128" s="14"/>
      <c r="T128" s="33">
        <f>SUM(T125:T127)</f>
        <v>-19243.068638088764</v>
      </c>
      <c r="U128" s="14"/>
      <c r="V128" s="32">
        <f>IF(T$12=0,0,T128/T$12)</f>
        <v>-4.3191680862781807E-3</v>
      </c>
      <c r="W128" s="15"/>
      <c r="X128" s="33">
        <f>+P128-T128</f>
        <v>45795.558638088638</v>
      </c>
      <c r="Y128" s="15"/>
      <c r="Z128" s="32">
        <f>IF(T128=0,0,X128/T128)</f>
        <v>-2.3798469724024791</v>
      </c>
    </row>
    <row r="129" spans="1:24" ht="15.75" thickTop="1" x14ac:dyDescent="0.25">
      <c r="A129" s="9"/>
      <c r="C129" s="9"/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A130" s="9"/>
      <c r="B130" s="60">
        <v>44356.891790740738</v>
      </c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4" x14ac:dyDescent="0.25">
      <c r="A131" s="9"/>
      <c r="B131" s="55" t="s">
        <v>56</v>
      </c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4" x14ac:dyDescent="0.25">
      <c r="A132" s="9"/>
      <c r="B132" s="63"/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4" x14ac:dyDescent="0.25"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3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","311", " - ", "Textbooks")</f>
        <v>Department 311 - Textbooks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51588.349999999984</v>
      </c>
      <c r="E12" s="4"/>
      <c r="F12" s="12"/>
      <c r="G12" s="4"/>
      <c r="H12" s="4">
        <f>SUM(OSRRefH13x_0)</f>
        <v>49168</v>
      </c>
      <c r="I12" s="4"/>
      <c r="J12" s="12"/>
      <c r="K12" s="4"/>
      <c r="L12" s="4">
        <f t="shared" ref="L12:L34" si="0">+D12-H12</f>
        <v>2420.349999999984</v>
      </c>
      <c r="M12" s="4"/>
      <c r="N12" s="12">
        <f t="shared" ref="N12:N34" si="1">IF(H12=0,0,L12/H12)</f>
        <v>4.9226122681418481E-2</v>
      </c>
      <c r="O12" s="10"/>
      <c r="P12" s="4">
        <f>SUM(OSRRefP13x_0)</f>
        <v>1966145.06</v>
      </c>
      <c r="Q12" s="4"/>
      <c r="R12" s="12"/>
      <c r="S12" s="4"/>
      <c r="T12" s="4">
        <f>SUM(OSRRefT13x_0)</f>
        <v>3025988</v>
      </c>
      <c r="U12" s="4"/>
      <c r="V12" s="12"/>
      <c r="W12" s="4"/>
      <c r="X12" s="4">
        <f t="shared" ref="X12:X34" si="2">+P12-T12</f>
        <v>-1059842.94</v>
      </c>
      <c r="Y12" s="4"/>
      <c r="Z12" s="12">
        <f t="shared" ref="Z12:Z34" si="3">IF(T12=0,0,X12/T12)</f>
        <v>-0.35024690778681211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-701.64</f>
        <v>-701.64</v>
      </c>
      <c r="E13" s="2"/>
      <c r="F13" s="19"/>
      <c r="G13" s="2"/>
      <c r="H13" s="2">
        <v>49168</v>
      </c>
      <c r="I13" s="2"/>
      <c r="J13" s="19"/>
      <c r="K13" s="2"/>
      <c r="L13" s="2">
        <f t="shared" si="0"/>
        <v>-49869.64</v>
      </c>
      <c r="M13" s="2"/>
      <c r="N13" s="19">
        <f t="shared" si="1"/>
        <v>-1.0142702570777742</v>
      </c>
      <c r="O13" s="11"/>
      <c r="P13" s="2">
        <f>-9280.36</f>
        <v>-9280.36</v>
      </c>
      <c r="Q13" s="2"/>
      <c r="R13" s="19"/>
      <c r="S13" s="2"/>
      <c r="T13" s="2">
        <v>3025988</v>
      </c>
      <c r="U13" s="2"/>
      <c r="V13" s="19"/>
      <c r="W13" s="2"/>
      <c r="X13" s="2">
        <f t="shared" si="2"/>
        <v>-3035268.36</v>
      </c>
      <c r="Y13" s="2"/>
      <c r="Z13" s="19">
        <f t="shared" si="3"/>
        <v>-1.0030668859228786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--29436.91</f>
        <v>29436.91</v>
      </c>
      <c r="E14" s="2"/>
      <c r="F14" s="19"/>
      <c r="G14" s="2"/>
      <c r="H14" s="2"/>
      <c r="I14" s="2"/>
      <c r="J14" s="19"/>
      <c r="K14" s="2"/>
      <c r="L14" s="2">
        <f t="shared" si="0"/>
        <v>29436.91</v>
      </c>
      <c r="M14" s="2"/>
      <c r="N14" s="19">
        <f t="shared" si="1"/>
        <v>0</v>
      </c>
      <c r="O14" s="11"/>
      <c r="P14" s="2">
        <f>--1029241.89</f>
        <v>1029241.89</v>
      </c>
      <c r="Q14" s="2"/>
      <c r="R14" s="19"/>
      <c r="S14" s="2"/>
      <c r="T14" s="2"/>
      <c r="U14" s="2"/>
      <c r="V14" s="19"/>
      <c r="W14" s="2"/>
      <c r="X14" s="2">
        <f t="shared" si="2"/>
        <v>1029241.89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--8783.8</f>
        <v>8783.7999999999993</v>
      </c>
      <c r="E15" s="2"/>
      <c r="F15" s="19"/>
      <c r="G15" s="2"/>
      <c r="H15" s="2"/>
      <c r="I15" s="2"/>
      <c r="J15" s="19"/>
      <c r="K15" s="2"/>
      <c r="L15" s="2">
        <f t="shared" si="0"/>
        <v>8783.7999999999993</v>
      </c>
      <c r="M15" s="2"/>
      <c r="N15" s="19">
        <f t="shared" si="1"/>
        <v>0</v>
      </c>
      <c r="O15" s="11"/>
      <c r="P15" s="2">
        <f>--360316.77</f>
        <v>360316.77</v>
      </c>
      <c r="Q15" s="2"/>
      <c r="R15" s="19"/>
      <c r="S15" s="2"/>
      <c r="T15" s="2"/>
      <c r="U15" s="2"/>
      <c r="V15" s="19"/>
      <c r="W15" s="2"/>
      <c r="X15" s="2">
        <f t="shared" si="2"/>
        <v>360316.77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--494.96</f>
        <v>494.96</v>
      </c>
      <c r="E16" s="2"/>
      <c r="F16" s="19"/>
      <c r="G16" s="2"/>
      <c r="H16" s="2"/>
      <c r="I16" s="2"/>
      <c r="J16" s="19"/>
      <c r="K16" s="2"/>
      <c r="L16" s="2">
        <f t="shared" si="0"/>
        <v>494.96</v>
      </c>
      <c r="M16" s="2"/>
      <c r="N16" s="19">
        <f t="shared" si="1"/>
        <v>0</v>
      </c>
      <c r="O16" s="11"/>
      <c r="P16" s="2">
        <f>--18492.84</f>
        <v>18492.84</v>
      </c>
      <c r="Q16" s="2"/>
      <c r="R16" s="19"/>
      <c r="S16" s="2"/>
      <c r="T16" s="2"/>
      <c r="U16" s="2"/>
      <c r="V16" s="19"/>
      <c r="W16" s="2"/>
      <c r="X16" s="2">
        <f t="shared" si="2"/>
        <v>18492.84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--2659.66</f>
        <v>2659.66</v>
      </c>
      <c r="Q17" s="2"/>
      <c r="R17" s="19"/>
      <c r="S17" s="2"/>
      <c r="T17" s="2"/>
      <c r="U17" s="2"/>
      <c r="V17" s="19"/>
      <c r="W17" s="2"/>
      <c r="X17" s="2">
        <f t="shared" si="2"/>
        <v>2659.66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--61.96</f>
        <v>61.96</v>
      </c>
      <c r="E18" s="2"/>
      <c r="F18" s="19"/>
      <c r="G18" s="2"/>
      <c r="H18" s="2"/>
      <c r="I18" s="2"/>
      <c r="J18" s="19"/>
      <c r="K18" s="2"/>
      <c r="L18" s="2">
        <f t="shared" si="0"/>
        <v>61.96</v>
      </c>
      <c r="M18" s="2"/>
      <c r="N18" s="19">
        <f t="shared" si="1"/>
        <v>0</v>
      </c>
      <c r="O18" s="11"/>
      <c r="P18" s="2">
        <f>--1325.79</f>
        <v>1325.79</v>
      </c>
      <c r="Q18" s="2"/>
      <c r="R18" s="19"/>
      <c r="S18" s="2"/>
      <c r="T18" s="2"/>
      <c r="U18" s="2"/>
      <c r="V18" s="19"/>
      <c r="W18" s="2"/>
      <c r="X18" s="2">
        <f t="shared" si="2"/>
        <v>1325.79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--31.17</f>
        <v>31.17</v>
      </c>
      <c r="E19" s="2"/>
      <c r="F19" s="19"/>
      <c r="G19" s="2"/>
      <c r="H19" s="2"/>
      <c r="I19" s="2"/>
      <c r="J19" s="19"/>
      <c r="K19" s="2"/>
      <c r="L19" s="2">
        <f t="shared" si="0"/>
        <v>31.17</v>
      </c>
      <c r="M19" s="2"/>
      <c r="N19" s="19">
        <f t="shared" si="1"/>
        <v>0</v>
      </c>
      <c r="O19" s="11"/>
      <c r="P19" s="2">
        <f>--515.72</f>
        <v>515.72</v>
      </c>
      <c r="Q19" s="2"/>
      <c r="R19" s="19"/>
      <c r="S19" s="2"/>
      <c r="T19" s="2"/>
      <c r="U19" s="2"/>
      <c r="V19" s="19"/>
      <c r="W19" s="2"/>
      <c r="X19" s="2">
        <f t="shared" si="2"/>
        <v>515.72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--35.38</f>
        <v>35.380000000000003</v>
      </c>
      <c r="E20" s="2"/>
      <c r="F20" s="19"/>
      <c r="G20" s="2"/>
      <c r="H20" s="2"/>
      <c r="I20" s="2"/>
      <c r="J20" s="19"/>
      <c r="K20" s="2"/>
      <c r="L20" s="2">
        <f t="shared" si="0"/>
        <v>35.380000000000003</v>
      </c>
      <c r="M20" s="2"/>
      <c r="N20" s="19">
        <f t="shared" si="1"/>
        <v>0</v>
      </c>
      <c r="O20" s="11"/>
      <c r="P20" s="2">
        <f>--508.48</f>
        <v>508.48</v>
      </c>
      <c r="Q20" s="2"/>
      <c r="R20" s="19"/>
      <c r="S20" s="2"/>
      <c r="T20" s="2"/>
      <c r="U20" s="2"/>
      <c r="V20" s="19"/>
      <c r="W20" s="2"/>
      <c r="X20" s="2">
        <f t="shared" si="2"/>
        <v>508.48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"4101", " - ", "NON-TAXABLE SALES-NEW TEXT")</f>
        <v xml:space="preserve">          4101 - NON-TAXABLE SALES-NEW TEXT</v>
      </c>
      <c r="C21" s="11"/>
      <c r="D21" s="2">
        <f>--6450.33</f>
        <v>6450.33</v>
      </c>
      <c r="E21" s="2"/>
      <c r="F21" s="19"/>
      <c r="G21" s="2"/>
      <c r="H21" s="2"/>
      <c r="I21" s="2"/>
      <c r="J21" s="19"/>
      <c r="K21" s="2"/>
      <c r="L21" s="2">
        <f t="shared" si="0"/>
        <v>6450.33</v>
      </c>
      <c r="M21" s="2"/>
      <c r="N21" s="19">
        <f t="shared" si="1"/>
        <v>0</v>
      </c>
      <c r="O21" s="11"/>
      <c r="P21" s="2">
        <f>--119247.07</f>
        <v>119247.07</v>
      </c>
      <c r="Q21" s="2"/>
      <c r="R21" s="19"/>
      <c r="S21" s="2"/>
      <c r="T21" s="2"/>
      <c r="U21" s="2"/>
      <c r="V21" s="19"/>
      <c r="W21" s="2"/>
      <c r="X21" s="2">
        <f t="shared" si="2"/>
        <v>119247.07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"4102", " - ", "NON-TAXABLE SALES-USED TEXT")</f>
        <v xml:space="preserve">          4102 - NON-TAXABLE SALES-USED TEXT</v>
      </c>
      <c r="C22" s="11"/>
      <c r="D22" s="2">
        <f>--2343.31</f>
        <v>2343.31</v>
      </c>
      <c r="E22" s="2"/>
      <c r="F22" s="19"/>
      <c r="G22" s="2"/>
      <c r="H22" s="2"/>
      <c r="I22" s="2"/>
      <c r="J22" s="19"/>
      <c r="K22" s="2"/>
      <c r="L22" s="2">
        <f t="shared" si="0"/>
        <v>2343.31</v>
      </c>
      <c r="M22" s="2"/>
      <c r="N22" s="19">
        <f t="shared" si="1"/>
        <v>0</v>
      </c>
      <c r="O22" s="11"/>
      <c r="P22" s="2">
        <f>--51046.73</f>
        <v>51046.73</v>
      </c>
      <c r="Q22" s="2"/>
      <c r="R22" s="19"/>
      <c r="S22" s="2"/>
      <c r="T22" s="2"/>
      <c r="U22" s="2"/>
      <c r="V22" s="19"/>
      <c r="W22" s="2"/>
      <c r="X22" s="2">
        <f t="shared" si="2"/>
        <v>51046.73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--1138.95</f>
        <v>1138.95</v>
      </c>
      <c r="Q23" s="2"/>
      <c r="R23" s="19"/>
      <c r="S23" s="2"/>
      <c r="T23" s="2"/>
      <c r="U23" s="2"/>
      <c r="V23" s="19"/>
      <c r="W23" s="2"/>
      <c r="X23" s="2">
        <f t="shared" si="2"/>
        <v>1138.95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--10484.56</f>
        <v>10484.56</v>
      </c>
      <c r="E24" s="2"/>
      <c r="F24" s="19"/>
      <c r="G24" s="2"/>
      <c r="H24" s="2"/>
      <c r="I24" s="2"/>
      <c r="J24" s="19"/>
      <c r="K24" s="2"/>
      <c r="L24" s="2">
        <f t="shared" si="0"/>
        <v>10484.56</v>
      </c>
      <c r="M24" s="2"/>
      <c r="N24" s="19">
        <f t="shared" si="1"/>
        <v>0</v>
      </c>
      <c r="O24" s="11"/>
      <c r="P24" s="2">
        <f>--490887.73</f>
        <v>490887.73</v>
      </c>
      <c r="Q24" s="2"/>
      <c r="R24" s="19"/>
      <c r="S24" s="2"/>
      <c r="T24" s="2"/>
      <c r="U24" s="2"/>
      <c r="V24" s="19"/>
      <c r="W24" s="2"/>
      <c r="X24" s="2">
        <f t="shared" si="2"/>
        <v>490887.73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"4113", " - ", "NON-TAXABLE SALES-TRADE BOOKS")</f>
        <v xml:space="preserve">          4113 - NON-TAXABLE SALES-TRADE BOOKS</v>
      </c>
      <c r="C25" s="11"/>
      <c r="D25" s="2">
        <f t="shared" ref="D25:D26" si="4"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--12127.25</f>
        <v>12127.25</v>
      </c>
      <c r="Q25" s="2"/>
      <c r="R25" s="19"/>
      <c r="S25" s="2"/>
      <c r="T25" s="2"/>
      <c r="U25" s="2"/>
      <c r="V25" s="19"/>
      <c r="W25" s="2"/>
      <c r="X25" s="2">
        <f t="shared" si="2"/>
        <v>12127.25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"4118", " - ", "NON-TAXABLE SALES-STUDY GUIDES")</f>
        <v xml:space="preserve">          4118 - NON-TAXABLE SALES-STUDY GUIDES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--771.73</f>
        <v>771.73</v>
      </c>
      <c r="Q26" s="2"/>
      <c r="R26" s="19"/>
      <c r="S26" s="2"/>
      <c r="T26" s="2"/>
      <c r="U26" s="2"/>
      <c r="V26" s="19"/>
      <c r="W26" s="2"/>
      <c r="X26" s="2">
        <f t="shared" si="2"/>
        <v>771.73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"4201", " - ", "SALES RETURN TAXABLE-NEW TEXT")</f>
        <v xml:space="preserve">          4201 - SALES RETURN TAXABLE-NEW TEXT</v>
      </c>
      <c r="C27" s="11"/>
      <c r="D27" s="2">
        <f>-658.4</f>
        <v>-658.4</v>
      </c>
      <c r="E27" s="2"/>
      <c r="F27" s="19"/>
      <c r="G27" s="2"/>
      <c r="H27" s="2"/>
      <c r="I27" s="2"/>
      <c r="J27" s="19"/>
      <c r="K27" s="2"/>
      <c r="L27" s="2">
        <f t="shared" si="0"/>
        <v>-658.4</v>
      </c>
      <c r="M27" s="2"/>
      <c r="N27" s="19">
        <f t="shared" si="1"/>
        <v>0</v>
      </c>
      <c r="O27" s="11"/>
      <c r="P27" s="2">
        <f>-52296.42</f>
        <v>-52296.42</v>
      </c>
      <c r="Q27" s="2"/>
      <c r="R27" s="19"/>
      <c r="S27" s="2"/>
      <c r="T27" s="2"/>
      <c r="U27" s="2"/>
      <c r="V27" s="19"/>
      <c r="W27" s="2"/>
      <c r="X27" s="2">
        <f t="shared" si="2"/>
        <v>-52296.42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"4202", " - ", "SALES RETURN TAXABLE-USED TEXT")</f>
        <v xml:space="preserve">          4202 - SALES RETURN TAXABLE-USED TEXT</v>
      </c>
      <c r="C28" s="11"/>
      <c r="D28" s="2">
        <f>-359.4</f>
        <v>-359.4</v>
      </c>
      <c r="E28" s="2"/>
      <c r="F28" s="19"/>
      <c r="G28" s="2"/>
      <c r="H28" s="2"/>
      <c r="I28" s="2"/>
      <c r="J28" s="19"/>
      <c r="K28" s="2"/>
      <c r="L28" s="2">
        <f t="shared" si="0"/>
        <v>-359.4</v>
      </c>
      <c r="M28" s="2"/>
      <c r="N28" s="19">
        <f t="shared" si="1"/>
        <v>0</v>
      </c>
      <c r="O28" s="11"/>
      <c r="P28" s="2">
        <f>-20455.66</f>
        <v>-20455.66</v>
      </c>
      <c r="Q28" s="2"/>
      <c r="R28" s="19"/>
      <c r="S28" s="2"/>
      <c r="T28" s="2"/>
      <c r="U28" s="2"/>
      <c r="V28" s="19"/>
      <c r="W28" s="2"/>
      <c r="X28" s="2">
        <f t="shared" si="2"/>
        <v>-20455.66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"4204", " - ", "SALES RETURN TAXABLE-DIGITAL T")</f>
        <v xml:space="preserve">          4204 - SALES RETURN TAXABLE-DIGITAL T</v>
      </c>
      <c r="C29" s="11"/>
      <c r="D29" s="2">
        <f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-1763.1</f>
        <v>-1763.1</v>
      </c>
      <c r="Q29" s="2"/>
      <c r="R29" s="19"/>
      <c r="S29" s="2"/>
      <c r="T29" s="2"/>
      <c r="U29" s="2"/>
      <c r="V29" s="19"/>
      <c r="W29" s="2"/>
      <c r="X29" s="2">
        <f t="shared" si="2"/>
        <v>-1763.1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"4213", " - ", "NON-TAXABLE SALES-TRADE BOOKS")</f>
        <v xml:space="preserve">          4213 - NON-TAXABLE SALES-TRADE BOOKS</v>
      </c>
      <c r="C30" s="11"/>
      <c r="D30" s="2">
        <f>-8.99</f>
        <v>-8.99</v>
      </c>
      <c r="E30" s="2"/>
      <c r="F30" s="19"/>
      <c r="G30" s="2"/>
      <c r="H30" s="2"/>
      <c r="I30" s="2"/>
      <c r="J30" s="19"/>
      <c r="K30" s="2"/>
      <c r="L30" s="2">
        <f t="shared" si="0"/>
        <v>-8.99</v>
      </c>
      <c r="M30" s="2"/>
      <c r="N30" s="19">
        <f t="shared" si="1"/>
        <v>0</v>
      </c>
      <c r="O30" s="11"/>
      <c r="P30" s="2">
        <f>-78.92</f>
        <v>-78.92</v>
      </c>
      <c r="Q30" s="2"/>
      <c r="R30" s="19"/>
      <c r="S30" s="2"/>
      <c r="T30" s="2"/>
      <c r="U30" s="2"/>
      <c r="V30" s="19"/>
      <c r="W30" s="2"/>
      <c r="X30" s="2">
        <f t="shared" si="2"/>
        <v>-78.92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"4218", " - ", "SALES RETURN TAXABLE-STUDY GUI")</f>
        <v xml:space="preserve">          4218 - SALES RETURN TAXABLE-STUDY GUI</v>
      </c>
      <c r="C31" s="11"/>
      <c r="D31" s="2">
        <f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-5.21</f>
        <v>-5.21</v>
      </c>
      <c r="Q31" s="2"/>
      <c r="R31" s="19"/>
      <c r="S31" s="2"/>
      <c r="T31" s="2"/>
      <c r="U31" s="2"/>
      <c r="V31" s="19"/>
      <c r="W31" s="2"/>
      <c r="X31" s="2">
        <f t="shared" si="2"/>
        <v>-5.21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"4301", " - ", "SALES RETURN NON TAXABLE-NEW T")</f>
        <v xml:space="preserve">          4301 - SALES RETURN NON TAXABLE-NEW T</v>
      </c>
      <c r="C32" s="11"/>
      <c r="D32" s="2">
        <f>-1333.16</f>
        <v>-1333.16</v>
      </c>
      <c r="E32" s="2"/>
      <c r="F32" s="19"/>
      <c r="G32" s="2"/>
      <c r="H32" s="2"/>
      <c r="I32" s="2"/>
      <c r="J32" s="19"/>
      <c r="K32" s="2"/>
      <c r="L32" s="2">
        <f t="shared" si="0"/>
        <v>-1333.16</v>
      </c>
      <c r="M32" s="2"/>
      <c r="N32" s="19">
        <f t="shared" si="1"/>
        <v>0</v>
      </c>
      <c r="O32" s="11"/>
      <c r="P32" s="2">
        <f>-4796.36</f>
        <v>-4796.3599999999997</v>
      </c>
      <c r="Q32" s="2"/>
      <c r="R32" s="19"/>
      <c r="S32" s="2"/>
      <c r="T32" s="2"/>
      <c r="U32" s="2"/>
      <c r="V32" s="19"/>
      <c r="W32" s="2"/>
      <c r="X32" s="2">
        <f t="shared" si="2"/>
        <v>-4796.3599999999997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"4302", " - ", "SALES RETURN NON TAXABLE-TEXT")</f>
        <v xml:space="preserve">          4302 - SALES RETURN NON TAXABLE-TEXT</v>
      </c>
      <c r="C33" s="11"/>
      <c r="D33" s="2">
        <f>-134.22</f>
        <v>-134.22</v>
      </c>
      <c r="E33" s="2"/>
      <c r="F33" s="19"/>
      <c r="G33" s="2"/>
      <c r="H33" s="2"/>
      <c r="I33" s="2"/>
      <c r="J33" s="19"/>
      <c r="K33" s="2"/>
      <c r="L33" s="2">
        <f t="shared" si="0"/>
        <v>-134.22</v>
      </c>
      <c r="M33" s="2"/>
      <c r="N33" s="19">
        <f t="shared" si="1"/>
        <v>0</v>
      </c>
      <c r="O33" s="11"/>
      <c r="P33" s="2">
        <f>-2577.54</f>
        <v>-2577.54</v>
      </c>
      <c r="Q33" s="2"/>
      <c r="R33" s="19"/>
      <c r="S33" s="2"/>
      <c r="T33" s="2"/>
      <c r="U33" s="2"/>
      <c r="V33" s="19"/>
      <c r="W33" s="2"/>
      <c r="X33" s="2">
        <f t="shared" si="2"/>
        <v>-2577.54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"4304", " - ", "SALES RETURN NON TAXABLE-DIGIT")</f>
        <v xml:space="preserve">          4304 - SALES RETURN NON TAXABLE-DIGIT</v>
      </c>
      <c r="C34" s="11"/>
      <c r="D34" s="2">
        <f>-3338.22</f>
        <v>-3338.22</v>
      </c>
      <c r="E34" s="2"/>
      <c r="F34" s="19"/>
      <c r="G34" s="2"/>
      <c r="H34" s="2"/>
      <c r="I34" s="2"/>
      <c r="J34" s="19"/>
      <c r="K34" s="2"/>
      <c r="L34" s="2">
        <f t="shared" si="0"/>
        <v>-3338.22</v>
      </c>
      <c r="M34" s="2"/>
      <c r="N34" s="19">
        <f t="shared" si="1"/>
        <v>0</v>
      </c>
      <c r="O34" s="11"/>
      <c r="P34" s="2">
        <f>-30881.98</f>
        <v>-30881.98</v>
      </c>
      <c r="Q34" s="2"/>
      <c r="R34" s="19"/>
      <c r="S34" s="2"/>
      <c r="T34" s="2"/>
      <c r="U34" s="2"/>
      <c r="V34" s="19"/>
      <c r="W34" s="2"/>
      <c r="X34" s="2">
        <f t="shared" si="2"/>
        <v>-30881.98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9" t="s">
        <v>257</v>
      </c>
      <c r="C36" s="10"/>
      <c r="D36" s="4">
        <f>SUM(OSRRefD16x_0)</f>
        <v>45586</v>
      </c>
      <c r="E36" s="4"/>
      <c r="F36" s="12">
        <f t="shared" ref="F36:F52" si="5">IF(D$12=0,0,D36/D$12)</f>
        <v>0.88364911845406979</v>
      </c>
      <c r="G36" s="4"/>
      <c r="H36" s="4">
        <f>SUM(OSRRefH16x_0)</f>
        <v>35892</v>
      </c>
      <c r="I36" s="4"/>
      <c r="J36" s="12">
        <f t="shared" ref="J36:J52" si="6">IF(H$12=0,0,H36/H$12)</f>
        <v>0.72998698340383994</v>
      </c>
      <c r="K36" s="4"/>
      <c r="L36" s="4">
        <f t="shared" ref="L36:L52" si="7">+D36-H36</f>
        <v>9694</v>
      </c>
      <c r="M36" s="4"/>
      <c r="N36" s="12">
        <f t="shared" ref="N36:N52" si="8">IF(H36=0,0,L36/H36)</f>
        <v>0.27008804190348823</v>
      </c>
      <c r="O36" s="10"/>
      <c r="P36" s="4">
        <f>SUM(OSRRefP16x_0)</f>
        <v>1406908</v>
      </c>
      <c r="Q36" s="4"/>
      <c r="R36" s="12">
        <f t="shared" ref="R36:R52" si="9">IF(P$12=0,0,P36/P$12)</f>
        <v>0.7155667344300628</v>
      </c>
      <c r="S36" s="4"/>
      <c r="T36" s="4">
        <f>SUM(OSRRefT16x_0)</f>
        <v>2201342</v>
      </c>
      <c r="U36" s="4"/>
      <c r="V36" s="12">
        <f t="shared" ref="V36:V52" si="10">IF(T$12=0,0,T36/T$12)</f>
        <v>0.72747876065602379</v>
      </c>
      <c r="W36" s="4"/>
      <c r="X36" s="4">
        <f t="shared" ref="X36:X52" si="11">+P36-T36</f>
        <v>-794434</v>
      </c>
      <c r="Y36" s="4"/>
      <c r="Z36" s="12">
        <f t="shared" ref="Z36:Z52" si="12">IF(T36=0,0,X36/T36)</f>
        <v>-0.36088622304030904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5"/>
        <v>0</v>
      </c>
      <c r="G37" s="2"/>
      <c r="H37" s="2">
        <v>35892</v>
      </c>
      <c r="I37" s="2"/>
      <c r="J37" s="19">
        <f t="shared" si="6"/>
        <v>0.72998698340383994</v>
      </c>
      <c r="K37" s="2"/>
      <c r="L37" s="2">
        <f t="shared" si="7"/>
        <v>-35892</v>
      </c>
      <c r="M37" s="2"/>
      <c r="N37" s="19">
        <f t="shared" si="8"/>
        <v>-1</v>
      </c>
      <c r="O37" s="11"/>
      <c r="P37" s="2">
        <v>0</v>
      </c>
      <c r="Q37" s="2"/>
      <c r="R37" s="19">
        <f t="shared" si="9"/>
        <v>0</v>
      </c>
      <c r="S37" s="2"/>
      <c r="T37" s="2">
        <v>2201342</v>
      </c>
      <c r="U37" s="2"/>
      <c r="V37" s="19">
        <f t="shared" si="10"/>
        <v>0.72747876065602379</v>
      </c>
      <c r="W37" s="2"/>
      <c r="X37" s="2">
        <f t="shared" si="11"/>
        <v>-2201342</v>
      </c>
      <c r="Y37" s="2"/>
      <c r="Z37" s="19">
        <f t="shared" si="12"/>
        <v>-1</v>
      </c>
    </row>
    <row r="38" spans="1:26" s="24" customFormat="1" hidden="1" outlineLevel="1" x14ac:dyDescent="0.25">
      <c r="A38" s="44"/>
      <c r="B38" s="11" t="str">
        <f>CONCATENATE("          ", "5001", " - ", "PURCHASES @ COST-NEW TEXT")</f>
        <v xml:space="preserve">          5001 - PURCHASES @ COST-NEW TEXT</v>
      </c>
      <c r="C38" s="11"/>
      <c r="D38" s="2">
        <v>60234.07</v>
      </c>
      <c r="E38" s="2"/>
      <c r="F38" s="19">
        <f t="shared" si="5"/>
        <v>1.1675905509674185</v>
      </c>
      <c r="G38" s="2"/>
      <c r="H38" s="2"/>
      <c r="I38" s="2"/>
      <c r="J38" s="19">
        <f t="shared" si="6"/>
        <v>0</v>
      </c>
      <c r="K38" s="2"/>
      <c r="L38" s="2">
        <f t="shared" si="7"/>
        <v>60234.07</v>
      </c>
      <c r="M38" s="2"/>
      <c r="N38" s="19">
        <f t="shared" si="8"/>
        <v>0</v>
      </c>
      <c r="O38" s="11"/>
      <c r="P38" s="2">
        <v>766221.51</v>
      </c>
      <c r="Q38" s="2"/>
      <c r="R38" s="19">
        <f t="shared" si="9"/>
        <v>0.38970751730800574</v>
      </c>
      <c r="S38" s="2"/>
      <c r="T38" s="2"/>
      <c r="U38" s="2"/>
      <c r="V38" s="19">
        <f t="shared" si="10"/>
        <v>0</v>
      </c>
      <c r="W38" s="2"/>
      <c r="X38" s="2">
        <f t="shared" si="11"/>
        <v>766221.51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"5002", " - ", "PURCHASES @ COST-USED TEXT")</f>
        <v xml:space="preserve">          5002 - PURCHASES @ COST-USED TEXT</v>
      </c>
      <c r="C39" s="11"/>
      <c r="D39" s="2">
        <v>2379.66</v>
      </c>
      <c r="E39" s="2"/>
      <c r="F39" s="19">
        <f t="shared" si="5"/>
        <v>4.6127856386180222E-2</v>
      </c>
      <c r="G39" s="2"/>
      <c r="H39" s="2"/>
      <c r="I39" s="2"/>
      <c r="J39" s="19">
        <f t="shared" si="6"/>
        <v>0</v>
      </c>
      <c r="K39" s="2"/>
      <c r="L39" s="2">
        <f t="shared" si="7"/>
        <v>2379.66</v>
      </c>
      <c r="M39" s="2"/>
      <c r="N39" s="19">
        <f t="shared" si="8"/>
        <v>0</v>
      </c>
      <c r="O39" s="11"/>
      <c r="P39" s="2">
        <v>34702.49</v>
      </c>
      <c r="Q39" s="2"/>
      <c r="R39" s="19">
        <f t="shared" si="9"/>
        <v>1.7650015101123819E-2</v>
      </c>
      <c r="S39" s="2"/>
      <c r="T39" s="2"/>
      <c r="U39" s="2"/>
      <c r="V39" s="19">
        <f t="shared" si="10"/>
        <v>0</v>
      </c>
      <c r="W39" s="2"/>
      <c r="X39" s="2">
        <f t="shared" si="11"/>
        <v>34702.49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"5003", " - ", "PURCHASES @ COST-RENTAL TEXT")</f>
        <v xml:space="preserve">          5003 - PURCHASES @ COST-RENTAL TEXT</v>
      </c>
      <c r="C40" s="11"/>
      <c r="D40" s="2">
        <v>7179.56</v>
      </c>
      <c r="E40" s="2"/>
      <c r="F40" s="19">
        <f t="shared" si="5"/>
        <v>0.13917018086447819</v>
      </c>
      <c r="G40" s="2"/>
      <c r="H40" s="2"/>
      <c r="I40" s="2"/>
      <c r="J40" s="19">
        <f t="shared" si="6"/>
        <v>0</v>
      </c>
      <c r="K40" s="2"/>
      <c r="L40" s="2">
        <f t="shared" si="7"/>
        <v>7179.56</v>
      </c>
      <c r="M40" s="2"/>
      <c r="N40" s="19">
        <f t="shared" si="8"/>
        <v>0</v>
      </c>
      <c r="O40" s="11"/>
      <c r="P40" s="2">
        <v>7212.08</v>
      </c>
      <c r="Q40" s="2"/>
      <c r="R40" s="19">
        <f t="shared" si="9"/>
        <v>3.668132197733162E-3</v>
      </c>
      <c r="S40" s="2"/>
      <c r="T40" s="2"/>
      <c r="U40" s="2"/>
      <c r="V40" s="19">
        <f t="shared" si="10"/>
        <v>0</v>
      </c>
      <c r="W40" s="2"/>
      <c r="X40" s="2">
        <f t="shared" si="11"/>
        <v>7212.08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"5004", " - ", "PURCHASES @ COST-DIGITAL TEXT")</f>
        <v xml:space="preserve">          5004 - PURCHASES @ COST-DIGITAL TEXT</v>
      </c>
      <c r="C41" s="11"/>
      <c r="D41" s="2">
        <v>-7843.95</v>
      </c>
      <c r="E41" s="2"/>
      <c r="F41" s="19">
        <f t="shared" si="5"/>
        <v>-0.15204886374539991</v>
      </c>
      <c r="G41" s="2"/>
      <c r="H41" s="2"/>
      <c r="I41" s="2"/>
      <c r="J41" s="19">
        <f t="shared" si="6"/>
        <v>0</v>
      </c>
      <c r="K41" s="2"/>
      <c r="L41" s="2">
        <f t="shared" si="7"/>
        <v>-7843.95</v>
      </c>
      <c r="M41" s="2"/>
      <c r="N41" s="19">
        <f t="shared" si="8"/>
        <v>0</v>
      </c>
      <c r="O41" s="11"/>
      <c r="P41" s="2">
        <v>199606.43</v>
      </c>
      <c r="Q41" s="2"/>
      <c r="R41" s="19">
        <f t="shared" si="9"/>
        <v>0.10152172088462282</v>
      </c>
      <c r="S41" s="2"/>
      <c r="T41" s="2"/>
      <c r="U41" s="2"/>
      <c r="V41" s="19">
        <f t="shared" si="10"/>
        <v>0</v>
      </c>
      <c r="W41" s="2"/>
      <c r="X41" s="2">
        <f t="shared" si="11"/>
        <v>199606.43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"5011", " - ", "PURCHASES @ COST-NO VALUE TEXT")</f>
        <v xml:space="preserve">          5011 - PURCHASES @ COST-NO VALUE TEXT</v>
      </c>
      <c r="C42" s="11"/>
      <c r="D42" s="2"/>
      <c r="E42" s="2"/>
      <c r="F42" s="19">
        <f t="shared" si="5"/>
        <v>0</v>
      </c>
      <c r="G42" s="2"/>
      <c r="H42" s="2"/>
      <c r="I42" s="2"/>
      <c r="J42" s="19">
        <f t="shared" si="6"/>
        <v>0</v>
      </c>
      <c r="K42" s="2"/>
      <c r="L42" s="2">
        <f t="shared" si="7"/>
        <v>0</v>
      </c>
      <c r="M42" s="2"/>
      <c r="N42" s="19">
        <f t="shared" si="8"/>
        <v>0</v>
      </c>
      <c r="O42" s="11"/>
      <c r="P42" s="2">
        <v>67.17</v>
      </c>
      <c r="Q42" s="2"/>
      <c r="R42" s="19">
        <f t="shared" si="9"/>
        <v>3.4163298205474221E-5</v>
      </c>
      <c r="S42" s="2"/>
      <c r="T42" s="2"/>
      <c r="U42" s="2"/>
      <c r="V42" s="19">
        <f t="shared" si="10"/>
        <v>0</v>
      </c>
      <c r="W42" s="2"/>
      <c r="X42" s="2">
        <f t="shared" si="11"/>
        <v>67.17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"5013", " - ", "PURCHASES @ COST-TRADE BOOKS")</f>
        <v xml:space="preserve">          5013 - PURCHASES @ COST-TRADE BOOKS</v>
      </c>
      <c r="C43" s="11"/>
      <c r="D43" s="2"/>
      <c r="E43" s="2"/>
      <c r="F43" s="19">
        <f t="shared" si="5"/>
        <v>0</v>
      </c>
      <c r="G43" s="2"/>
      <c r="H43" s="2"/>
      <c r="I43" s="2"/>
      <c r="J43" s="19">
        <f t="shared" si="6"/>
        <v>0</v>
      </c>
      <c r="K43" s="2"/>
      <c r="L43" s="2">
        <f t="shared" si="7"/>
        <v>0</v>
      </c>
      <c r="M43" s="2"/>
      <c r="N43" s="19">
        <f t="shared" si="8"/>
        <v>0</v>
      </c>
      <c r="O43" s="11"/>
      <c r="P43" s="2">
        <v>9670.02</v>
      </c>
      <c r="Q43" s="2"/>
      <c r="R43" s="19">
        <f t="shared" si="9"/>
        <v>4.9182637622882212E-3</v>
      </c>
      <c r="S43" s="2"/>
      <c r="T43" s="2"/>
      <c r="U43" s="2"/>
      <c r="V43" s="19">
        <f t="shared" si="10"/>
        <v>0</v>
      </c>
      <c r="W43" s="2"/>
      <c r="X43" s="2">
        <f t="shared" si="11"/>
        <v>9670.02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"5014", " - ", "PURCHASES @ COST-REMAINDERS")</f>
        <v xml:space="preserve">          5014 - PURCHASES @ COST-REMAINDERS</v>
      </c>
      <c r="C44" s="11"/>
      <c r="D44" s="2"/>
      <c r="E44" s="2"/>
      <c r="F44" s="19">
        <f t="shared" si="5"/>
        <v>0</v>
      </c>
      <c r="G44" s="2"/>
      <c r="H44" s="2"/>
      <c r="I44" s="2"/>
      <c r="J44" s="19">
        <f t="shared" si="6"/>
        <v>0</v>
      </c>
      <c r="K44" s="2"/>
      <c r="L44" s="2">
        <f t="shared" si="7"/>
        <v>0</v>
      </c>
      <c r="M44" s="2"/>
      <c r="N44" s="19">
        <f t="shared" si="8"/>
        <v>0</v>
      </c>
      <c r="O44" s="11"/>
      <c r="P44" s="2">
        <v>111.57</v>
      </c>
      <c r="Q44" s="2"/>
      <c r="R44" s="19">
        <f t="shared" si="9"/>
        <v>5.6745558743259762E-5</v>
      </c>
      <c r="S44" s="2"/>
      <c r="T44" s="2"/>
      <c r="U44" s="2"/>
      <c r="V44" s="19">
        <f t="shared" si="10"/>
        <v>0</v>
      </c>
      <c r="W44" s="2"/>
      <c r="X44" s="2">
        <f t="shared" si="11"/>
        <v>111.57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"5018", " - ", "PURCHASES @ COST-STUDY GUIDES")</f>
        <v xml:space="preserve">          5018 - PURCHASES @ COST-STUDY GUIDES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967.21</v>
      </c>
      <c r="Q45" s="2"/>
      <c r="R45" s="19">
        <f t="shared" si="9"/>
        <v>4.91932166998909E-4</v>
      </c>
      <c r="S45" s="2"/>
      <c r="T45" s="2"/>
      <c r="U45" s="2"/>
      <c r="V45" s="19">
        <f t="shared" si="10"/>
        <v>0</v>
      </c>
      <c r="W45" s="2"/>
      <c r="X45" s="2">
        <f t="shared" si="11"/>
        <v>967.21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-63605.72</v>
      </c>
      <c r="E46" s="2"/>
      <c r="F46" s="19">
        <f t="shared" si="5"/>
        <v>-1.2329473611774755</v>
      </c>
      <c r="G46" s="2"/>
      <c r="H46" s="2"/>
      <c r="I46" s="2"/>
      <c r="J46" s="19">
        <f t="shared" si="6"/>
        <v>0</v>
      </c>
      <c r="K46" s="2"/>
      <c r="L46" s="2">
        <f t="shared" si="7"/>
        <v>-63605.72</v>
      </c>
      <c r="M46" s="2"/>
      <c r="N46" s="19">
        <f t="shared" si="8"/>
        <v>0</v>
      </c>
      <c r="O46" s="11"/>
      <c r="P46" s="2">
        <v>-1088501.69</v>
      </c>
      <c r="Q46" s="2"/>
      <c r="R46" s="19">
        <f t="shared" si="9"/>
        <v>-0.55362226935585312</v>
      </c>
      <c r="S46" s="2"/>
      <c r="T46" s="2"/>
      <c r="U46" s="2"/>
      <c r="V46" s="19">
        <f t="shared" si="10"/>
        <v>0</v>
      </c>
      <c r="W46" s="2"/>
      <c r="X46" s="2">
        <f t="shared" si="11"/>
        <v>-1088501.69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45586</v>
      </c>
      <c r="E47" s="2"/>
      <c r="F47" s="19">
        <f t="shared" si="5"/>
        <v>0.88364911845406979</v>
      </c>
      <c r="G47" s="2"/>
      <c r="H47" s="2"/>
      <c r="I47" s="2"/>
      <c r="J47" s="19">
        <f t="shared" si="6"/>
        <v>0</v>
      </c>
      <c r="K47" s="2"/>
      <c r="L47" s="2">
        <f t="shared" si="7"/>
        <v>45586</v>
      </c>
      <c r="M47" s="2"/>
      <c r="N47" s="19">
        <f t="shared" si="8"/>
        <v>0</v>
      </c>
      <c r="O47" s="11"/>
      <c r="P47" s="2">
        <v>1406908</v>
      </c>
      <c r="Q47" s="2"/>
      <c r="R47" s="19">
        <f t="shared" si="9"/>
        <v>0.7155667344300628</v>
      </c>
      <c r="S47" s="2"/>
      <c r="T47" s="2"/>
      <c r="U47" s="2"/>
      <c r="V47" s="19">
        <f t="shared" si="10"/>
        <v>0</v>
      </c>
      <c r="W47" s="2"/>
      <c r="X47" s="2">
        <f t="shared" si="11"/>
        <v>1406908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>
        <v>0</v>
      </c>
      <c r="E48" s="2"/>
      <c r="F48" s="19">
        <f t="shared" si="5"/>
        <v>0</v>
      </c>
      <c r="G48" s="2"/>
      <c r="H48" s="2"/>
      <c r="I48" s="2"/>
      <c r="J48" s="19">
        <f t="shared" si="6"/>
        <v>0</v>
      </c>
      <c r="K48" s="2"/>
      <c r="L48" s="2">
        <f t="shared" si="7"/>
        <v>0</v>
      </c>
      <c r="M48" s="2"/>
      <c r="N48" s="19">
        <f t="shared" si="8"/>
        <v>0</v>
      </c>
      <c r="O48" s="11"/>
      <c r="P48" s="2">
        <v>0</v>
      </c>
      <c r="Q48" s="2"/>
      <c r="R48" s="19">
        <f t="shared" si="9"/>
        <v>0</v>
      </c>
      <c r="S48" s="2"/>
      <c r="T48" s="2"/>
      <c r="U48" s="2"/>
      <c r="V48" s="19">
        <f t="shared" si="10"/>
        <v>0</v>
      </c>
      <c r="W48" s="2"/>
      <c r="X48" s="2">
        <f t="shared" si="11"/>
        <v>0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"5501", " - ", "FREIGHT-IN-NEW TEXT")</f>
        <v xml:space="preserve">          5501 - FREIGHT-IN-NEW TEXT</v>
      </c>
      <c r="C49" s="11"/>
      <c r="D49" s="2">
        <v>1522.41</v>
      </c>
      <c r="E49" s="2"/>
      <c r="F49" s="19">
        <f t="shared" si="5"/>
        <v>2.9510732558804469E-2</v>
      </c>
      <c r="G49" s="2"/>
      <c r="H49" s="2"/>
      <c r="I49" s="2"/>
      <c r="J49" s="19">
        <f t="shared" si="6"/>
        <v>0</v>
      </c>
      <c r="K49" s="2"/>
      <c r="L49" s="2">
        <f t="shared" si="7"/>
        <v>1522.41</v>
      </c>
      <c r="M49" s="2"/>
      <c r="N49" s="19">
        <f t="shared" si="8"/>
        <v>0</v>
      </c>
      <c r="O49" s="11"/>
      <c r="P49" s="2">
        <v>51836.14</v>
      </c>
      <c r="Q49" s="2"/>
      <c r="R49" s="19">
        <f t="shared" si="9"/>
        <v>2.6364351773719076E-2</v>
      </c>
      <c r="S49" s="2"/>
      <c r="T49" s="2"/>
      <c r="U49" s="2"/>
      <c r="V49" s="19">
        <f t="shared" si="10"/>
        <v>0</v>
      </c>
      <c r="W49" s="2"/>
      <c r="X49" s="2">
        <f t="shared" si="11"/>
        <v>51836.14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"5502", " - ", "FREIGHT-IN-USED TEXT")</f>
        <v xml:space="preserve">          5502 - FREIGHT-IN-USED TEXT</v>
      </c>
      <c r="C50" s="11"/>
      <c r="D50" s="2">
        <v>133.97</v>
      </c>
      <c r="E50" s="2"/>
      <c r="F50" s="19">
        <f t="shared" si="5"/>
        <v>2.596904145994203E-3</v>
      </c>
      <c r="G50" s="2"/>
      <c r="H50" s="2"/>
      <c r="I50" s="2"/>
      <c r="J50" s="19">
        <f t="shared" si="6"/>
        <v>0</v>
      </c>
      <c r="K50" s="2"/>
      <c r="L50" s="2">
        <f t="shared" si="7"/>
        <v>133.97</v>
      </c>
      <c r="M50" s="2"/>
      <c r="N50" s="19">
        <f t="shared" si="8"/>
        <v>0</v>
      </c>
      <c r="O50" s="11"/>
      <c r="P50" s="2">
        <v>17992.87</v>
      </c>
      <c r="Q50" s="2"/>
      <c r="R50" s="19">
        <f t="shared" si="9"/>
        <v>9.1513441027591316E-3</v>
      </c>
      <c r="S50" s="2"/>
      <c r="T50" s="2"/>
      <c r="U50" s="2"/>
      <c r="V50" s="19">
        <f t="shared" si="10"/>
        <v>0</v>
      </c>
      <c r="W50" s="2"/>
      <c r="X50" s="2">
        <f t="shared" si="11"/>
        <v>17992.87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"5504", " - ", "FREIGHT-IN-DIGITAL TEXT")</f>
        <v xml:space="preserve">          5504 - FREIGHT-IN-DIGITAL TEXT</v>
      </c>
      <c r="C51" s="11"/>
      <c r="D51" s="2"/>
      <c r="E51" s="2"/>
      <c r="F51" s="19">
        <f t="shared" si="5"/>
        <v>0</v>
      </c>
      <c r="G51" s="2"/>
      <c r="H51" s="2"/>
      <c r="I51" s="2"/>
      <c r="J51" s="19">
        <f t="shared" si="6"/>
        <v>0</v>
      </c>
      <c r="K51" s="2"/>
      <c r="L51" s="2">
        <f t="shared" si="7"/>
        <v>0</v>
      </c>
      <c r="M51" s="2"/>
      <c r="N51" s="19">
        <f t="shared" si="8"/>
        <v>0</v>
      </c>
      <c r="O51" s="11"/>
      <c r="P51" s="2">
        <v>28.92</v>
      </c>
      <c r="Q51" s="2"/>
      <c r="R51" s="19">
        <f t="shared" si="9"/>
        <v>1.4708985917854912E-5</v>
      </c>
      <c r="S51" s="2"/>
      <c r="T51" s="2"/>
      <c r="U51" s="2"/>
      <c r="V51" s="19">
        <f t="shared" si="10"/>
        <v>0</v>
      </c>
      <c r="W51" s="2"/>
      <c r="X51" s="2">
        <f t="shared" si="11"/>
        <v>28.92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"5513", " - ", "FREIGHT-IN-TRADE BOOKS")</f>
        <v xml:space="preserve">          5513 - FREIGHT-IN-TRADE BOOKS</v>
      </c>
      <c r="C52" s="11"/>
      <c r="D52" s="2"/>
      <c r="E52" s="2"/>
      <c r="F52" s="19">
        <f t="shared" si="5"/>
        <v>0</v>
      </c>
      <c r="G52" s="2"/>
      <c r="H52" s="2"/>
      <c r="I52" s="2"/>
      <c r="J52" s="19">
        <f t="shared" si="6"/>
        <v>0</v>
      </c>
      <c r="K52" s="2"/>
      <c r="L52" s="2">
        <f t="shared" si="7"/>
        <v>0</v>
      </c>
      <c r="M52" s="2"/>
      <c r="N52" s="19">
        <f t="shared" si="8"/>
        <v>0</v>
      </c>
      <c r="O52" s="11"/>
      <c r="P52" s="2">
        <v>85.28</v>
      </c>
      <c r="Q52" s="2"/>
      <c r="R52" s="19">
        <f t="shared" si="9"/>
        <v>4.337421573563855E-5</v>
      </c>
      <c r="S52" s="2"/>
      <c r="T52" s="2"/>
      <c r="U52" s="2"/>
      <c r="V52" s="19">
        <f t="shared" si="10"/>
        <v>0</v>
      </c>
      <c r="W52" s="2"/>
      <c r="X52" s="2">
        <f t="shared" si="11"/>
        <v>85.28</v>
      </c>
      <c r="Y52" s="2"/>
      <c r="Z52" s="19">
        <f t="shared" si="12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108</v>
      </c>
      <c r="C54" s="28"/>
      <c r="D54" s="20">
        <f>D12-D36</f>
        <v>6002.349999999984</v>
      </c>
      <c r="E54" s="14"/>
      <c r="F54" s="21">
        <f>IF(D$12=0,0,D54/D$12)</f>
        <v>0.11635088154593015</v>
      </c>
      <c r="G54" s="14"/>
      <c r="H54" s="20">
        <f>H12-H36</f>
        <v>13276</v>
      </c>
      <c r="I54" s="14"/>
      <c r="J54" s="21">
        <f>IF(H$12=0,0,H54/H$12)</f>
        <v>0.27001301659616012</v>
      </c>
      <c r="K54" s="15"/>
      <c r="L54" s="20">
        <f>+D54-H54</f>
        <v>-7273.650000000016</v>
      </c>
      <c r="M54" s="15"/>
      <c r="N54" s="21">
        <f>IF(H54=0,0,L54/H54)</f>
        <v>-0.54787963241940463</v>
      </c>
      <c r="O54" s="29"/>
      <c r="P54" s="20">
        <f>P12-P36</f>
        <v>559237.06000000006</v>
      </c>
      <c r="Q54" s="14"/>
      <c r="R54" s="21">
        <f>IF(P$12=0,0,P54/P$12)</f>
        <v>0.28443326556993714</v>
      </c>
      <c r="S54" s="14"/>
      <c r="T54" s="20">
        <f>T12-T36</f>
        <v>824646</v>
      </c>
      <c r="U54" s="14"/>
      <c r="V54" s="21">
        <f>IF(T$12=0,0,T54/T$12)</f>
        <v>0.27252123934397626</v>
      </c>
      <c r="W54" s="15"/>
      <c r="X54" s="20">
        <f>+P54-T54</f>
        <v>-265408.93999999994</v>
      </c>
      <c r="Y54" s="15"/>
      <c r="Z54" s="21">
        <f>IF(T54=0,0,X54/T54)</f>
        <v>-0.32184590721351941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295</v>
      </c>
      <c r="C56" s="10"/>
      <c r="D56" s="22">
        <f>SUM(OSRRefD22x_0)</f>
        <v>45563.200000000012</v>
      </c>
      <c r="E56" s="22"/>
      <c r="F56" s="31">
        <f t="shared" ref="F56:F67" si="13">IF(D$12=0,0,D56/D$12)</f>
        <v>0.88320715820529294</v>
      </c>
      <c r="G56" s="22"/>
      <c r="H56" s="22">
        <f>SUM(OSRRefH22x_0)</f>
        <v>57331.812610111527</v>
      </c>
      <c r="I56" s="22"/>
      <c r="J56" s="31">
        <f t="shared" ref="J56:J67" si="14">IF(H$12=0,0,H56/H$12)</f>
        <v>1.1660391435509179</v>
      </c>
      <c r="K56" s="4"/>
      <c r="L56" s="22">
        <f t="shared" ref="L56:L67" si="15">+D56-H56</f>
        <v>-11768.612610111515</v>
      </c>
      <c r="M56" s="4"/>
      <c r="N56" s="31">
        <f t="shared" ref="N56:N67" si="16">IF(H56=0,0,L56/H56)</f>
        <v>-0.20527194369633278</v>
      </c>
      <c r="O56" s="10"/>
      <c r="P56" s="22">
        <f>SUM(OSRRefP22x_0)</f>
        <v>507407.53999999986</v>
      </c>
      <c r="Q56" s="22"/>
      <c r="R56" s="31">
        <f t="shared" ref="R56:R67" si="17">IF(P$12=0,0,P56/P$12)</f>
        <v>0.25807228079091982</v>
      </c>
      <c r="S56" s="22"/>
      <c r="T56" s="22">
        <f>SUM(OSRRefT22x_0)</f>
        <v>614664.06863808876</v>
      </c>
      <c r="U56" s="22"/>
      <c r="V56" s="31">
        <f t="shared" ref="V56:V67" si="18">IF(T$12=0,0,T56/T$12)</f>
        <v>0.20312838935187078</v>
      </c>
      <c r="W56" s="4"/>
      <c r="X56" s="22">
        <f t="shared" ref="X56:X67" si="19">+P56-T56</f>
        <v>-107256.5286380889</v>
      </c>
      <c r="Y56" s="4"/>
      <c r="Z56" s="31">
        <f t="shared" ref="Z56:Z67" si="20">IF(T56=0,0,X56/T56)</f>
        <v>-0.17449617459458336</v>
      </c>
    </row>
    <row r="57" spans="1:26" s="27" customFormat="1" outlineLevel="1" collapsed="1" x14ac:dyDescent="0.25">
      <c r="A57" s="26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11708.38</v>
      </c>
      <c r="E57" s="1"/>
      <c r="F57" s="5">
        <f t="shared" si="13"/>
        <v>0.22695783059547364</v>
      </c>
      <c r="G57" s="1"/>
      <c r="H57" s="1">
        <f>SUM(OSRRefH22_0x_0)</f>
        <v>11451.23546641923</v>
      </c>
      <c r="I57" s="1"/>
      <c r="J57" s="5">
        <f t="shared" si="14"/>
        <v>0.23290016812600126</v>
      </c>
      <c r="K57" s="1"/>
      <c r="L57" s="1">
        <f t="shared" si="15"/>
        <v>257.14453358076935</v>
      </c>
      <c r="M57" s="1"/>
      <c r="N57" s="5">
        <f t="shared" si="16"/>
        <v>2.245561488407484E-2</v>
      </c>
      <c r="O57" s="13"/>
      <c r="P57" s="1">
        <f>SUM(OSRRefP22_0x_0)</f>
        <v>131878.37</v>
      </c>
      <c r="Q57" s="1"/>
      <c r="R57" s="5">
        <f t="shared" si="17"/>
        <v>6.7074588077443278E-2</v>
      </c>
      <c r="S57" s="1"/>
      <c r="T57" s="1">
        <f>SUM(OSRRefT22_0x_0)</f>
        <v>137104.97166378074</v>
      </c>
      <c r="U57" s="1"/>
      <c r="V57" s="5">
        <f t="shared" si="18"/>
        <v>4.5309159079210078E-2</v>
      </c>
      <c r="W57" s="1"/>
      <c r="X57" s="1">
        <f t="shared" si="19"/>
        <v>-5226.6016637807479</v>
      </c>
      <c r="Y57" s="1"/>
      <c r="Z57" s="5">
        <f t="shared" si="20"/>
        <v>-3.8121168039025009E-2</v>
      </c>
    </row>
    <row r="58" spans="1:26" s="24" customFormat="1" hidden="1" outlineLevel="2" x14ac:dyDescent="0.25">
      <c r="A58" s="25"/>
      <c r="B58" s="11" t="str">
        <f>CONCATENATE("          ", "6111", " - ", "F.I.C.A.")</f>
        <v xml:space="preserve">          6111 - F.I.C.A.</v>
      </c>
      <c r="C58" s="11"/>
      <c r="D58" s="7">
        <v>2097.79</v>
      </c>
      <c r="E58" s="2"/>
      <c r="F58" s="6">
        <f t="shared" si="13"/>
        <v>4.0664025889566163E-2</v>
      </c>
      <c r="G58" s="2"/>
      <c r="H58" s="7">
        <v>1633.6642166884601</v>
      </c>
      <c r="I58" s="2"/>
      <c r="J58" s="6">
        <f t="shared" si="14"/>
        <v>3.3226167765385214E-2</v>
      </c>
      <c r="K58" s="2"/>
      <c r="L58" s="7">
        <f t="shared" si="15"/>
        <v>464.12578331153986</v>
      </c>
      <c r="M58" s="2"/>
      <c r="N58" s="6">
        <f t="shared" si="16"/>
        <v>0.28410108917752508</v>
      </c>
      <c r="O58" s="11"/>
      <c r="P58" s="7">
        <v>24006.85</v>
      </c>
      <c r="Q58" s="2"/>
      <c r="R58" s="6">
        <f t="shared" si="17"/>
        <v>1.2210111292602183E-2</v>
      </c>
      <c r="S58" s="2"/>
      <c r="T58" s="7">
        <v>21069.385216136499</v>
      </c>
      <c r="U58" s="2"/>
      <c r="V58" s="6">
        <f t="shared" si="18"/>
        <v>6.9628118869395714E-3</v>
      </c>
      <c r="W58" s="2"/>
      <c r="X58" s="7">
        <f t="shared" si="19"/>
        <v>2937.4647838634992</v>
      </c>
      <c r="Y58" s="2"/>
      <c r="Z58" s="6">
        <f t="shared" si="20"/>
        <v>0.13941862820058795</v>
      </c>
    </row>
    <row r="59" spans="1:26" s="24" customFormat="1" hidden="1" outlineLevel="2" x14ac:dyDescent="0.25">
      <c r="A59" s="25"/>
      <c r="B59" s="11" t="str">
        <f>CONCATENATE("          ", "6112", " - ", "COMPENSATION INSURANCE")</f>
        <v xml:space="preserve">          6112 - COMPENSATION INSURANCE</v>
      </c>
      <c r="C59" s="11"/>
      <c r="D59" s="7">
        <v>186.45</v>
      </c>
      <c r="E59" s="2"/>
      <c r="F59" s="6">
        <f t="shared" si="13"/>
        <v>3.6141880870390322E-3</v>
      </c>
      <c r="G59" s="2"/>
      <c r="H59" s="7">
        <v>529.38520596153899</v>
      </c>
      <c r="I59" s="2"/>
      <c r="J59" s="6">
        <f t="shared" si="14"/>
        <v>1.0766864748648287E-2</v>
      </c>
      <c r="K59" s="2"/>
      <c r="L59" s="7">
        <f t="shared" si="15"/>
        <v>-342.935205961539</v>
      </c>
      <c r="M59" s="2"/>
      <c r="N59" s="6">
        <f t="shared" si="16"/>
        <v>-0.64779899796907814</v>
      </c>
      <c r="O59" s="11"/>
      <c r="P59" s="7">
        <v>1371.89</v>
      </c>
      <c r="Q59" s="2"/>
      <c r="R59" s="6">
        <f t="shared" si="17"/>
        <v>6.9775624795456346E-4</v>
      </c>
      <c r="S59" s="2"/>
      <c r="T59" s="7">
        <v>7225.0301396634604</v>
      </c>
      <c r="U59" s="2"/>
      <c r="V59" s="6">
        <f t="shared" si="18"/>
        <v>2.3876598782491738E-3</v>
      </c>
      <c r="W59" s="2"/>
      <c r="X59" s="7">
        <f t="shared" si="19"/>
        <v>-5853.1401396634601</v>
      </c>
      <c r="Y59" s="2"/>
      <c r="Z59" s="6">
        <f t="shared" si="20"/>
        <v>-0.81011982324216258</v>
      </c>
    </row>
    <row r="60" spans="1:26" s="24" customFormat="1" hidden="1" outlineLevel="2" x14ac:dyDescent="0.25">
      <c r="A60" s="25"/>
      <c r="B60" s="11" t="str">
        <f>CONCATENATE("          ", "6113", " - ", "GROUP INSURANCE")</f>
        <v xml:space="preserve">          6113 - GROUP INSURANCE</v>
      </c>
      <c r="C60" s="11"/>
      <c r="D60" s="7">
        <v>4943.91</v>
      </c>
      <c r="E60" s="2"/>
      <c r="F60" s="6">
        <f t="shared" si="13"/>
        <v>9.5833846207525566E-2</v>
      </c>
      <c r="G60" s="2"/>
      <c r="H60" s="7">
        <v>4662.6923076923104</v>
      </c>
      <c r="I60" s="2"/>
      <c r="J60" s="6">
        <f t="shared" si="14"/>
        <v>9.4831848106335631E-2</v>
      </c>
      <c r="K60" s="2"/>
      <c r="L60" s="7">
        <f t="shared" si="15"/>
        <v>281.2176923076895</v>
      </c>
      <c r="M60" s="2"/>
      <c r="N60" s="6">
        <f t="shared" si="16"/>
        <v>6.0312298935906318E-2</v>
      </c>
      <c r="O60" s="11"/>
      <c r="P60" s="7">
        <v>50107.77</v>
      </c>
      <c r="Q60" s="2"/>
      <c r="R60" s="6">
        <f t="shared" si="17"/>
        <v>2.5485286421338616E-2</v>
      </c>
      <c r="S60" s="2"/>
      <c r="T60" s="7">
        <v>52517.307692307702</v>
      </c>
      <c r="U60" s="2"/>
      <c r="V60" s="6">
        <f t="shared" si="18"/>
        <v>1.735542496940097E-2</v>
      </c>
      <c r="W60" s="2"/>
      <c r="X60" s="7">
        <f t="shared" si="19"/>
        <v>-2409.5376923077056</v>
      </c>
      <c r="Y60" s="2"/>
      <c r="Z60" s="6">
        <f t="shared" si="20"/>
        <v>-4.588083049544131E-2</v>
      </c>
    </row>
    <row r="61" spans="1:26" s="24" customFormat="1" hidden="1" outlineLevel="2" x14ac:dyDescent="0.25">
      <c r="A61" s="25"/>
      <c r="B61" s="11" t="str">
        <f>CONCATENATE("          ", "6114", " - ", "STATE UNEMPLOYMENT INSURANCE")</f>
        <v xml:space="preserve">          6114 - STATE UNEMPLOYMENT INSURANCE</v>
      </c>
      <c r="C61" s="11"/>
      <c r="D61" s="7">
        <v>113</v>
      </c>
      <c r="E61" s="2"/>
      <c r="F61" s="6">
        <f t="shared" si="13"/>
        <v>2.1904170224478982E-3</v>
      </c>
      <c r="G61" s="2"/>
      <c r="H61" s="7">
        <v>74.400082999999995</v>
      </c>
      <c r="I61" s="2"/>
      <c r="J61" s="6">
        <f t="shared" si="14"/>
        <v>1.5131809917019198E-3</v>
      </c>
      <c r="K61" s="2"/>
      <c r="L61" s="7">
        <f t="shared" si="15"/>
        <v>38.599917000000005</v>
      </c>
      <c r="M61" s="2"/>
      <c r="N61" s="6">
        <f t="shared" si="16"/>
        <v>0.51881550992355763</v>
      </c>
      <c r="O61" s="11"/>
      <c r="P61" s="7">
        <v>875.51</v>
      </c>
      <c r="Q61" s="2"/>
      <c r="R61" s="6">
        <f t="shared" si="17"/>
        <v>4.4529267845577986E-4</v>
      </c>
      <c r="S61" s="2"/>
      <c r="T61" s="7">
        <v>1015.40964125</v>
      </c>
      <c r="U61" s="2"/>
      <c r="V61" s="6">
        <f t="shared" si="18"/>
        <v>3.3556300991610015E-4</v>
      </c>
      <c r="W61" s="2"/>
      <c r="X61" s="7">
        <f t="shared" si="19"/>
        <v>-139.89964125000006</v>
      </c>
      <c r="Y61" s="2"/>
      <c r="Z61" s="6">
        <f t="shared" si="20"/>
        <v>-0.13777655398049929</v>
      </c>
    </row>
    <row r="62" spans="1:26" s="24" customFormat="1" hidden="1" outlineLevel="2" x14ac:dyDescent="0.25">
      <c r="A62" s="25"/>
      <c r="B62" s="11" t="str">
        <f>CONCATENATE("          ", "6115", " - ", "P.E.R.S.")</f>
        <v xml:space="preserve">          6115 - P.E.R.S.</v>
      </c>
      <c r="C62" s="11"/>
      <c r="D62" s="7">
        <v>1783.22</v>
      </c>
      <c r="E62" s="2"/>
      <c r="F62" s="6">
        <f t="shared" si="13"/>
        <v>3.4566331351942842E-2</v>
      </c>
      <c r="G62" s="2"/>
      <c r="H62" s="7">
        <v>1268.5379723076901</v>
      </c>
      <c r="I62" s="2"/>
      <c r="J62" s="6">
        <f t="shared" si="14"/>
        <v>2.5800072655135252E-2</v>
      </c>
      <c r="K62" s="2"/>
      <c r="L62" s="7">
        <f t="shared" si="15"/>
        <v>514.68202769230993</v>
      </c>
      <c r="M62" s="2"/>
      <c r="N62" s="6">
        <f t="shared" si="16"/>
        <v>0.40572851497382789</v>
      </c>
      <c r="O62" s="11"/>
      <c r="P62" s="7">
        <v>20247.57</v>
      </c>
      <c r="Q62" s="2"/>
      <c r="R62" s="6">
        <f t="shared" si="17"/>
        <v>1.0298105878311949E-2</v>
      </c>
      <c r="S62" s="2"/>
      <c r="T62" s="7">
        <v>15222.4556676923</v>
      </c>
      <c r="U62" s="2"/>
      <c r="V62" s="6">
        <f t="shared" si="18"/>
        <v>5.0305737060729588E-3</v>
      </c>
      <c r="W62" s="2"/>
      <c r="X62" s="7">
        <f t="shared" si="19"/>
        <v>5025.1143323076994</v>
      </c>
      <c r="Y62" s="2"/>
      <c r="Z62" s="6">
        <f t="shared" si="20"/>
        <v>0.33011193739081512</v>
      </c>
    </row>
    <row r="63" spans="1:26" s="24" customFormat="1" hidden="1" outlineLevel="2" x14ac:dyDescent="0.25">
      <c r="A63" s="25"/>
      <c r="B63" s="11" t="str">
        <f>CONCATENATE("          ", "6116", " - ", "EDUCATIONAL BENEFITS")</f>
        <v xml:space="preserve">          6116 - EDUCATIONAL BENEFITS</v>
      </c>
      <c r="C63" s="11"/>
      <c r="D63" s="7"/>
      <c r="E63" s="2"/>
      <c r="F63" s="6">
        <f t="shared" si="13"/>
        <v>0</v>
      </c>
      <c r="G63" s="2"/>
      <c r="H63" s="7">
        <v>0</v>
      </c>
      <c r="I63" s="2"/>
      <c r="J63" s="6">
        <f t="shared" si="14"/>
        <v>0</v>
      </c>
      <c r="K63" s="2"/>
      <c r="L63" s="7">
        <f t="shared" si="15"/>
        <v>0</v>
      </c>
      <c r="M63" s="2"/>
      <c r="N63" s="6">
        <f t="shared" si="16"/>
        <v>0</v>
      </c>
      <c r="O63" s="11"/>
      <c r="P63" s="7"/>
      <c r="Q63" s="2"/>
      <c r="R63" s="6">
        <f t="shared" si="17"/>
        <v>0</v>
      </c>
      <c r="S63" s="2"/>
      <c r="T63" s="7">
        <v>0</v>
      </c>
      <c r="U63" s="2"/>
      <c r="V63" s="6">
        <f t="shared" si="18"/>
        <v>0</v>
      </c>
      <c r="W63" s="2"/>
      <c r="X63" s="7">
        <f t="shared" si="19"/>
        <v>0</v>
      </c>
      <c r="Y63" s="2"/>
      <c r="Z63" s="6">
        <f t="shared" si="20"/>
        <v>0</v>
      </c>
    </row>
    <row r="64" spans="1:26" s="24" customFormat="1" hidden="1" outlineLevel="2" x14ac:dyDescent="0.25">
      <c r="A64" s="25"/>
      <c r="B64" s="11" t="str">
        <f>CONCATENATE("          ", "6117", " - ", "RETIREMENT STAFF HOURLY")</f>
        <v xml:space="preserve">          6117 - RETIREMENT STAFF HOURLY</v>
      </c>
      <c r="C64" s="11"/>
      <c r="D64" s="7">
        <v>245.58</v>
      </c>
      <c r="E64" s="2"/>
      <c r="F64" s="6">
        <f t="shared" si="13"/>
        <v>4.7603771006438488E-3</v>
      </c>
      <c r="G64" s="2"/>
      <c r="H64" s="7"/>
      <c r="I64" s="2"/>
      <c r="J64" s="6">
        <f t="shared" si="14"/>
        <v>0</v>
      </c>
      <c r="K64" s="2"/>
      <c r="L64" s="7">
        <f t="shared" si="15"/>
        <v>245.58</v>
      </c>
      <c r="M64" s="2"/>
      <c r="N64" s="6">
        <f t="shared" si="16"/>
        <v>0</v>
      </c>
      <c r="O64" s="11"/>
      <c r="P64" s="7">
        <v>3001.4</v>
      </c>
      <c r="Q64" s="2"/>
      <c r="R64" s="6">
        <f t="shared" si="17"/>
        <v>1.5265404679754401E-3</v>
      </c>
      <c r="S64" s="2"/>
      <c r="T64" s="7"/>
      <c r="U64" s="2"/>
      <c r="V64" s="6">
        <f t="shared" si="18"/>
        <v>0</v>
      </c>
      <c r="W64" s="2"/>
      <c r="X64" s="7">
        <f t="shared" si="19"/>
        <v>3001.4</v>
      </c>
      <c r="Y64" s="2"/>
      <c r="Z64" s="6">
        <f t="shared" si="20"/>
        <v>0</v>
      </c>
    </row>
    <row r="65" spans="1:26" s="24" customFormat="1" hidden="1" outlineLevel="2" x14ac:dyDescent="0.25">
      <c r="A65" s="25"/>
      <c r="B65" s="11" t="str">
        <f>CONCATENATE("          ", "6118", " - ", "VACATION")</f>
        <v xml:space="preserve">          6118 - VACATION</v>
      </c>
      <c r="C65" s="11"/>
      <c r="D65" s="7">
        <v>1644.18</v>
      </c>
      <c r="E65" s="2"/>
      <c r="F65" s="6">
        <f t="shared" si="13"/>
        <v>3.1871149203260049E-2</v>
      </c>
      <c r="G65" s="2"/>
      <c r="H65" s="7">
        <v>1346.2077200000001</v>
      </c>
      <c r="I65" s="2"/>
      <c r="J65" s="6">
        <f t="shared" si="14"/>
        <v>2.7379753498210219E-2</v>
      </c>
      <c r="K65" s="2"/>
      <c r="L65" s="7">
        <f t="shared" si="15"/>
        <v>297.97227999999996</v>
      </c>
      <c r="M65" s="2"/>
      <c r="N65" s="6">
        <f t="shared" si="16"/>
        <v>0.22134197833897426</v>
      </c>
      <c r="O65" s="11"/>
      <c r="P65" s="7">
        <v>16145.13</v>
      </c>
      <c r="Q65" s="2"/>
      <c r="R65" s="6">
        <f t="shared" si="17"/>
        <v>8.2115660377571516E-3</v>
      </c>
      <c r="S65" s="2"/>
      <c r="T65" s="7">
        <v>16154.49264</v>
      </c>
      <c r="U65" s="2"/>
      <c r="V65" s="6">
        <f t="shared" si="18"/>
        <v>5.3385845019874503E-3</v>
      </c>
      <c r="W65" s="2"/>
      <c r="X65" s="7">
        <f t="shared" si="19"/>
        <v>-9.3626400000011927</v>
      </c>
      <c r="Y65" s="2"/>
      <c r="Z65" s="6">
        <f t="shared" si="20"/>
        <v>-5.7956880532530257E-4</v>
      </c>
    </row>
    <row r="66" spans="1:26" s="24" customFormat="1" hidden="1" outlineLevel="2" x14ac:dyDescent="0.25">
      <c r="A66" s="25"/>
      <c r="B66" s="11" t="str">
        <f>CONCATENATE("          ", "6119", " - ", "SICK LEAVE")</f>
        <v xml:space="preserve">          6119 - SICK LEAVE</v>
      </c>
      <c r="C66" s="11"/>
      <c r="D66" s="7">
        <v>284.64</v>
      </c>
      <c r="E66" s="2"/>
      <c r="F66" s="6">
        <f t="shared" si="13"/>
        <v>5.5175247899961928E-3</v>
      </c>
      <c r="G66" s="2"/>
      <c r="H66" s="7">
        <v>1186.34796076923</v>
      </c>
      <c r="I66" s="2"/>
      <c r="J66" s="6">
        <f t="shared" si="14"/>
        <v>2.4128456735462701E-2</v>
      </c>
      <c r="K66" s="2"/>
      <c r="L66" s="7">
        <f t="shared" si="15"/>
        <v>-901.70796076923</v>
      </c>
      <c r="M66" s="2"/>
      <c r="N66" s="6">
        <f t="shared" si="16"/>
        <v>-0.7600703929937731</v>
      </c>
      <c r="O66" s="11"/>
      <c r="P66" s="7">
        <v>11461.54</v>
      </c>
      <c r="Q66" s="2"/>
      <c r="R66" s="6">
        <f t="shared" si="17"/>
        <v>5.8294478027984369E-3</v>
      </c>
      <c r="S66" s="2"/>
      <c r="T66" s="7">
        <v>15650.8906667308</v>
      </c>
      <c r="U66" s="2"/>
      <c r="V66" s="6">
        <f t="shared" si="18"/>
        <v>5.1721588673619328E-3</v>
      </c>
      <c r="W66" s="2"/>
      <c r="X66" s="7">
        <f t="shared" si="19"/>
        <v>-4189.3506667307993</v>
      </c>
      <c r="Y66" s="2"/>
      <c r="Z66" s="6">
        <f t="shared" si="20"/>
        <v>-0.2676749046388861</v>
      </c>
    </row>
    <row r="67" spans="1:26" s="24" customFormat="1" hidden="1" outlineLevel="2" x14ac:dyDescent="0.25">
      <c r="A67" s="25"/>
      <c r="B67" s="11" t="str">
        <f>CONCATENATE("          ", "6156", " - ", "EMPLOYEE MEALS")</f>
        <v xml:space="preserve">          6156 - EMPLOYEE MEALS</v>
      </c>
      <c r="C67" s="11"/>
      <c r="D67" s="7">
        <v>409.61</v>
      </c>
      <c r="E67" s="2"/>
      <c r="F67" s="6">
        <f t="shared" si="13"/>
        <v>7.939970943052068E-3</v>
      </c>
      <c r="G67" s="2"/>
      <c r="H67" s="7">
        <v>750</v>
      </c>
      <c r="I67" s="2"/>
      <c r="J67" s="6">
        <f t="shared" si="14"/>
        <v>1.525382362512203E-2</v>
      </c>
      <c r="K67" s="2"/>
      <c r="L67" s="7">
        <f t="shared" si="15"/>
        <v>-340.39</v>
      </c>
      <c r="M67" s="2"/>
      <c r="N67" s="6">
        <f t="shared" si="16"/>
        <v>-0.45385333333333333</v>
      </c>
      <c r="O67" s="11"/>
      <c r="P67" s="7">
        <v>4660.71</v>
      </c>
      <c r="Q67" s="2"/>
      <c r="R67" s="6">
        <f t="shared" si="17"/>
        <v>2.370481250249155E-3</v>
      </c>
      <c r="S67" s="2"/>
      <c r="T67" s="7">
        <v>8250</v>
      </c>
      <c r="U67" s="2"/>
      <c r="V67" s="6">
        <f t="shared" si="18"/>
        <v>2.7263822592819269E-3</v>
      </c>
      <c r="W67" s="2"/>
      <c r="X67" s="7">
        <f t="shared" si="19"/>
        <v>-3589.29</v>
      </c>
      <c r="Y67" s="2"/>
      <c r="Z67" s="6">
        <f t="shared" si="20"/>
        <v>-0.43506545454545453</v>
      </c>
    </row>
    <row r="68" spans="1:26" s="27" customFormat="1" outlineLevel="1" collapsed="1" x14ac:dyDescent="0.25">
      <c r="A68" s="26"/>
      <c r="B68" s="13" t="str">
        <f>CONCATENATE("     ","*Payroll                                          ")</f>
        <v xml:space="preserve">     *Payroll                                          </v>
      </c>
      <c r="C68" s="13"/>
      <c r="D68" s="1">
        <f>SUM(OSRRefD22_1x_0)</f>
        <v>28613.609999999997</v>
      </c>
      <c r="E68" s="1"/>
      <c r="F68" s="5">
        <f t="shared" ref="F68:F78" si="21">IF(D$12=0,0,D68/D$12)</f>
        <v>0.55465255236889732</v>
      </c>
      <c r="G68" s="1"/>
      <c r="H68" s="1">
        <f>SUM(OSRRefH22_1x_0)</f>
        <v>26515.577143692299</v>
      </c>
      <c r="I68" s="1"/>
      <c r="J68" s="5">
        <f t="shared" ref="J68:J78" si="22">IF(H$12=0,0,H68/H$12)</f>
        <v>0.53928524942426581</v>
      </c>
      <c r="K68" s="1"/>
      <c r="L68" s="1">
        <f t="shared" ref="L68:L78" si="23">+D68-H68</f>
        <v>2098.0328563076982</v>
      </c>
      <c r="M68" s="1"/>
      <c r="N68" s="5">
        <f t="shared" ref="N68:N78" si="24">IF(H68=0,0,L68/H68)</f>
        <v>7.9124540451754502E-2</v>
      </c>
      <c r="O68" s="13"/>
      <c r="P68" s="1">
        <f>SUM(OSRRefP22_1x_0)</f>
        <v>310823.01999999996</v>
      </c>
      <c r="Q68" s="1"/>
      <c r="R68" s="5">
        <f t="shared" ref="R68:R78" si="25">IF(P$12=0,0,P68/P$12)</f>
        <v>0.1580875319545344</v>
      </c>
      <c r="S68" s="1"/>
      <c r="T68" s="1">
        <f>SUM(OSRRefT22_1x_0)</f>
        <v>365344.09697430802</v>
      </c>
      <c r="U68" s="1"/>
      <c r="V68" s="5">
        <f t="shared" ref="V68:V78" si="26">IF(T$12=0,0,T68/T$12)</f>
        <v>0.12073547448777326</v>
      </c>
      <c r="W68" s="1"/>
      <c r="X68" s="1">
        <f t="shared" ref="X68:X78" si="27">+P68-T68</f>
        <v>-54521.07697430806</v>
      </c>
      <c r="Y68" s="1"/>
      <c r="Z68" s="5">
        <f t="shared" ref="Z68:Z78" si="28">IF(T68=0,0,X68/T68)</f>
        <v>-0.14923212781002487</v>
      </c>
    </row>
    <row r="69" spans="1:26" s="24" customFormat="1" hidden="1" outlineLevel="2" x14ac:dyDescent="0.25">
      <c r="A69" s="25"/>
      <c r="B69" s="11" t="str">
        <f>CONCATENATE("          ", "6001", " - ", "ADMINISTRATIVE SALARIES")</f>
        <v xml:space="preserve">          6001 - ADMINISTRATIVE SALARIES</v>
      </c>
      <c r="C69" s="11"/>
      <c r="D69" s="7"/>
      <c r="E69" s="2"/>
      <c r="F69" s="6">
        <f t="shared" si="21"/>
        <v>0</v>
      </c>
      <c r="G69" s="2"/>
      <c r="H69" s="7">
        <v>0</v>
      </c>
      <c r="I69" s="2"/>
      <c r="J69" s="6">
        <f t="shared" si="22"/>
        <v>0</v>
      </c>
      <c r="K69" s="2"/>
      <c r="L69" s="7">
        <f t="shared" si="23"/>
        <v>0</v>
      </c>
      <c r="M69" s="2"/>
      <c r="N69" s="6">
        <f t="shared" si="24"/>
        <v>0</v>
      </c>
      <c r="O69" s="11"/>
      <c r="P69" s="7">
        <v>-311.32</v>
      </c>
      <c r="Q69" s="2"/>
      <c r="R69" s="6">
        <f t="shared" si="25"/>
        <v>-1.5834030068971613E-4</v>
      </c>
      <c r="S69" s="2"/>
      <c r="T69" s="7">
        <v>0</v>
      </c>
      <c r="U69" s="2"/>
      <c r="V69" s="6">
        <f t="shared" si="26"/>
        <v>0</v>
      </c>
      <c r="W69" s="2"/>
      <c r="X69" s="7">
        <f t="shared" si="27"/>
        <v>-311.32</v>
      </c>
      <c r="Y69" s="2"/>
      <c r="Z69" s="6">
        <f t="shared" si="28"/>
        <v>0</v>
      </c>
    </row>
    <row r="70" spans="1:26" s="24" customFormat="1" hidden="1" outlineLevel="2" x14ac:dyDescent="0.25">
      <c r="A70" s="25"/>
      <c r="B70" s="11" t="str">
        <f>CONCATENATE("          ", "6002", " - ", "STAFF SALARIES")</f>
        <v xml:space="preserve">          6002 - STAFF SALARIES</v>
      </c>
      <c r="C70" s="11"/>
      <c r="D70" s="7">
        <v>18291.48</v>
      </c>
      <c r="E70" s="2"/>
      <c r="F70" s="6">
        <f t="shared" si="21"/>
        <v>0.3545660987412857</v>
      </c>
      <c r="G70" s="2"/>
      <c r="H70" s="7">
        <v>13107.2520636923</v>
      </c>
      <c r="I70" s="2"/>
      <c r="J70" s="6">
        <f t="shared" si="22"/>
        <v>0.26658094825277212</v>
      </c>
      <c r="K70" s="2"/>
      <c r="L70" s="7">
        <f t="shared" si="23"/>
        <v>5184.2279363076996</v>
      </c>
      <c r="M70" s="2"/>
      <c r="N70" s="6">
        <f t="shared" si="24"/>
        <v>0.39552363158317927</v>
      </c>
      <c r="O70" s="11"/>
      <c r="P70" s="7">
        <v>192215.53</v>
      </c>
      <c r="Q70" s="2"/>
      <c r="R70" s="6">
        <f t="shared" si="25"/>
        <v>9.7762639141183202E-2</v>
      </c>
      <c r="S70" s="2"/>
      <c r="T70" s="7">
        <v>157287.02476430801</v>
      </c>
      <c r="U70" s="2"/>
      <c r="V70" s="6">
        <f t="shared" si="26"/>
        <v>5.1978733810017753E-2</v>
      </c>
      <c r="W70" s="2"/>
      <c r="X70" s="7">
        <f t="shared" si="27"/>
        <v>34928.505235691991</v>
      </c>
      <c r="Y70" s="2"/>
      <c r="Z70" s="6">
        <f t="shared" si="28"/>
        <v>0.22206857360314225</v>
      </c>
    </row>
    <row r="71" spans="1:26" s="24" customFormat="1" hidden="1" outlineLevel="2" x14ac:dyDescent="0.25">
      <c r="A71" s="25"/>
      <c r="B71" s="11" t="str">
        <f>CONCATENATE("          ", "6003", " - ", "STAFF HOURLY-9 MONTH")</f>
        <v xml:space="preserve">          6003 - STAFF HOURLY-9 MONTH</v>
      </c>
      <c r="C71" s="11"/>
      <c r="D71" s="7"/>
      <c r="E71" s="2"/>
      <c r="F71" s="6">
        <f t="shared" si="21"/>
        <v>0</v>
      </c>
      <c r="G71" s="2"/>
      <c r="H71" s="7">
        <v>0</v>
      </c>
      <c r="I71" s="2"/>
      <c r="J71" s="6">
        <f t="shared" si="22"/>
        <v>0</v>
      </c>
      <c r="K71" s="2"/>
      <c r="L71" s="7">
        <f t="shared" si="23"/>
        <v>0</v>
      </c>
      <c r="M71" s="2"/>
      <c r="N71" s="6">
        <f t="shared" si="24"/>
        <v>0</v>
      </c>
      <c r="O71" s="11"/>
      <c r="P71" s="7"/>
      <c r="Q71" s="2"/>
      <c r="R71" s="6">
        <f t="shared" si="25"/>
        <v>0</v>
      </c>
      <c r="S71" s="2"/>
      <c r="T71" s="7">
        <v>0</v>
      </c>
      <c r="U71" s="2"/>
      <c r="V71" s="6">
        <f t="shared" si="26"/>
        <v>0</v>
      </c>
      <c r="W71" s="2"/>
      <c r="X71" s="7">
        <f t="shared" si="27"/>
        <v>0</v>
      </c>
      <c r="Y71" s="2"/>
      <c r="Z71" s="6">
        <f t="shared" si="28"/>
        <v>0</v>
      </c>
    </row>
    <row r="72" spans="1:26" s="24" customFormat="1" hidden="1" outlineLevel="2" x14ac:dyDescent="0.25">
      <c r="A72" s="25"/>
      <c r="B72" s="11" t="str">
        <f>CONCATENATE("          ", "6004", " - ", "STAFF HOURLY")</f>
        <v xml:space="preserve">          6004 - STAFF HOURLY</v>
      </c>
      <c r="C72" s="11"/>
      <c r="D72" s="7">
        <v>6146.69</v>
      </c>
      <c r="E72" s="2"/>
      <c r="F72" s="6">
        <f t="shared" si="21"/>
        <v>0.11914880006823249</v>
      </c>
      <c r="G72" s="2"/>
      <c r="H72" s="7">
        <v>5285.7500799999998</v>
      </c>
      <c r="I72" s="2"/>
      <c r="J72" s="6">
        <f t="shared" si="22"/>
        <v>0.10750386592905954</v>
      </c>
      <c r="K72" s="2"/>
      <c r="L72" s="7">
        <f t="shared" si="23"/>
        <v>860.9399199999998</v>
      </c>
      <c r="M72" s="2"/>
      <c r="N72" s="6">
        <f t="shared" si="24"/>
        <v>0.16287942240356545</v>
      </c>
      <c r="O72" s="11"/>
      <c r="P72" s="7">
        <v>74445.429999999993</v>
      </c>
      <c r="Q72" s="2"/>
      <c r="R72" s="6">
        <f t="shared" si="25"/>
        <v>3.7863650813231446E-2</v>
      </c>
      <c r="S72" s="2"/>
      <c r="T72" s="7">
        <v>63429.000959999998</v>
      </c>
      <c r="U72" s="2"/>
      <c r="V72" s="6">
        <f t="shared" si="26"/>
        <v>2.0961418538341856E-2</v>
      </c>
      <c r="W72" s="2"/>
      <c r="X72" s="7">
        <f t="shared" si="27"/>
        <v>11016.429039999995</v>
      </c>
      <c r="Y72" s="2"/>
      <c r="Z72" s="6">
        <f t="shared" si="28"/>
        <v>0.17368126366907854</v>
      </c>
    </row>
    <row r="73" spans="1:26" s="24" customFormat="1" hidden="1" outlineLevel="2" x14ac:dyDescent="0.25">
      <c r="A73" s="25"/>
      <c r="B73" s="11" t="str">
        <f>CONCATENATE("          ", "6005", " - ", "TEMPORARY WAGES-HOURLY")</f>
        <v xml:space="preserve">          6005 - TEMPORARY WAGES-HOURLY</v>
      </c>
      <c r="C73" s="11"/>
      <c r="D73" s="7">
        <v>1870</v>
      </c>
      <c r="E73" s="2"/>
      <c r="F73" s="6">
        <f t="shared" si="21"/>
        <v>3.6248494088297077E-2</v>
      </c>
      <c r="G73" s="2"/>
      <c r="H73" s="7">
        <v>3853.2</v>
      </c>
      <c r="I73" s="2"/>
      <c r="J73" s="6">
        <f t="shared" si="22"/>
        <v>7.8368044256426947E-2</v>
      </c>
      <c r="K73" s="2"/>
      <c r="L73" s="7">
        <f t="shared" si="23"/>
        <v>-1983.1999999999998</v>
      </c>
      <c r="M73" s="2"/>
      <c r="N73" s="6">
        <f t="shared" si="24"/>
        <v>-0.51468908958787496</v>
      </c>
      <c r="O73" s="11"/>
      <c r="P73" s="7">
        <v>17555.16</v>
      </c>
      <c r="Q73" s="2"/>
      <c r="R73" s="6">
        <f t="shared" si="25"/>
        <v>8.9287206509574626E-3</v>
      </c>
      <c r="S73" s="2"/>
      <c r="T73" s="7">
        <v>39473.64</v>
      </c>
      <c r="U73" s="2"/>
      <c r="V73" s="6">
        <f t="shared" si="26"/>
        <v>1.3044876582458358E-2</v>
      </c>
      <c r="W73" s="2"/>
      <c r="X73" s="7">
        <f t="shared" si="27"/>
        <v>-21918.48</v>
      </c>
      <c r="Y73" s="2"/>
      <c r="Z73" s="6">
        <f t="shared" si="28"/>
        <v>-0.55526878190103568</v>
      </c>
    </row>
    <row r="74" spans="1:26" s="24" customFormat="1" hidden="1" outlineLevel="2" x14ac:dyDescent="0.25">
      <c r="A74" s="25"/>
      <c r="B74" s="11" t="str">
        <f>CONCATENATE("          ", "6006", " - ", "TEMPORARY PART TIME")</f>
        <v xml:space="preserve">          6006 - TEMPORARY PART TIME</v>
      </c>
      <c r="C74" s="11"/>
      <c r="D74" s="7">
        <v>411.75</v>
      </c>
      <c r="E74" s="2"/>
      <c r="F74" s="6">
        <f t="shared" si="21"/>
        <v>7.9814531769285147E-3</v>
      </c>
      <c r="G74" s="2"/>
      <c r="H74" s="7">
        <v>0</v>
      </c>
      <c r="I74" s="2"/>
      <c r="J74" s="6">
        <f t="shared" si="22"/>
        <v>0</v>
      </c>
      <c r="K74" s="2"/>
      <c r="L74" s="7">
        <f t="shared" si="23"/>
        <v>411.75</v>
      </c>
      <c r="M74" s="2"/>
      <c r="N74" s="6">
        <f t="shared" si="24"/>
        <v>0</v>
      </c>
      <c r="O74" s="11"/>
      <c r="P74" s="7">
        <v>914.04</v>
      </c>
      <c r="Q74" s="2"/>
      <c r="R74" s="6">
        <f t="shared" si="25"/>
        <v>4.648894013954392E-4</v>
      </c>
      <c r="S74" s="2"/>
      <c r="T74" s="7">
        <v>0</v>
      </c>
      <c r="U74" s="2"/>
      <c r="V74" s="6">
        <f t="shared" si="26"/>
        <v>0</v>
      </c>
      <c r="W74" s="2"/>
      <c r="X74" s="7">
        <f t="shared" si="27"/>
        <v>914.04</v>
      </c>
      <c r="Y74" s="2"/>
      <c r="Z74" s="6">
        <f t="shared" si="28"/>
        <v>0</v>
      </c>
    </row>
    <row r="75" spans="1:26" s="24" customFormat="1" hidden="1" outlineLevel="2" x14ac:dyDescent="0.25">
      <c r="A75" s="25"/>
      <c r="B75" s="11" t="str">
        <f>CONCATENATE("          ", "6007", " - ", "STUDENT HOURLY")</f>
        <v xml:space="preserve">          6007 - STUDENT HOURLY</v>
      </c>
      <c r="C75" s="11"/>
      <c r="D75" s="7">
        <v>1893.69</v>
      </c>
      <c r="E75" s="2"/>
      <c r="F75" s="6">
        <f t="shared" si="21"/>
        <v>3.6707706294153632E-2</v>
      </c>
      <c r="G75" s="2"/>
      <c r="H75" s="7">
        <v>853.875</v>
      </c>
      <c r="I75" s="2"/>
      <c r="J75" s="6">
        <f t="shared" si="22"/>
        <v>1.7366478197201433E-2</v>
      </c>
      <c r="K75" s="2"/>
      <c r="L75" s="7">
        <f t="shared" si="23"/>
        <v>1039.8150000000001</v>
      </c>
      <c r="M75" s="2"/>
      <c r="N75" s="6">
        <f t="shared" si="24"/>
        <v>1.2177602108036891</v>
      </c>
      <c r="O75" s="11"/>
      <c r="P75" s="7">
        <v>25036.92</v>
      </c>
      <c r="Q75" s="2"/>
      <c r="R75" s="6">
        <f t="shared" si="25"/>
        <v>1.2734014650984093E-2</v>
      </c>
      <c r="S75" s="2"/>
      <c r="T75" s="7">
        <v>29394.737499999999</v>
      </c>
      <c r="U75" s="2"/>
      <c r="V75" s="6">
        <f t="shared" si="26"/>
        <v>9.7140958589392954E-3</v>
      </c>
      <c r="W75" s="2"/>
      <c r="X75" s="7">
        <f t="shared" si="27"/>
        <v>-4357.817500000001</v>
      </c>
      <c r="Y75" s="2"/>
      <c r="Z75" s="6">
        <f t="shared" si="28"/>
        <v>-0.14825162157001745</v>
      </c>
    </row>
    <row r="76" spans="1:26" s="24" customFormat="1" hidden="1" outlineLevel="2" x14ac:dyDescent="0.25">
      <c r="A76" s="25"/>
      <c r="B76" s="11" t="str">
        <f>CONCATENATE("          ", "6008", " - ", "STUDENT HOURLY-FICA EXEMPT")</f>
        <v xml:space="preserve">          6008 - STUDENT HOURLY-FICA EXEMPT</v>
      </c>
      <c r="C76" s="11"/>
      <c r="D76" s="7"/>
      <c r="E76" s="2"/>
      <c r="F76" s="6">
        <f t="shared" si="21"/>
        <v>0</v>
      </c>
      <c r="G76" s="2"/>
      <c r="H76" s="7">
        <v>3415.5</v>
      </c>
      <c r="I76" s="2"/>
      <c r="J76" s="6">
        <f t="shared" si="22"/>
        <v>6.9465912788805734E-2</v>
      </c>
      <c r="K76" s="2"/>
      <c r="L76" s="7">
        <f t="shared" si="23"/>
        <v>-3415.5</v>
      </c>
      <c r="M76" s="2"/>
      <c r="N76" s="6">
        <f t="shared" si="24"/>
        <v>-1</v>
      </c>
      <c r="O76" s="11"/>
      <c r="P76" s="7">
        <v>967.26</v>
      </c>
      <c r="Q76" s="2"/>
      <c r="R76" s="6">
        <f t="shared" si="25"/>
        <v>4.9195759747248761E-4</v>
      </c>
      <c r="S76" s="2"/>
      <c r="T76" s="7">
        <v>75759.693750000006</v>
      </c>
      <c r="U76" s="2"/>
      <c r="V76" s="6">
        <f t="shared" si="26"/>
        <v>2.5036349698015988E-2</v>
      </c>
      <c r="W76" s="2"/>
      <c r="X76" s="7">
        <f t="shared" si="27"/>
        <v>-74792.433750000011</v>
      </c>
      <c r="Y76" s="2"/>
      <c r="Z76" s="6">
        <f t="shared" si="28"/>
        <v>-0.9872325249466839</v>
      </c>
    </row>
    <row r="77" spans="1:26" s="24" customFormat="1" hidden="1" outlineLevel="2" x14ac:dyDescent="0.25">
      <c r="A77" s="25"/>
      <c r="B77" s="11" t="str">
        <f>CONCATENATE("          ", "6009", " - ", "TEMPORARY-SEASONAL")</f>
        <v xml:space="preserve">          6009 - TEMPORARY-SEASONAL</v>
      </c>
      <c r="C77" s="11"/>
      <c r="D77" s="7"/>
      <c r="E77" s="2"/>
      <c r="F77" s="6">
        <f t="shared" si="21"/>
        <v>0</v>
      </c>
      <c r="G77" s="2"/>
      <c r="H77" s="7">
        <v>0</v>
      </c>
      <c r="I77" s="2"/>
      <c r="J77" s="6">
        <f t="shared" si="22"/>
        <v>0</v>
      </c>
      <c r="K77" s="2"/>
      <c r="L77" s="7">
        <f t="shared" si="23"/>
        <v>0</v>
      </c>
      <c r="M77" s="2"/>
      <c r="N77" s="6">
        <f t="shared" si="24"/>
        <v>0</v>
      </c>
      <c r="O77" s="11"/>
      <c r="P77" s="7"/>
      <c r="Q77" s="2"/>
      <c r="R77" s="6">
        <f t="shared" si="25"/>
        <v>0</v>
      </c>
      <c r="S77" s="2"/>
      <c r="T77" s="7">
        <v>0</v>
      </c>
      <c r="U77" s="2"/>
      <c r="V77" s="6">
        <f t="shared" si="26"/>
        <v>0</v>
      </c>
      <c r="W77" s="2"/>
      <c r="X77" s="7">
        <f t="shared" si="27"/>
        <v>0</v>
      </c>
      <c r="Y77" s="2"/>
      <c r="Z77" s="6">
        <f t="shared" si="28"/>
        <v>0</v>
      </c>
    </row>
    <row r="78" spans="1:26" s="24" customFormat="1" hidden="1" outlineLevel="2" x14ac:dyDescent="0.25">
      <c r="A78" s="25"/>
      <c r="B78" s="11" t="str">
        <f>CONCATENATE("          ", "6010", " - ", "GRATUITY")</f>
        <v xml:space="preserve">          6010 - GRATUITY</v>
      </c>
      <c r="C78" s="11"/>
      <c r="D78" s="7"/>
      <c r="E78" s="2"/>
      <c r="F78" s="6">
        <f t="shared" si="21"/>
        <v>0</v>
      </c>
      <c r="G78" s="2"/>
      <c r="H78" s="7">
        <v>0</v>
      </c>
      <c r="I78" s="2"/>
      <c r="J78" s="6">
        <f t="shared" si="22"/>
        <v>0</v>
      </c>
      <c r="K78" s="2"/>
      <c r="L78" s="7">
        <f t="shared" si="23"/>
        <v>0</v>
      </c>
      <c r="M78" s="2"/>
      <c r="N78" s="6">
        <f t="shared" si="24"/>
        <v>0</v>
      </c>
      <c r="O78" s="11"/>
      <c r="P78" s="7"/>
      <c r="Q78" s="2"/>
      <c r="R78" s="6">
        <f t="shared" si="25"/>
        <v>0</v>
      </c>
      <c r="S78" s="2"/>
      <c r="T78" s="7">
        <v>0</v>
      </c>
      <c r="U78" s="2"/>
      <c r="V78" s="6">
        <f t="shared" si="26"/>
        <v>0</v>
      </c>
      <c r="W78" s="2"/>
      <c r="X78" s="7">
        <f t="shared" si="27"/>
        <v>0</v>
      </c>
      <c r="Y78" s="2"/>
      <c r="Z78" s="6">
        <f t="shared" si="28"/>
        <v>0</v>
      </c>
    </row>
    <row r="79" spans="1:26" s="27" customFormat="1" outlineLevel="1" collapsed="1" x14ac:dyDescent="0.25">
      <c r="A79" s="26"/>
      <c r="B79" s="13" t="str">
        <f>CONCATENATE("     ","Advertising/Promo                                 ")</f>
        <v xml:space="preserve">     Advertising/Promo                                 </v>
      </c>
      <c r="C79" s="13"/>
      <c r="D79" s="1">
        <f>SUM(OSRRefD22_2x_0)</f>
        <v>348.4</v>
      </c>
      <c r="E79" s="1"/>
      <c r="F79" s="5">
        <f t="shared" ref="F79:F83" si="29">IF(D$12=0,0,D79/D$12)</f>
        <v>6.7534627488570597E-3</v>
      </c>
      <c r="G79" s="1"/>
      <c r="H79" s="1">
        <f>SUM(OSRRefH22_2x_0)</f>
        <v>500</v>
      </c>
      <c r="I79" s="1"/>
      <c r="J79" s="5">
        <f t="shared" ref="J79:J83" si="30">IF(H$12=0,0,H79/H$12)</f>
        <v>1.0169215750081353E-2</v>
      </c>
      <c r="K79" s="1"/>
      <c r="L79" s="1">
        <f t="shared" ref="L79:L83" si="31">+D79-H79</f>
        <v>-151.60000000000002</v>
      </c>
      <c r="M79" s="1"/>
      <c r="N79" s="5">
        <f t="shared" ref="N79:N83" si="32">IF(H79=0,0,L79/H79)</f>
        <v>-0.30320000000000003</v>
      </c>
      <c r="O79" s="13"/>
      <c r="P79" s="1">
        <f>SUM(OSRRefP22_2x_0)</f>
        <v>2380.9899999999998</v>
      </c>
      <c r="Q79" s="1"/>
      <c r="R79" s="5">
        <f t="shared" ref="R79:R83" si="33">IF(P$12=0,0,P79/P$12)</f>
        <v>1.2109940657176127E-3</v>
      </c>
      <c r="S79" s="1"/>
      <c r="T79" s="1">
        <f>SUM(OSRRefT22_2x_0)</f>
        <v>2900</v>
      </c>
      <c r="U79" s="1"/>
      <c r="V79" s="5">
        <f t="shared" ref="V79:V83" si="34">IF(T$12=0,0,T79/T$12)</f>
        <v>9.5836467295970767E-4</v>
      </c>
      <c r="W79" s="1"/>
      <c r="X79" s="1">
        <f t="shared" ref="X79:X83" si="35">+P79-T79</f>
        <v>-519.01000000000022</v>
      </c>
      <c r="Y79" s="1"/>
      <c r="Z79" s="5">
        <f t="shared" ref="Z79:Z83" si="36">IF(T79=0,0,X79/T79)</f>
        <v>-0.17896896551724145</v>
      </c>
    </row>
    <row r="80" spans="1:26" s="24" customFormat="1" hidden="1" outlineLevel="2" x14ac:dyDescent="0.25">
      <c r="A80" s="25"/>
      <c r="B80" s="11" t="str">
        <f>CONCATENATE("          ", "6362", " - ", "ADVERTISING EXPENSE")</f>
        <v xml:space="preserve">          6362 - ADVERTISING EXPENSE</v>
      </c>
      <c r="C80" s="11"/>
      <c r="D80" s="7">
        <v>348.4</v>
      </c>
      <c r="E80" s="2"/>
      <c r="F80" s="6">
        <f t="shared" si="29"/>
        <v>6.7534627488570597E-3</v>
      </c>
      <c r="G80" s="2"/>
      <c r="H80" s="7">
        <v>500</v>
      </c>
      <c r="I80" s="2"/>
      <c r="J80" s="6">
        <f t="shared" si="30"/>
        <v>1.0169215750081353E-2</v>
      </c>
      <c r="K80" s="2"/>
      <c r="L80" s="7">
        <f t="shared" si="31"/>
        <v>-151.60000000000002</v>
      </c>
      <c r="M80" s="2"/>
      <c r="N80" s="6">
        <f t="shared" si="32"/>
        <v>-0.30320000000000003</v>
      </c>
      <c r="O80" s="11"/>
      <c r="P80" s="7">
        <v>2380.9899999999998</v>
      </c>
      <c r="Q80" s="2"/>
      <c r="R80" s="6">
        <f t="shared" si="33"/>
        <v>1.2109940657176127E-3</v>
      </c>
      <c r="S80" s="2"/>
      <c r="T80" s="7">
        <v>2900</v>
      </c>
      <c r="U80" s="2"/>
      <c r="V80" s="6">
        <f t="shared" si="34"/>
        <v>9.5836467295970767E-4</v>
      </c>
      <c r="W80" s="2"/>
      <c r="X80" s="7">
        <f t="shared" si="35"/>
        <v>-519.01000000000022</v>
      </c>
      <c r="Y80" s="2"/>
      <c r="Z80" s="6">
        <f t="shared" si="36"/>
        <v>-0.17896896551724145</v>
      </c>
    </row>
    <row r="81" spans="1:26" s="27" customFormat="1" outlineLevel="1" collapsed="1" x14ac:dyDescent="0.25">
      <c r="A81" s="26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SUM(OSRRefD22_3x_0)</f>
        <v>0</v>
      </c>
      <c r="E81" s="1"/>
      <c r="F81" s="5">
        <f t="shared" si="29"/>
        <v>0</v>
      </c>
      <c r="G81" s="1"/>
      <c r="H81" s="1">
        <f>SUM(OSRRefH22_3x_0)</f>
        <v>1200</v>
      </c>
      <c r="I81" s="1"/>
      <c r="J81" s="5">
        <f t="shared" si="30"/>
        <v>2.4406117800195248E-2</v>
      </c>
      <c r="K81" s="1"/>
      <c r="L81" s="1">
        <f t="shared" si="31"/>
        <v>-1200</v>
      </c>
      <c r="M81" s="1"/>
      <c r="N81" s="5">
        <f t="shared" si="32"/>
        <v>-1</v>
      </c>
      <c r="O81" s="13"/>
      <c r="P81" s="1">
        <f>SUM(OSRRefP22_3x_0)</f>
        <v>0</v>
      </c>
      <c r="Q81" s="1"/>
      <c r="R81" s="5">
        <f t="shared" si="33"/>
        <v>0</v>
      </c>
      <c r="S81" s="1"/>
      <c r="T81" s="1">
        <f>SUM(OSRRefT22_3x_0)</f>
        <v>18800</v>
      </c>
      <c r="U81" s="1"/>
      <c r="V81" s="5">
        <f t="shared" si="34"/>
        <v>6.2128468453939668E-3</v>
      </c>
      <c r="W81" s="1"/>
      <c r="X81" s="1">
        <f t="shared" si="35"/>
        <v>-18800</v>
      </c>
      <c r="Y81" s="1"/>
      <c r="Z81" s="5">
        <f t="shared" si="36"/>
        <v>-1</v>
      </c>
    </row>
    <row r="82" spans="1:26" s="24" customFormat="1" hidden="1" outlineLevel="2" x14ac:dyDescent="0.25">
      <c r="A82" s="25"/>
      <c r="B82" s="11" t="str">
        <f>CONCATENATE("          ", "6382", " - ", "DISCOUNTS/MARK DOWNS")</f>
        <v xml:space="preserve">          6382 - DISCOUNTS/MARK DOWNS</v>
      </c>
      <c r="C82" s="11"/>
      <c r="D82" s="7">
        <v>0</v>
      </c>
      <c r="E82" s="2"/>
      <c r="F82" s="6">
        <f t="shared" si="29"/>
        <v>0</v>
      </c>
      <c r="G82" s="2"/>
      <c r="H82" s="7">
        <v>1200</v>
      </c>
      <c r="I82" s="2"/>
      <c r="J82" s="6">
        <f t="shared" si="30"/>
        <v>2.4406117800195248E-2</v>
      </c>
      <c r="K82" s="2"/>
      <c r="L82" s="7">
        <f t="shared" si="31"/>
        <v>-1200</v>
      </c>
      <c r="M82" s="2"/>
      <c r="N82" s="6">
        <f t="shared" si="32"/>
        <v>-1</v>
      </c>
      <c r="O82" s="11"/>
      <c r="P82" s="7">
        <v>0</v>
      </c>
      <c r="Q82" s="2"/>
      <c r="R82" s="6">
        <f t="shared" si="33"/>
        <v>0</v>
      </c>
      <c r="S82" s="2"/>
      <c r="T82" s="7">
        <v>18800</v>
      </c>
      <c r="U82" s="2"/>
      <c r="V82" s="6">
        <f t="shared" si="34"/>
        <v>6.2128468453939668E-3</v>
      </c>
      <c r="W82" s="2"/>
      <c r="X82" s="7">
        <f t="shared" si="35"/>
        <v>-18800</v>
      </c>
      <c r="Y82" s="2"/>
      <c r="Z82" s="6">
        <f t="shared" si="36"/>
        <v>-1</v>
      </c>
    </row>
    <row r="83" spans="1:26" s="24" customFormat="1" hidden="1" outlineLevel="2" x14ac:dyDescent="0.25">
      <c r="A83" s="25"/>
      <c r="B83" s="11" t="str">
        <f>CONCATENATE("          ", "9175", " - ", "EARNED DISCOUNTS")</f>
        <v xml:space="preserve">          9175 - EARNED DISCOUNTS</v>
      </c>
      <c r="C83" s="11"/>
      <c r="D83" s="7"/>
      <c r="E83" s="2"/>
      <c r="F83" s="6">
        <f t="shared" si="29"/>
        <v>0</v>
      </c>
      <c r="G83" s="2"/>
      <c r="H83" s="7"/>
      <c r="I83" s="2"/>
      <c r="J83" s="6">
        <f t="shared" si="30"/>
        <v>0</v>
      </c>
      <c r="K83" s="2"/>
      <c r="L83" s="7">
        <f t="shared" si="31"/>
        <v>0</v>
      </c>
      <c r="M83" s="2"/>
      <c r="N83" s="6">
        <f t="shared" si="32"/>
        <v>0</v>
      </c>
      <c r="O83" s="11"/>
      <c r="P83" s="7">
        <v>0</v>
      </c>
      <c r="Q83" s="2"/>
      <c r="R83" s="6">
        <f t="shared" si="33"/>
        <v>0</v>
      </c>
      <c r="S83" s="2"/>
      <c r="T83" s="7"/>
      <c r="U83" s="2"/>
      <c r="V83" s="6">
        <f t="shared" si="34"/>
        <v>0</v>
      </c>
      <c r="W83" s="2"/>
      <c r="X83" s="7">
        <f t="shared" si="35"/>
        <v>0</v>
      </c>
      <c r="Y83" s="2"/>
      <c r="Z83" s="6">
        <f t="shared" si="36"/>
        <v>0</v>
      </c>
    </row>
    <row r="84" spans="1:26" s="27" customFormat="1" outlineLevel="1" collapsed="1" x14ac:dyDescent="0.25">
      <c r="A84" s="26"/>
      <c r="B84" s="13" t="str">
        <f>CONCATENATE("     ","Employees' Appreciation                           ")</f>
        <v xml:space="preserve">     Employees' Appreciation                           </v>
      </c>
      <c r="C84" s="13"/>
      <c r="D84" s="1">
        <f>SUM(OSRRefD22_4x_0)</f>
        <v>0</v>
      </c>
      <c r="E84" s="1"/>
      <c r="F84" s="5">
        <f t="shared" ref="F84:F90" si="37">IF(D$12=0,0,D84/D$12)</f>
        <v>0</v>
      </c>
      <c r="G84" s="1"/>
      <c r="H84" s="1">
        <f>SUM(OSRRefH22_4x_0)</f>
        <v>75</v>
      </c>
      <c r="I84" s="1"/>
      <c r="J84" s="5">
        <f t="shared" ref="J84:J90" si="38">IF(H$12=0,0,H84/H$12)</f>
        <v>1.525382362512203E-3</v>
      </c>
      <c r="K84" s="1"/>
      <c r="L84" s="1">
        <f t="shared" ref="L84:L90" si="39">+D84-H84</f>
        <v>-75</v>
      </c>
      <c r="M84" s="1"/>
      <c r="N84" s="5">
        <f t="shared" ref="N84:N90" si="40">IF(H84=0,0,L84/H84)</f>
        <v>-1</v>
      </c>
      <c r="O84" s="13"/>
      <c r="P84" s="1">
        <f>SUM(OSRRefP22_4x_0)</f>
        <v>107.7</v>
      </c>
      <c r="Q84" s="1"/>
      <c r="R84" s="5">
        <f t="shared" ref="R84:R90" si="41">IF(P$12=0,0,P84/P$12)</f>
        <v>5.4777240088277107E-5</v>
      </c>
      <c r="S84" s="1"/>
      <c r="T84" s="1">
        <f>SUM(OSRRefT22_4x_0)</f>
        <v>825</v>
      </c>
      <c r="U84" s="1"/>
      <c r="V84" s="5">
        <f t="shared" ref="V84:V90" si="42">IF(T$12=0,0,T84/T$12)</f>
        <v>2.7263822592819273E-4</v>
      </c>
      <c r="W84" s="1"/>
      <c r="X84" s="1">
        <f t="shared" ref="X84:X90" si="43">+P84-T84</f>
        <v>-717.3</v>
      </c>
      <c r="Y84" s="1"/>
      <c r="Z84" s="5">
        <f t="shared" ref="Z84:Z90" si="44">IF(T84=0,0,X84/T84)</f>
        <v>-0.86945454545454537</v>
      </c>
    </row>
    <row r="85" spans="1:26" s="24" customFormat="1" hidden="1" outlineLevel="2" x14ac:dyDescent="0.25">
      <c r="A85" s="25"/>
      <c r="B85" s="11" t="str">
        <f>CONCATENATE("          ", "6277", " - ", "EMPLOYEE APPRECIATION")</f>
        <v xml:space="preserve">          6277 - EMPLOYEE APPRECIATION</v>
      </c>
      <c r="C85" s="11"/>
      <c r="D85" s="7"/>
      <c r="E85" s="2"/>
      <c r="F85" s="6">
        <f t="shared" si="37"/>
        <v>0</v>
      </c>
      <c r="G85" s="2"/>
      <c r="H85" s="7">
        <v>75</v>
      </c>
      <c r="I85" s="2"/>
      <c r="J85" s="6">
        <f t="shared" si="38"/>
        <v>1.525382362512203E-3</v>
      </c>
      <c r="K85" s="2"/>
      <c r="L85" s="7">
        <f t="shared" si="39"/>
        <v>-75</v>
      </c>
      <c r="M85" s="2"/>
      <c r="N85" s="6">
        <f t="shared" si="40"/>
        <v>-1</v>
      </c>
      <c r="O85" s="11"/>
      <c r="P85" s="7">
        <v>107.7</v>
      </c>
      <c r="Q85" s="2"/>
      <c r="R85" s="6">
        <f t="shared" si="41"/>
        <v>5.4777240088277107E-5</v>
      </c>
      <c r="S85" s="2"/>
      <c r="T85" s="7">
        <v>825</v>
      </c>
      <c r="U85" s="2"/>
      <c r="V85" s="6">
        <f t="shared" si="42"/>
        <v>2.7263822592819273E-4</v>
      </c>
      <c r="W85" s="2"/>
      <c r="X85" s="7">
        <f t="shared" si="43"/>
        <v>-717.3</v>
      </c>
      <c r="Y85" s="2"/>
      <c r="Z85" s="6">
        <f t="shared" si="44"/>
        <v>-0.86945454545454537</v>
      </c>
    </row>
    <row r="86" spans="1:26" s="27" customFormat="1" outlineLevel="1" collapsed="1" x14ac:dyDescent="0.25">
      <c r="A86" s="26"/>
      <c r="B86" s="13" t="str">
        <f>CONCATENATE("     ","Equipment Rental                                  ")</f>
        <v xml:space="preserve">     Equipment Rental                                  </v>
      </c>
      <c r="C86" s="13"/>
      <c r="D86" s="1">
        <f>SUM(OSRRefD22_5x_0)</f>
        <v>91.26</v>
      </c>
      <c r="E86" s="1"/>
      <c r="F86" s="5">
        <f t="shared" si="37"/>
        <v>1.7690040483946479E-3</v>
      </c>
      <c r="G86" s="1"/>
      <c r="H86" s="1">
        <f>SUM(OSRRefH22_5x_0)</f>
        <v>100</v>
      </c>
      <c r="I86" s="1"/>
      <c r="J86" s="5">
        <f t="shared" si="38"/>
        <v>2.0338431500162707E-3</v>
      </c>
      <c r="K86" s="1"/>
      <c r="L86" s="1">
        <f t="shared" si="39"/>
        <v>-8.7399999999999949</v>
      </c>
      <c r="M86" s="1"/>
      <c r="N86" s="5">
        <f t="shared" si="40"/>
        <v>-8.739999999999995E-2</v>
      </c>
      <c r="O86" s="13"/>
      <c r="P86" s="1">
        <f>SUM(OSRRefP22_5x_0)</f>
        <v>1003.86</v>
      </c>
      <c r="Q86" s="1"/>
      <c r="R86" s="5">
        <f t="shared" si="41"/>
        <v>5.1057270413201348E-4</v>
      </c>
      <c r="S86" s="1"/>
      <c r="T86" s="1">
        <f>SUM(OSRRefT22_5x_0)</f>
        <v>1100</v>
      </c>
      <c r="U86" s="1"/>
      <c r="V86" s="5">
        <f t="shared" si="42"/>
        <v>3.6351763457092364E-4</v>
      </c>
      <c r="W86" s="1"/>
      <c r="X86" s="1">
        <f t="shared" si="43"/>
        <v>-96.139999999999986</v>
      </c>
      <c r="Y86" s="1"/>
      <c r="Z86" s="5">
        <f t="shared" si="44"/>
        <v>-8.7399999999999992E-2</v>
      </c>
    </row>
    <row r="87" spans="1:26" s="24" customFormat="1" hidden="1" outlineLevel="2" x14ac:dyDescent="0.25">
      <c r="A87" s="25"/>
      <c r="B87" s="11" t="str">
        <f>CONCATENATE("          ", "6351", " - ", "EQUIPMENT RENTAL")</f>
        <v xml:space="preserve">          6351 - EQUIPMENT RENTAL</v>
      </c>
      <c r="C87" s="11"/>
      <c r="D87" s="7">
        <v>91.26</v>
      </c>
      <c r="E87" s="2"/>
      <c r="F87" s="6">
        <f t="shared" si="37"/>
        <v>1.7690040483946479E-3</v>
      </c>
      <c r="G87" s="2"/>
      <c r="H87" s="7">
        <v>100</v>
      </c>
      <c r="I87" s="2"/>
      <c r="J87" s="6">
        <f t="shared" si="38"/>
        <v>2.0338431500162707E-3</v>
      </c>
      <c r="K87" s="2"/>
      <c r="L87" s="7">
        <f t="shared" si="39"/>
        <v>-8.7399999999999949</v>
      </c>
      <c r="M87" s="2"/>
      <c r="N87" s="6">
        <f t="shared" si="40"/>
        <v>-8.739999999999995E-2</v>
      </c>
      <c r="O87" s="11"/>
      <c r="P87" s="7">
        <v>1003.86</v>
      </c>
      <c r="Q87" s="2"/>
      <c r="R87" s="6">
        <f t="shared" si="41"/>
        <v>5.1057270413201348E-4</v>
      </c>
      <c r="S87" s="2"/>
      <c r="T87" s="7">
        <v>1100</v>
      </c>
      <c r="U87" s="2"/>
      <c r="V87" s="6">
        <f t="shared" si="42"/>
        <v>3.6351763457092364E-4</v>
      </c>
      <c r="W87" s="2"/>
      <c r="X87" s="7">
        <f t="shared" si="43"/>
        <v>-96.139999999999986</v>
      </c>
      <c r="Y87" s="2"/>
      <c r="Z87" s="6">
        <f t="shared" si="44"/>
        <v>-8.7399999999999992E-2</v>
      </c>
    </row>
    <row r="88" spans="1:26" s="27" customFormat="1" outlineLevel="1" collapsed="1" x14ac:dyDescent="0.25">
      <c r="A88" s="26"/>
      <c r="B88" s="13" t="str">
        <f>CONCATENATE("     ","Freight out/Postage                               ")</f>
        <v xml:space="preserve">     Freight out/Postage                               </v>
      </c>
      <c r="C88" s="13"/>
      <c r="D88" s="1">
        <f>SUM(OSRRefD22_6x_0)</f>
        <v>2675.75</v>
      </c>
      <c r="E88" s="1"/>
      <c r="F88" s="5">
        <f t="shared" si="37"/>
        <v>5.1867330511636847E-2</v>
      </c>
      <c r="G88" s="1"/>
      <c r="H88" s="1">
        <f>SUM(OSRRefH22_6x_0)</f>
        <v>1000</v>
      </c>
      <c r="I88" s="1"/>
      <c r="J88" s="5">
        <f t="shared" si="38"/>
        <v>2.0338431500162707E-2</v>
      </c>
      <c r="K88" s="1"/>
      <c r="L88" s="1">
        <f t="shared" si="39"/>
        <v>1675.75</v>
      </c>
      <c r="M88" s="1"/>
      <c r="N88" s="5">
        <f t="shared" si="40"/>
        <v>1.6757500000000001</v>
      </c>
      <c r="O88" s="13"/>
      <c r="P88" s="1">
        <f>SUM(OSRRefP22_6x_0)</f>
        <v>26453.74</v>
      </c>
      <c r="Q88" s="1"/>
      <c r="R88" s="5">
        <f t="shared" si="41"/>
        <v>1.3454622722496376E-2</v>
      </c>
      <c r="S88" s="1"/>
      <c r="T88" s="1">
        <f>SUM(OSRRefT22_6x_0)</f>
        <v>24000</v>
      </c>
      <c r="U88" s="1"/>
      <c r="V88" s="5">
        <f t="shared" si="42"/>
        <v>7.9312938451837883E-3</v>
      </c>
      <c r="W88" s="1"/>
      <c r="X88" s="1">
        <f t="shared" si="43"/>
        <v>2453.7400000000016</v>
      </c>
      <c r="Y88" s="1"/>
      <c r="Z88" s="5">
        <f t="shared" si="44"/>
        <v>0.10223916666666673</v>
      </c>
    </row>
    <row r="89" spans="1:26" s="24" customFormat="1" hidden="1" outlineLevel="2" x14ac:dyDescent="0.25">
      <c r="A89" s="25"/>
      <c r="B89" s="11" t="str">
        <f>CONCATENATE("          ", "6305", " - ", "FREIGHT OUT")</f>
        <v xml:space="preserve">          6305 - FREIGHT OUT</v>
      </c>
      <c r="C89" s="11"/>
      <c r="D89" s="7">
        <v>2675.75</v>
      </c>
      <c r="E89" s="2"/>
      <c r="F89" s="6">
        <f t="shared" si="37"/>
        <v>5.1867330511636847E-2</v>
      </c>
      <c r="G89" s="2"/>
      <c r="H89" s="7">
        <v>1000</v>
      </c>
      <c r="I89" s="2"/>
      <c r="J89" s="6">
        <f t="shared" si="38"/>
        <v>2.0338431500162707E-2</v>
      </c>
      <c r="K89" s="2"/>
      <c r="L89" s="7">
        <f t="shared" si="39"/>
        <v>1675.75</v>
      </c>
      <c r="M89" s="2"/>
      <c r="N89" s="6">
        <f t="shared" si="40"/>
        <v>1.6757500000000001</v>
      </c>
      <c r="O89" s="11"/>
      <c r="P89" s="7">
        <v>26453.24</v>
      </c>
      <c r="Q89" s="2"/>
      <c r="R89" s="6">
        <f t="shared" si="41"/>
        <v>1.345436841776059E-2</v>
      </c>
      <c r="S89" s="2"/>
      <c r="T89" s="7">
        <v>24000</v>
      </c>
      <c r="U89" s="2"/>
      <c r="V89" s="6">
        <f t="shared" si="42"/>
        <v>7.9312938451837883E-3</v>
      </c>
      <c r="W89" s="2"/>
      <c r="X89" s="7">
        <f t="shared" si="43"/>
        <v>2453.2400000000016</v>
      </c>
      <c r="Y89" s="2"/>
      <c r="Z89" s="6">
        <f t="shared" si="44"/>
        <v>0.1022183333333334</v>
      </c>
    </row>
    <row r="90" spans="1:26" s="24" customFormat="1" hidden="1" outlineLevel="2" x14ac:dyDescent="0.25">
      <c r="A90" s="25"/>
      <c r="B90" s="11" t="str">
        <f>CONCATENATE("          ", "6307", " - ", "POSTAGE")</f>
        <v xml:space="preserve">          6307 - POSTAGE</v>
      </c>
      <c r="C90" s="11"/>
      <c r="D90" s="7"/>
      <c r="E90" s="2"/>
      <c r="F90" s="6">
        <f t="shared" si="37"/>
        <v>0</v>
      </c>
      <c r="G90" s="2"/>
      <c r="H90" s="7"/>
      <c r="I90" s="2"/>
      <c r="J90" s="6">
        <f t="shared" si="38"/>
        <v>0</v>
      </c>
      <c r="K90" s="2"/>
      <c r="L90" s="7">
        <f t="shared" si="39"/>
        <v>0</v>
      </c>
      <c r="M90" s="2"/>
      <c r="N90" s="6">
        <f t="shared" si="40"/>
        <v>0</v>
      </c>
      <c r="O90" s="11"/>
      <c r="P90" s="7">
        <v>0.5</v>
      </c>
      <c r="Q90" s="2"/>
      <c r="R90" s="6">
        <f t="shared" si="41"/>
        <v>2.5430473578587327E-7</v>
      </c>
      <c r="S90" s="2"/>
      <c r="T90" s="7"/>
      <c r="U90" s="2"/>
      <c r="V90" s="6">
        <f t="shared" si="42"/>
        <v>0</v>
      </c>
      <c r="W90" s="2"/>
      <c r="X90" s="7">
        <f t="shared" si="43"/>
        <v>0.5</v>
      </c>
      <c r="Y90" s="2"/>
      <c r="Z90" s="6">
        <f t="shared" si="44"/>
        <v>0</v>
      </c>
    </row>
    <row r="91" spans="1:26" s="27" customFormat="1" outlineLevel="1" collapsed="1" x14ac:dyDescent="0.25">
      <c r="A91" s="26"/>
      <c r="B91" s="13" t="str">
        <f>CONCATENATE("     ","General                                           ")</f>
        <v xml:space="preserve">     General                                           </v>
      </c>
      <c r="C91" s="13"/>
      <c r="D91" s="1">
        <f>SUM(OSRRefD22_7x_0)</f>
        <v>0</v>
      </c>
      <c r="E91" s="1"/>
      <c r="F91" s="5">
        <f t="shared" ref="F91:F93" si="45">IF(D$12=0,0,D91/D$12)</f>
        <v>0</v>
      </c>
      <c r="G91" s="1"/>
      <c r="H91" s="1">
        <f>SUM(OSRRefH22_7x_0)</f>
        <v>1250</v>
      </c>
      <c r="I91" s="1"/>
      <c r="J91" s="5">
        <f t="shared" ref="J91:J93" si="46">IF(H$12=0,0,H91/H$12)</f>
        <v>2.5423039375203384E-2</v>
      </c>
      <c r="K91" s="1"/>
      <c r="L91" s="1">
        <f t="shared" ref="L91:L93" si="47">+D91-H91</f>
        <v>-1250</v>
      </c>
      <c r="M91" s="1"/>
      <c r="N91" s="5">
        <f t="shared" ref="N91:N93" si="48">IF(H91=0,0,L91/H91)</f>
        <v>-1</v>
      </c>
      <c r="O91" s="13"/>
      <c r="P91" s="1">
        <f>SUM(OSRRefP22_7x_0)</f>
        <v>-1043.02</v>
      </c>
      <c r="Q91" s="1"/>
      <c r="R91" s="5">
        <f t="shared" ref="R91:R93" si="49">IF(P$12=0,0,P91/P$12)</f>
        <v>-5.304898510387631E-4</v>
      </c>
      <c r="S91" s="1"/>
      <c r="T91" s="1">
        <f>SUM(OSRRefT22_7x_0)</f>
        <v>2750</v>
      </c>
      <c r="U91" s="1"/>
      <c r="V91" s="5">
        <f t="shared" ref="V91:V93" si="50">IF(T$12=0,0,T91/T$12)</f>
        <v>9.0879408642730898E-4</v>
      </c>
      <c r="W91" s="1"/>
      <c r="X91" s="1">
        <f t="shared" ref="X91:X93" si="51">+P91-T91</f>
        <v>-3793.02</v>
      </c>
      <c r="Y91" s="1"/>
      <c r="Z91" s="5">
        <f t="shared" ref="Z91:Z93" si="52">IF(T91=0,0,X91/T91)</f>
        <v>-1.3792800000000001</v>
      </c>
    </row>
    <row r="92" spans="1:26" s="24" customFormat="1" hidden="1" outlineLevel="2" x14ac:dyDescent="0.25">
      <c r="A92" s="25"/>
      <c r="B92" s="11" t="str">
        <f>CONCATENATE("          ", "6269", " - ", "ENTERTAINMENT")</f>
        <v xml:space="preserve">          6269 - ENTERTAINMENT</v>
      </c>
      <c r="C92" s="11"/>
      <c r="D92" s="7"/>
      <c r="E92" s="2"/>
      <c r="F92" s="6">
        <f t="shared" si="45"/>
        <v>0</v>
      </c>
      <c r="G92" s="2"/>
      <c r="H92" s="7">
        <v>1250</v>
      </c>
      <c r="I92" s="2"/>
      <c r="J92" s="6">
        <f t="shared" si="46"/>
        <v>2.5423039375203384E-2</v>
      </c>
      <c r="K92" s="2"/>
      <c r="L92" s="7">
        <f t="shared" si="47"/>
        <v>-1250</v>
      </c>
      <c r="M92" s="2"/>
      <c r="N92" s="6">
        <f t="shared" si="48"/>
        <v>-1</v>
      </c>
      <c r="O92" s="11"/>
      <c r="P92" s="7"/>
      <c r="Q92" s="2"/>
      <c r="R92" s="6">
        <f t="shared" si="49"/>
        <v>0</v>
      </c>
      <c r="S92" s="2"/>
      <c r="T92" s="7">
        <v>2750</v>
      </c>
      <c r="U92" s="2"/>
      <c r="V92" s="6">
        <f t="shared" si="50"/>
        <v>9.0879408642730898E-4</v>
      </c>
      <c r="W92" s="2"/>
      <c r="X92" s="7">
        <f t="shared" si="51"/>
        <v>-2750</v>
      </c>
      <c r="Y92" s="2"/>
      <c r="Z92" s="6">
        <f t="shared" si="52"/>
        <v>-1</v>
      </c>
    </row>
    <row r="93" spans="1:26" s="24" customFormat="1" hidden="1" outlineLevel="2" x14ac:dyDescent="0.25">
      <c r="A93" s="25"/>
      <c r="B93" s="11" t="str">
        <f>CONCATENATE("          ", "6279", " - ", "GENERAL EXPENSE")</f>
        <v xml:space="preserve">          6279 - GENERAL EXPENSE</v>
      </c>
      <c r="C93" s="11"/>
      <c r="D93" s="7"/>
      <c r="E93" s="2"/>
      <c r="F93" s="6">
        <f t="shared" si="45"/>
        <v>0</v>
      </c>
      <c r="G93" s="2"/>
      <c r="H93" s="7"/>
      <c r="I93" s="2"/>
      <c r="J93" s="6">
        <f t="shared" si="46"/>
        <v>0</v>
      </c>
      <c r="K93" s="2"/>
      <c r="L93" s="7">
        <f t="shared" si="47"/>
        <v>0</v>
      </c>
      <c r="M93" s="2"/>
      <c r="N93" s="6">
        <f t="shared" si="48"/>
        <v>0</v>
      </c>
      <c r="O93" s="11"/>
      <c r="P93" s="7">
        <v>-1043.02</v>
      </c>
      <c r="Q93" s="2"/>
      <c r="R93" s="6">
        <f t="shared" si="49"/>
        <v>-5.304898510387631E-4</v>
      </c>
      <c r="S93" s="2"/>
      <c r="T93" s="7"/>
      <c r="U93" s="2"/>
      <c r="V93" s="6">
        <f t="shared" si="50"/>
        <v>0</v>
      </c>
      <c r="W93" s="2"/>
      <c r="X93" s="7">
        <f t="shared" si="51"/>
        <v>-1043.02</v>
      </c>
      <c r="Y93" s="2"/>
      <c r="Z93" s="6">
        <f t="shared" si="52"/>
        <v>0</v>
      </c>
    </row>
    <row r="94" spans="1:26" s="27" customFormat="1" outlineLevel="1" collapsed="1" x14ac:dyDescent="0.25">
      <c r="A94" s="26"/>
      <c r="B94" s="13" t="str">
        <f>CONCATENATE("     ","Inventory Adjustment                              ")</f>
        <v xml:space="preserve">     Inventory Adjustment                              </v>
      </c>
      <c r="C94" s="13"/>
      <c r="D94" s="1">
        <f>SUM(OSRRefD22_8x_0)</f>
        <v>1000</v>
      </c>
      <c r="E94" s="1"/>
      <c r="F94" s="5">
        <f t="shared" ref="F94:F99" si="53">IF(D$12=0,0,D94/D$12)</f>
        <v>1.9384221437592022E-2</v>
      </c>
      <c r="G94" s="1"/>
      <c r="H94" s="1">
        <f>SUM(OSRRefH22_8x_0)</f>
        <v>1000</v>
      </c>
      <c r="I94" s="1"/>
      <c r="J94" s="5">
        <f t="shared" ref="J94:J99" si="54">IF(H$12=0,0,H94/H$12)</f>
        <v>2.0338431500162707E-2</v>
      </c>
      <c r="K94" s="1"/>
      <c r="L94" s="1">
        <f t="shared" ref="L94:L99" si="55">+D94-H94</f>
        <v>0</v>
      </c>
      <c r="M94" s="1"/>
      <c r="N94" s="5">
        <f t="shared" ref="N94:N99" si="56">IF(H94=0,0,L94/H94)</f>
        <v>0</v>
      </c>
      <c r="O94" s="13"/>
      <c r="P94" s="1">
        <f>SUM(OSRRefP22_8x_0)</f>
        <v>16000</v>
      </c>
      <c r="Q94" s="1"/>
      <c r="R94" s="5">
        <f t="shared" ref="R94:R99" si="57">IF(P$12=0,0,P94/P$12)</f>
        <v>8.1377515451479445E-3</v>
      </c>
      <c r="S94" s="1"/>
      <c r="T94" s="1">
        <f>SUM(OSRRefT22_8x_0)</f>
        <v>16000</v>
      </c>
      <c r="U94" s="1"/>
      <c r="V94" s="5">
        <f t="shared" ref="V94:V99" si="58">IF(T$12=0,0,T94/T$12)</f>
        <v>5.2875292301225252E-3</v>
      </c>
      <c r="W94" s="1"/>
      <c r="X94" s="1">
        <f t="shared" ref="X94:X99" si="59">+P94-T94</f>
        <v>0</v>
      </c>
      <c r="Y94" s="1"/>
      <c r="Z94" s="5">
        <f t="shared" ref="Z94:Z99" si="60">IF(T94=0,0,X94/T94)</f>
        <v>0</v>
      </c>
    </row>
    <row r="95" spans="1:26" s="24" customFormat="1" hidden="1" outlineLevel="2" x14ac:dyDescent="0.25">
      <c r="A95" s="25"/>
      <c r="B95" s="11" t="str">
        <f>CONCATENATE("          ", "6408", " - ", "INVENTORY ADJUSTMENT")</f>
        <v xml:space="preserve">          6408 - INVENTORY ADJUSTMENT</v>
      </c>
      <c r="C95" s="11"/>
      <c r="D95" s="7">
        <v>1000</v>
      </c>
      <c r="E95" s="2"/>
      <c r="F95" s="6">
        <f t="shared" si="53"/>
        <v>1.9384221437592022E-2</v>
      </c>
      <c r="G95" s="2"/>
      <c r="H95" s="7">
        <v>1000</v>
      </c>
      <c r="I95" s="2"/>
      <c r="J95" s="6">
        <f t="shared" si="54"/>
        <v>2.0338431500162707E-2</v>
      </c>
      <c r="K95" s="2"/>
      <c r="L95" s="7">
        <f t="shared" si="55"/>
        <v>0</v>
      </c>
      <c r="M95" s="2"/>
      <c r="N95" s="6">
        <f t="shared" si="56"/>
        <v>0</v>
      </c>
      <c r="O95" s="11"/>
      <c r="P95" s="7">
        <v>16000</v>
      </c>
      <c r="Q95" s="2"/>
      <c r="R95" s="6">
        <f t="shared" si="57"/>
        <v>8.1377515451479445E-3</v>
      </c>
      <c r="S95" s="2"/>
      <c r="T95" s="7">
        <v>16000</v>
      </c>
      <c r="U95" s="2"/>
      <c r="V95" s="6">
        <f t="shared" si="58"/>
        <v>5.2875292301225252E-3</v>
      </c>
      <c r="W95" s="2"/>
      <c r="X95" s="7">
        <f t="shared" si="59"/>
        <v>0</v>
      </c>
      <c r="Y95" s="2"/>
      <c r="Z95" s="6">
        <f t="shared" si="60"/>
        <v>0</v>
      </c>
    </row>
    <row r="96" spans="1:26" s="27" customFormat="1" outlineLevel="1" collapsed="1" x14ac:dyDescent="0.25">
      <c r="A96" s="26"/>
      <c r="B96" s="13" t="str">
        <f>CONCATENATE("     ","Repair and Maintenance                            ")</f>
        <v xml:space="preserve">     Repair and Maintenance                            </v>
      </c>
      <c r="C96" s="13"/>
      <c r="D96" s="1">
        <f>SUM(OSRRefD22_9x_0)</f>
        <v>14.74</v>
      </c>
      <c r="E96" s="1"/>
      <c r="F96" s="5">
        <f t="shared" si="53"/>
        <v>2.8572342399010641E-4</v>
      </c>
      <c r="G96" s="1"/>
      <c r="H96" s="1">
        <f>SUM(OSRRefH22_9x_0)</f>
        <v>12140</v>
      </c>
      <c r="I96" s="1"/>
      <c r="J96" s="5">
        <f t="shared" si="54"/>
        <v>0.24690855841197526</v>
      </c>
      <c r="K96" s="1"/>
      <c r="L96" s="1">
        <f t="shared" si="55"/>
        <v>-12125.26</v>
      </c>
      <c r="M96" s="1"/>
      <c r="N96" s="5">
        <f t="shared" si="56"/>
        <v>-0.99878583196046133</v>
      </c>
      <c r="O96" s="13"/>
      <c r="P96" s="1">
        <f>SUM(OSRRefP22_9x_0)</f>
        <v>476.99</v>
      </c>
      <c r="Q96" s="1"/>
      <c r="R96" s="5">
        <f t="shared" si="57"/>
        <v>2.4260163184500742E-4</v>
      </c>
      <c r="S96" s="1"/>
      <c r="T96" s="1">
        <f>SUM(OSRRefT22_9x_0)</f>
        <v>13540</v>
      </c>
      <c r="U96" s="1"/>
      <c r="V96" s="5">
        <f t="shared" si="58"/>
        <v>4.4745716109911874E-3</v>
      </c>
      <c r="W96" s="1"/>
      <c r="X96" s="1">
        <f t="shared" si="59"/>
        <v>-13063.01</v>
      </c>
      <c r="Y96" s="1"/>
      <c r="Z96" s="5">
        <f t="shared" si="60"/>
        <v>-0.96477178729689805</v>
      </c>
    </row>
    <row r="97" spans="1:26" s="24" customFormat="1" hidden="1" outlineLevel="2" x14ac:dyDescent="0.25">
      <c r="A97" s="25"/>
      <c r="B97" s="11" t="str">
        <f>CONCATENATE("          ", "6371", " - ", "COMPUTER SOFTWARE MAINTENANCE")</f>
        <v xml:space="preserve">          6371 - COMPUTER SOFTWARE MAINTENANCE</v>
      </c>
      <c r="C97" s="11"/>
      <c r="D97" s="7"/>
      <c r="E97" s="2"/>
      <c r="F97" s="6">
        <f t="shared" si="53"/>
        <v>0</v>
      </c>
      <c r="G97" s="2"/>
      <c r="H97" s="7">
        <v>12000</v>
      </c>
      <c r="I97" s="2"/>
      <c r="J97" s="6">
        <f t="shared" si="54"/>
        <v>0.24406117800195248</v>
      </c>
      <c r="K97" s="2"/>
      <c r="L97" s="7">
        <f t="shared" si="55"/>
        <v>-12000</v>
      </c>
      <c r="M97" s="2"/>
      <c r="N97" s="6">
        <f t="shared" si="56"/>
        <v>-1</v>
      </c>
      <c r="O97" s="11"/>
      <c r="P97" s="7"/>
      <c r="Q97" s="2"/>
      <c r="R97" s="6">
        <f t="shared" si="57"/>
        <v>0</v>
      </c>
      <c r="S97" s="2"/>
      <c r="T97" s="7">
        <v>12000</v>
      </c>
      <c r="U97" s="2"/>
      <c r="V97" s="6">
        <f t="shared" si="58"/>
        <v>3.9656469225918941E-3</v>
      </c>
      <c r="W97" s="2"/>
      <c r="X97" s="7">
        <f t="shared" si="59"/>
        <v>-12000</v>
      </c>
      <c r="Y97" s="2"/>
      <c r="Z97" s="6">
        <f t="shared" si="60"/>
        <v>-1</v>
      </c>
    </row>
    <row r="98" spans="1:26" s="24" customFormat="1" hidden="1" outlineLevel="2" x14ac:dyDescent="0.25">
      <c r="A98" s="25"/>
      <c r="B98" s="11" t="str">
        <f>CONCATENATE("          ", "6373", " - ", "MAINTENANCE CONTRACTS")</f>
        <v xml:space="preserve">          6373 - MAINTENANCE CONTRACTS</v>
      </c>
      <c r="C98" s="11"/>
      <c r="D98" s="7">
        <v>14.74</v>
      </c>
      <c r="E98" s="2"/>
      <c r="F98" s="6">
        <f t="shared" si="53"/>
        <v>2.8572342399010641E-4</v>
      </c>
      <c r="G98" s="2"/>
      <c r="H98" s="7">
        <v>40</v>
      </c>
      <c r="I98" s="2"/>
      <c r="J98" s="6">
        <f t="shared" si="54"/>
        <v>8.1353726000650832E-4</v>
      </c>
      <c r="K98" s="2"/>
      <c r="L98" s="7">
        <f t="shared" si="55"/>
        <v>-25.259999999999998</v>
      </c>
      <c r="M98" s="2"/>
      <c r="N98" s="6">
        <f t="shared" si="56"/>
        <v>-0.63149999999999995</v>
      </c>
      <c r="O98" s="11"/>
      <c r="P98" s="7">
        <v>219.48</v>
      </c>
      <c r="Q98" s="2"/>
      <c r="R98" s="6">
        <f t="shared" si="57"/>
        <v>1.1162960682056694E-4</v>
      </c>
      <c r="S98" s="2"/>
      <c r="T98" s="7">
        <v>440</v>
      </c>
      <c r="U98" s="2"/>
      <c r="V98" s="6">
        <f t="shared" si="58"/>
        <v>1.4540705382836945E-4</v>
      </c>
      <c r="W98" s="2"/>
      <c r="X98" s="7">
        <f t="shared" si="59"/>
        <v>-220.52</v>
      </c>
      <c r="Y98" s="2"/>
      <c r="Z98" s="6">
        <f t="shared" si="60"/>
        <v>-0.50118181818181817</v>
      </c>
    </row>
    <row r="99" spans="1:26" s="24" customFormat="1" hidden="1" outlineLevel="2" x14ac:dyDescent="0.25">
      <c r="A99" s="25"/>
      <c r="B99" s="11" t="str">
        <f>CONCATENATE("          ", "6375", " - ", "OUTSIDE REPAIRS &amp; MAINTENANCE")</f>
        <v xml:space="preserve">          6375 - OUTSIDE REPAIRS &amp; MAINTENANCE</v>
      </c>
      <c r="C99" s="11"/>
      <c r="D99" s="7"/>
      <c r="E99" s="2"/>
      <c r="F99" s="6">
        <f t="shared" si="53"/>
        <v>0</v>
      </c>
      <c r="G99" s="2"/>
      <c r="H99" s="7">
        <v>100</v>
      </c>
      <c r="I99" s="2"/>
      <c r="J99" s="6">
        <f t="shared" si="54"/>
        <v>2.0338431500162707E-3</v>
      </c>
      <c r="K99" s="2"/>
      <c r="L99" s="7">
        <f t="shared" si="55"/>
        <v>-100</v>
      </c>
      <c r="M99" s="2"/>
      <c r="N99" s="6">
        <f t="shared" si="56"/>
        <v>-1</v>
      </c>
      <c r="O99" s="11"/>
      <c r="P99" s="7">
        <v>257.51</v>
      </c>
      <c r="Q99" s="2"/>
      <c r="R99" s="6">
        <f t="shared" si="57"/>
        <v>1.3097202502444045E-4</v>
      </c>
      <c r="S99" s="2"/>
      <c r="T99" s="7">
        <v>1100</v>
      </c>
      <c r="U99" s="2"/>
      <c r="V99" s="6">
        <f t="shared" si="58"/>
        <v>3.6351763457092364E-4</v>
      </c>
      <c r="W99" s="2"/>
      <c r="X99" s="7">
        <f t="shared" si="59"/>
        <v>-842.49</v>
      </c>
      <c r="Y99" s="2"/>
      <c r="Z99" s="6">
        <f t="shared" si="60"/>
        <v>-0.76590000000000003</v>
      </c>
    </row>
    <row r="100" spans="1:26" s="27" customFormat="1" outlineLevel="1" collapsed="1" x14ac:dyDescent="0.25">
      <c r="A100" s="26"/>
      <c r="B100" s="13" t="str">
        <f>CONCATENATE("     ","Subscriptions &amp; Dues                              ")</f>
        <v xml:space="preserve">     Subscriptions &amp; Dues                              </v>
      </c>
      <c r="C100" s="13"/>
      <c r="D100" s="1">
        <f>SUM(OSRRefD22_10x_0)</f>
        <v>554.32000000000005</v>
      </c>
      <c r="E100" s="1"/>
      <c r="F100" s="5">
        <f t="shared" ref="F100:F102" si="61">IF(D$12=0,0,D100/D$12)</f>
        <v>1.074506162728601E-2</v>
      </c>
      <c r="G100" s="1"/>
      <c r="H100" s="1">
        <f>SUM(OSRRefH22_10x_0)</f>
        <v>300</v>
      </c>
      <c r="I100" s="1"/>
      <c r="J100" s="5">
        <f t="shared" ref="J100:J102" si="62">IF(H$12=0,0,H100/H$12)</f>
        <v>6.1015294500488121E-3</v>
      </c>
      <c r="K100" s="1"/>
      <c r="L100" s="1">
        <f t="shared" ref="L100:L102" si="63">+D100-H100</f>
        <v>254.32000000000005</v>
      </c>
      <c r="M100" s="1"/>
      <c r="N100" s="5">
        <f t="shared" ref="N100:N102" si="64">IF(H100=0,0,L100/H100)</f>
        <v>0.84773333333333345</v>
      </c>
      <c r="O100" s="13"/>
      <c r="P100" s="1">
        <f>SUM(OSRRefP22_10x_0)</f>
        <v>5209.66</v>
      </c>
      <c r="Q100" s="1"/>
      <c r="R100" s="5">
        <f t="shared" ref="R100:R102" si="65">IF(P$12=0,0,P100/P$12)</f>
        <v>2.6496824196684653E-3</v>
      </c>
      <c r="S100" s="1"/>
      <c r="T100" s="1">
        <f>SUM(OSRRefT22_10x_0)</f>
        <v>5100</v>
      </c>
      <c r="U100" s="1"/>
      <c r="V100" s="5">
        <f t="shared" ref="V100:V102" si="66">IF(T$12=0,0,T100/T$12)</f>
        <v>1.6853999421015549E-3</v>
      </c>
      <c r="W100" s="1"/>
      <c r="X100" s="1">
        <f t="shared" ref="X100:X102" si="67">+P100-T100</f>
        <v>109.65999999999985</v>
      </c>
      <c r="Y100" s="1"/>
      <c r="Z100" s="5">
        <f t="shared" ref="Z100:Z102" si="68">IF(T100=0,0,X100/T100)</f>
        <v>2.1501960784313698E-2</v>
      </c>
    </row>
    <row r="101" spans="1:26" s="24" customFormat="1" hidden="1" outlineLevel="2" x14ac:dyDescent="0.25">
      <c r="A101" s="25"/>
      <c r="B101" s="11" t="str">
        <f>CONCATENATE("          ", "6258", " - ", "MEMBERSHIP DUES")</f>
        <v xml:space="preserve">          6258 - MEMBERSHIP DUES</v>
      </c>
      <c r="C101" s="11"/>
      <c r="D101" s="7">
        <v>554.32000000000005</v>
      </c>
      <c r="E101" s="2"/>
      <c r="F101" s="6">
        <f t="shared" si="61"/>
        <v>1.074506162728601E-2</v>
      </c>
      <c r="G101" s="2"/>
      <c r="H101" s="7">
        <v>300</v>
      </c>
      <c r="I101" s="2"/>
      <c r="J101" s="6">
        <f t="shared" si="62"/>
        <v>6.1015294500488121E-3</v>
      </c>
      <c r="K101" s="2"/>
      <c r="L101" s="7">
        <f t="shared" si="63"/>
        <v>254.32000000000005</v>
      </c>
      <c r="M101" s="2"/>
      <c r="N101" s="6">
        <f t="shared" si="64"/>
        <v>0.84773333333333345</v>
      </c>
      <c r="O101" s="11"/>
      <c r="P101" s="7">
        <v>3357.58</v>
      </c>
      <c r="Q101" s="2"/>
      <c r="R101" s="6">
        <f t="shared" si="65"/>
        <v>1.7076969895598649E-3</v>
      </c>
      <c r="S101" s="2"/>
      <c r="T101" s="7">
        <v>3300</v>
      </c>
      <c r="U101" s="2"/>
      <c r="V101" s="6">
        <f t="shared" si="66"/>
        <v>1.0905529037127709E-3</v>
      </c>
      <c r="W101" s="2"/>
      <c r="X101" s="7">
        <f t="shared" si="67"/>
        <v>57.579999999999927</v>
      </c>
      <c r="Y101" s="2"/>
      <c r="Z101" s="6">
        <f t="shared" si="68"/>
        <v>1.7448484848484828E-2</v>
      </c>
    </row>
    <row r="102" spans="1:26" s="24" customFormat="1" hidden="1" outlineLevel="2" x14ac:dyDescent="0.25">
      <c r="A102" s="25"/>
      <c r="B102" s="11" t="str">
        <f>CONCATENATE("          ", "6275", " - ", "SUBSCRIPTIONS")</f>
        <v xml:space="preserve">          6275 - SUBSCRIPTIONS</v>
      </c>
      <c r="C102" s="11"/>
      <c r="D102" s="7"/>
      <c r="E102" s="2"/>
      <c r="F102" s="6">
        <f t="shared" si="61"/>
        <v>0</v>
      </c>
      <c r="G102" s="2"/>
      <c r="H102" s="7"/>
      <c r="I102" s="2"/>
      <c r="J102" s="6">
        <f t="shared" si="62"/>
        <v>0</v>
      </c>
      <c r="K102" s="2"/>
      <c r="L102" s="7">
        <f t="shared" si="63"/>
        <v>0</v>
      </c>
      <c r="M102" s="2"/>
      <c r="N102" s="6">
        <f t="shared" si="64"/>
        <v>0</v>
      </c>
      <c r="O102" s="11"/>
      <c r="P102" s="7">
        <v>1852.08</v>
      </c>
      <c r="Q102" s="2"/>
      <c r="R102" s="6">
        <f t="shared" si="65"/>
        <v>9.4198543010860032E-4</v>
      </c>
      <c r="S102" s="2"/>
      <c r="T102" s="7">
        <v>1800</v>
      </c>
      <c r="U102" s="2"/>
      <c r="V102" s="6">
        <f t="shared" si="66"/>
        <v>5.9484703838878414E-4</v>
      </c>
      <c r="W102" s="2"/>
      <c r="X102" s="7">
        <f t="shared" si="67"/>
        <v>52.079999999999927</v>
      </c>
      <c r="Y102" s="2"/>
      <c r="Z102" s="6">
        <f t="shared" si="68"/>
        <v>2.8933333333333294E-2</v>
      </c>
    </row>
    <row r="103" spans="1:26" s="27" customFormat="1" outlineLevel="1" collapsed="1" x14ac:dyDescent="0.25">
      <c r="A103" s="26"/>
      <c r="B103" s="13" t="str">
        <f>CONCATENATE("     ","Supplies                                          ")</f>
        <v xml:space="preserve">     Supplies                                          </v>
      </c>
      <c r="C103" s="13"/>
      <c r="D103" s="1">
        <f>SUM(OSRRefD22_11x_0)</f>
        <v>-7.0600000000000023</v>
      </c>
      <c r="E103" s="1"/>
      <c r="F103" s="5">
        <f t="shared" ref="F103:F106" si="69">IF(D$12=0,0,D103/D$12)</f>
        <v>-1.3685260334939971E-4</v>
      </c>
      <c r="G103" s="1"/>
      <c r="H103" s="1">
        <f>SUM(OSRRefH22_11x_0)</f>
        <v>1200</v>
      </c>
      <c r="I103" s="1"/>
      <c r="J103" s="5">
        <f t="shared" ref="J103:J106" si="70">IF(H$12=0,0,H103/H$12)</f>
        <v>2.4406117800195248E-2</v>
      </c>
      <c r="K103" s="1"/>
      <c r="L103" s="1">
        <f t="shared" ref="L103:L106" si="71">+D103-H103</f>
        <v>-1207.06</v>
      </c>
      <c r="M103" s="1"/>
      <c r="N103" s="5">
        <f t="shared" ref="N103:N106" si="72">IF(H103=0,0,L103/H103)</f>
        <v>-1.0058833333333332</v>
      </c>
      <c r="O103" s="13"/>
      <c r="P103" s="1">
        <f>SUM(OSRRefP22_11x_0)</f>
        <v>5366.37</v>
      </c>
      <c r="Q103" s="1"/>
      <c r="R103" s="5">
        <f t="shared" ref="R103:R106" si="73">IF(P$12=0,0,P103/P$12)</f>
        <v>2.7293866099584738E-3</v>
      </c>
      <c r="S103" s="1"/>
      <c r="T103" s="1">
        <f>SUM(OSRRefT22_11x_0)</f>
        <v>13300</v>
      </c>
      <c r="U103" s="1"/>
      <c r="V103" s="5">
        <f t="shared" ref="V103:V106" si="74">IF(T$12=0,0,T103/T$12)</f>
        <v>4.3952586725393488E-3</v>
      </c>
      <c r="W103" s="1"/>
      <c r="X103" s="1">
        <f t="shared" ref="X103:X106" si="75">+P103-T103</f>
        <v>-7933.63</v>
      </c>
      <c r="Y103" s="1"/>
      <c r="Z103" s="5">
        <f t="shared" ref="Z103:Z106" si="76">IF(T103=0,0,X103/T103)</f>
        <v>-0.5965135338345865</v>
      </c>
    </row>
    <row r="104" spans="1:26" s="24" customFormat="1" hidden="1" outlineLevel="2" x14ac:dyDescent="0.25">
      <c r="A104" s="25"/>
      <c r="B104" s="11" t="str">
        <f>CONCATENATE("          ", "6241", " - ", "OFFICE EXPENSE")</f>
        <v xml:space="preserve">          6241 - OFFICE EXPENSE</v>
      </c>
      <c r="C104" s="11"/>
      <c r="D104" s="7">
        <v>58.08</v>
      </c>
      <c r="E104" s="2"/>
      <c r="F104" s="6">
        <f t="shared" si="69"/>
        <v>1.1258355810953445E-3</v>
      </c>
      <c r="G104" s="2"/>
      <c r="H104" s="7">
        <v>300</v>
      </c>
      <c r="I104" s="2"/>
      <c r="J104" s="6">
        <f t="shared" si="70"/>
        <v>6.1015294500488121E-3</v>
      </c>
      <c r="K104" s="2"/>
      <c r="L104" s="7">
        <f t="shared" si="71"/>
        <v>-241.92000000000002</v>
      </c>
      <c r="M104" s="2"/>
      <c r="N104" s="6">
        <f t="shared" si="72"/>
        <v>-0.80640000000000001</v>
      </c>
      <c r="O104" s="11"/>
      <c r="P104" s="7">
        <v>1624.75</v>
      </c>
      <c r="Q104" s="2"/>
      <c r="R104" s="6">
        <f t="shared" si="73"/>
        <v>8.2636323893619525E-4</v>
      </c>
      <c r="S104" s="2"/>
      <c r="T104" s="7">
        <v>4500</v>
      </c>
      <c r="U104" s="2"/>
      <c r="V104" s="6">
        <f t="shared" si="74"/>
        <v>1.4871175959719602E-3</v>
      </c>
      <c r="W104" s="2"/>
      <c r="X104" s="7">
        <f t="shared" si="75"/>
        <v>-2875.25</v>
      </c>
      <c r="Y104" s="2"/>
      <c r="Z104" s="6">
        <f t="shared" si="76"/>
        <v>-0.63894444444444443</v>
      </c>
    </row>
    <row r="105" spans="1:26" s="24" customFormat="1" hidden="1" outlineLevel="2" x14ac:dyDescent="0.25">
      <c r="A105" s="25"/>
      <c r="B105" s="11" t="str">
        <f>CONCATENATE("          ", "6245", " - ", "PRINTING")</f>
        <v xml:space="preserve">          6245 - PRINTING</v>
      </c>
      <c r="C105" s="11"/>
      <c r="D105" s="7"/>
      <c r="E105" s="2"/>
      <c r="F105" s="6">
        <f t="shared" si="69"/>
        <v>0</v>
      </c>
      <c r="G105" s="2"/>
      <c r="H105" s="7">
        <v>500</v>
      </c>
      <c r="I105" s="2"/>
      <c r="J105" s="6">
        <f t="shared" si="70"/>
        <v>1.0169215750081353E-2</v>
      </c>
      <c r="K105" s="2"/>
      <c r="L105" s="7">
        <f t="shared" si="71"/>
        <v>-500</v>
      </c>
      <c r="M105" s="2"/>
      <c r="N105" s="6">
        <f t="shared" si="72"/>
        <v>-1</v>
      </c>
      <c r="O105" s="11"/>
      <c r="P105" s="7"/>
      <c r="Q105" s="2"/>
      <c r="R105" s="6">
        <f t="shared" si="73"/>
        <v>0</v>
      </c>
      <c r="S105" s="2"/>
      <c r="T105" s="7">
        <v>2500</v>
      </c>
      <c r="U105" s="2"/>
      <c r="V105" s="6">
        <f t="shared" si="74"/>
        <v>8.2617644220664454E-4</v>
      </c>
      <c r="W105" s="2"/>
      <c r="X105" s="7">
        <f t="shared" si="75"/>
        <v>-2500</v>
      </c>
      <c r="Y105" s="2"/>
      <c r="Z105" s="6">
        <f t="shared" si="76"/>
        <v>-1</v>
      </c>
    </row>
    <row r="106" spans="1:26" s="24" customFormat="1" hidden="1" outlineLevel="2" x14ac:dyDescent="0.25">
      <c r="A106" s="25"/>
      <c r="B106" s="11" t="str">
        <f>CONCATENATE("          ", "6247", " - ", "STORE SUPPLIES")</f>
        <v xml:space="preserve">          6247 - STORE SUPPLIES</v>
      </c>
      <c r="C106" s="11"/>
      <c r="D106" s="7">
        <v>-65.14</v>
      </c>
      <c r="E106" s="2"/>
      <c r="F106" s="6">
        <f t="shared" si="69"/>
        <v>-1.2626881844447443E-3</v>
      </c>
      <c r="G106" s="2"/>
      <c r="H106" s="7">
        <v>400</v>
      </c>
      <c r="I106" s="2"/>
      <c r="J106" s="6">
        <f t="shared" si="70"/>
        <v>8.1353726000650828E-3</v>
      </c>
      <c r="K106" s="2"/>
      <c r="L106" s="7">
        <f t="shared" si="71"/>
        <v>-465.14</v>
      </c>
      <c r="M106" s="2"/>
      <c r="N106" s="6">
        <f t="shared" si="72"/>
        <v>-1.1628499999999999</v>
      </c>
      <c r="O106" s="11"/>
      <c r="P106" s="7">
        <v>3741.62</v>
      </c>
      <c r="Q106" s="2"/>
      <c r="R106" s="6">
        <f t="shared" si="73"/>
        <v>1.9030233710222784E-3</v>
      </c>
      <c r="S106" s="2"/>
      <c r="T106" s="7">
        <v>6300</v>
      </c>
      <c r="U106" s="2"/>
      <c r="V106" s="6">
        <f t="shared" si="74"/>
        <v>2.0819646343607444E-3</v>
      </c>
      <c r="W106" s="2"/>
      <c r="X106" s="7">
        <f t="shared" si="75"/>
        <v>-2558.38</v>
      </c>
      <c r="Y106" s="2"/>
      <c r="Z106" s="6">
        <f t="shared" si="76"/>
        <v>-0.4060920634920635</v>
      </c>
    </row>
    <row r="107" spans="1:26" s="27" customFormat="1" outlineLevel="1" collapsed="1" x14ac:dyDescent="0.25">
      <c r="A107" s="26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SUM(OSRRefD22_12x_0)</f>
        <v>563.79999999999995</v>
      </c>
      <c r="E107" s="1"/>
      <c r="F107" s="5">
        <f t="shared" ref="F107:F109" si="77">IF(D$12=0,0,D107/D$12)</f>
        <v>1.0928824046514381E-2</v>
      </c>
      <c r="G107" s="1"/>
      <c r="H107" s="1">
        <f>SUM(OSRRefH22_12x_0)</f>
        <v>600</v>
      </c>
      <c r="I107" s="1"/>
      <c r="J107" s="5">
        <f t="shared" ref="J107:J109" si="78">IF(H$12=0,0,H107/H$12)</f>
        <v>1.2203058900097624E-2</v>
      </c>
      <c r="K107" s="1"/>
      <c r="L107" s="1">
        <f t="shared" ref="L107:L109" si="79">+D107-H107</f>
        <v>-36.200000000000045</v>
      </c>
      <c r="M107" s="1"/>
      <c r="N107" s="5">
        <f t="shared" ref="N107:N109" si="80">IF(H107=0,0,L107/H107)</f>
        <v>-6.0333333333333412E-2</v>
      </c>
      <c r="O107" s="13"/>
      <c r="P107" s="1">
        <f>SUM(OSRRefP22_12x_0)</f>
        <v>8749.7000000000007</v>
      </c>
      <c r="Q107" s="1"/>
      <c r="R107" s="5">
        <f t="shared" ref="R107:R109" si="81">IF(P$12=0,0,P107/P$12)</f>
        <v>4.4501802934113115E-3</v>
      </c>
      <c r="S107" s="1"/>
      <c r="T107" s="1">
        <f>SUM(OSRRefT22_12x_0)</f>
        <v>8900</v>
      </c>
      <c r="U107" s="1"/>
      <c r="V107" s="5">
        <f t="shared" ref="V107:V109" si="82">IF(T$12=0,0,T107/T$12)</f>
        <v>2.9411881342556547E-3</v>
      </c>
      <c r="W107" s="1"/>
      <c r="X107" s="1">
        <f t="shared" ref="X107:X109" si="83">+P107-T107</f>
        <v>-150.29999999999927</v>
      </c>
      <c r="Y107" s="1"/>
      <c r="Z107" s="5">
        <f t="shared" ref="Z107:Z109" si="84">IF(T107=0,0,X107/T107)</f>
        <v>-1.6887640449438121E-2</v>
      </c>
    </row>
    <row r="108" spans="1:26" s="24" customFormat="1" hidden="1" outlineLevel="2" x14ac:dyDescent="0.25">
      <c r="A108" s="25"/>
      <c r="B108" s="11" t="str">
        <f>CONCATENATE("          ", "6303", " - ", "DATA PHONE LINES")</f>
        <v xml:space="preserve">          6303 - DATA PHONE LINES</v>
      </c>
      <c r="C108" s="11"/>
      <c r="D108" s="7"/>
      <c r="E108" s="2"/>
      <c r="F108" s="6">
        <f t="shared" si="77"/>
        <v>0</v>
      </c>
      <c r="G108" s="2"/>
      <c r="H108" s="7">
        <v>300</v>
      </c>
      <c r="I108" s="2"/>
      <c r="J108" s="6">
        <f t="shared" si="78"/>
        <v>6.1015294500488121E-3</v>
      </c>
      <c r="K108" s="2"/>
      <c r="L108" s="7">
        <f t="shared" si="79"/>
        <v>-300</v>
      </c>
      <c r="M108" s="2"/>
      <c r="N108" s="6">
        <f t="shared" si="80"/>
        <v>-1</v>
      </c>
      <c r="O108" s="11"/>
      <c r="P108" s="7">
        <v>3540</v>
      </c>
      <c r="Q108" s="2"/>
      <c r="R108" s="6">
        <f t="shared" si="81"/>
        <v>1.800477529363983E-3</v>
      </c>
      <c r="S108" s="2"/>
      <c r="T108" s="7">
        <v>3300</v>
      </c>
      <c r="U108" s="2"/>
      <c r="V108" s="6">
        <f t="shared" si="82"/>
        <v>1.0905529037127709E-3</v>
      </c>
      <c r="W108" s="2"/>
      <c r="X108" s="7">
        <f t="shared" si="83"/>
        <v>240</v>
      </c>
      <c r="Y108" s="2"/>
      <c r="Z108" s="6">
        <f t="shared" si="84"/>
        <v>7.2727272727272724E-2</v>
      </c>
    </row>
    <row r="109" spans="1:26" s="24" customFormat="1" hidden="1" outlineLevel="2" x14ac:dyDescent="0.25">
      <c r="A109" s="25"/>
      <c r="B109" s="11" t="str">
        <f>CONCATENATE("          ", "6309", " - ", "TELEPHONE")</f>
        <v xml:space="preserve">          6309 - TELEPHONE</v>
      </c>
      <c r="C109" s="11"/>
      <c r="D109" s="7">
        <v>563.79999999999995</v>
      </c>
      <c r="E109" s="2"/>
      <c r="F109" s="6">
        <f t="shared" si="77"/>
        <v>1.0928824046514381E-2</v>
      </c>
      <c r="G109" s="2"/>
      <c r="H109" s="7">
        <v>300</v>
      </c>
      <c r="I109" s="2"/>
      <c r="J109" s="6">
        <f t="shared" si="78"/>
        <v>6.1015294500488121E-3</v>
      </c>
      <c r="K109" s="2"/>
      <c r="L109" s="7">
        <f t="shared" si="79"/>
        <v>263.79999999999995</v>
      </c>
      <c r="M109" s="2"/>
      <c r="N109" s="6">
        <f t="shared" si="80"/>
        <v>0.87933333333333319</v>
      </c>
      <c r="O109" s="11"/>
      <c r="P109" s="7">
        <v>5209.7</v>
      </c>
      <c r="Q109" s="2"/>
      <c r="R109" s="6">
        <f t="shared" si="81"/>
        <v>2.6497027640473279E-3</v>
      </c>
      <c r="S109" s="2"/>
      <c r="T109" s="7">
        <v>5600</v>
      </c>
      <c r="U109" s="2"/>
      <c r="V109" s="6">
        <f t="shared" si="82"/>
        <v>1.8506352305428838E-3</v>
      </c>
      <c r="W109" s="2"/>
      <c r="X109" s="7">
        <f t="shared" si="83"/>
        <v>-390.30000000000018</v>
      </c>
      <c r="Y109" s="2"/>
      <c r="Z109" s="6">
        <f t="shared" si="84"/>
        <v>-6.9696428571428604E-2</v>
      </c>
    </row>
    <row r="110" spans="1:26" s="27" customFormat="1" outlineLevel="1" collapsed="1" x14ac:dyDescent="0.25">
      <c r="A110" s="26"/>
      <c r="B110" s="13" t="str">
        <f>CONCATENATE("     ","Training                                          ")</f>
        <v xml:space="preserve">     Training                                          </v>
      </c>
      <c r="C110" s="13"/>
      <c r="D110" s="1">
        <f>SUM(OSRRefD22_13x_0)</f>
        <v>0</v>
      </c>
      <c r="E110" s="1"/>
      <c r="F110" s="5">
        <f t="shared" ref="F110:F113" si="85">IF(D$12=0,0,D110/D$12)</f>
        <v>0</v>
      </c>
      <c r="G110" s="1"/>
      <c r="H110" s="1">
        <f>SUM(OSRRefH22_13x_0)</f>
        <v>0</v>
      </c>
      <c r="I110" s="1"/>
      <c r="J110" s="5">
        <f t="shared" ref="J110:J113" si="86">IF(H$12=0,0,H110/H$12)</f>
        <v>0</v>
      </c>
      <c r="K110" s="1"/>
      <c r="L110" s="1">
        <f t="shared" ref="L110:L113" si="87">+D110-H110</f>
        <v>0</v>
      </c>
      <c r="M110" s="1"/>
      <c r="N110" s="5">
        <f t="shared" ref="N110:N113" si="88">IF(H110=0,0,L110/H110)</f>
        <v>0</v>
      </c>
      <c r="O110" s="13"/>
      <c r="P110" s="1">
        <f>SUM(OSRRefP22_13x_0)</f>
        <v>0</v>
      </c>
      <c r="Q110" s="1"/>
      <c r="R110" s="5">
        <f t="shared" ref="R110:R113" si="89">IF(P$12=0,0,P110/P$12)</f>
        <v>0</v>
      </c>
      <c r="S110" s="1"/>
      <c r="T110" s="1">
        <f>SUM(OSRRefT22_13x_0)</f>
        <v>5000</v>
      </c>
      <c r="U110" s="1"/>
      <c r="V110" s="5">
        <f t="shared" ref="V110:V113" si="90">IF(T$12=0,0,T110/T$12)</f>
        <v>1.6523528844132891E-3</v>
      </c>
      <c r="W110" s="1"/>
      <c r="X110" s="1">
        <f t="shared" ref="X110:X113" si="91">+P110-T110</f>
        <v>-5000</v>
      </c>
      <c r="Y110" s="1"/>
      <c r="Z110" s="5">
        <f t="shared" ref="Z110:Z113" si="92">IF(T110=0,0,X110/T110)</f>
        <v>-1</v>
      </c>
    </row>
    <row r="111" spans="1:26" s="24" customFormat="1" hidden="1" outlineLevel="2" x14ac:dyDescent="0.25">
      <c r="A111" s="25"/>
      <c r="B111" s="11" t="str">
        <f>CONCATENATE("          ", "6376", " - ", "TRAINING")</f>
        <v xml:space="preserve">          6376 - TRAINING</v>
      </c>
      <c r="C111" s="11"/>
      <c r="D111" s="7"/>
      <c r="E111" s="2"/>
      <c r="F111" s="6">
        <f t="shared" si="85"/>
        <v>0</v>
      </c>
      <c r="G111" s="2"/>
      <c r="H111" s="7"/>
      <c r="I111" s="2"/>
      <c r="J111" s="6">
        <f t="shared" si="86"/>
        <v>0</v>
      </c>
      <c r="K111" s="2"/>
      <c r="L111" s="7">
        <f t="shared" si="87"/>
        <v>0</v>
      </c>
      <c r="M111" s="2"/>
      <c r="N111" s="6">
        <f t="shared" si="88"/>
        <v>0</v>
      </c>
      <c r="O111" s="11"/>
      <c r="P111" s="7"/>
      <c r="Q111" s="2"/>
      <c r="R111" s="6">
        <f t="shared" si="89"/>
        <v>0</v>
      </c>
      <c r="S111" s="2"/>
      <c r="T111" s="7">
        <v>5000</v>
      </c>
      <c r="U111" s="2"/>
      <c r="V111" s="6">
        <f t="shared" si="90"/>
        <v>1.6523528844132891E-3</v>
      </c>
      <c r="W111" s="2"/>
      <c r="X111" s="7">
        <f t="shared" si="91"/>
        <v>-5000</v>
      </c>
      <c r="Y111" s="2"/>
      <c r="Z111" s="6">
        <f t="shared" si="92"/>
        <v>-1</v>
      </c>
    </row>
    <row r="112" spans="1:26" s="27" customFormat="1" outlineLevel="1" collapsed="1" x14ac:dyDescent="0.25">
      <c r="A112" s="26"/>
      <c r="B112" s="13" t="str">
        <f>CONCATENATE("     ","Travel                                            ")</f>
        <v xml:space="preserve">     Travel                                            </v>
      </c>
      <c r="C112" s="13"/>
      <c r="D112" s="1">
        <f>SUM(OSRRefD22_14x_0)</f>
        <v>0</v>
      </c>
      <c r="E112" s="1"/>
      <c r="F112" s="5">
        <f t="shared" si="85"/>
        <v>0</v>
      </c>
      <c r="G112" s="1"/>
      <c r="H112" s="1">
        <f>SUM(OSRRefH22_14x_0)</f>
        <v>0</v>
      </c>
      <c r="I112" s="1"/>
      <c r="J112" s="5">
        <f t="shared" si="86"/>
        <v>0</v>
      </c>
      <c r="K112" s="1"/>
      <c r="L112" s="1">
        <f t="shared" si="87"/>
        <v>0</v>
      </c>
      <c r="M112" s="1"/>
      <c r="N112" s="5">
        <f t="shared" si="88"/>
        <v>0</v>
      </c>
      <c r="O112" s="13"/>
      <c r="P112" s="1">
        <f>SUM(OSRRefP22_14x_0)</f>
        <v>0.16</v>
      </c>
      <c r="Q112" s="1"/>
      <c r="R112" s="5">
        <f t="shared" si="89"/>
        <v>8.1377515451479457E-8</v>
      </c>
      <c r="S112" s="1"/>
      <c r="T112" s="1">
        <f>SUM(OSRRefT22_14x_0)</f>
        <v>0</v>
      </c>
      <c r="U112" s="1"/>
      <c r="V112" s="5">
        <f t="shared" si="90"/>
        <v>0</v>
      </c>
      <c r="W112" s="1"/>
      <c r="X112" s="1">
        <f t="shared" si="91"/>
        <v>0.16</v>
      </c>
      <c r="Y112" s="1"/>
      <c r="Z112" s="5">
        <f t="shared" si="92"/>
        <v>0</v>
      </c>
    </row>
    <row r="113" spans="1:26" s="24" customFormat="1" hidden="1" outlineLevel="2" x14ac:dyDescent="0.25">
      <c r="A113" s="25"/>
      <c r="B113" s="11" t="str">
        <f>CONCATENATE("          ", "6292", " - ", "TRAVEL/CONFERENCE")</f>
        <v xml:space="preserve">          6292 - TRAVEL/CONFERENCE</v>
      </c>
      <c r="C113" s="11"/>
      <c r="D113" s="7"/>
      <c r="E113" s="2"/>
      <c r="F113" s="6">
        <f t="shared" si="85"/>
        <v>0</v>
      </c>
      <c r="G113" s="2"/>
      <c r="H113" s="7"/>
      <c r="I113" s="2"/>
      <c r="J113" s="6">
        <f t="shared" si="86"/>
        <v>0</v>
      </c>
      <c r="K113" s="2"/>
      <c r="L113" s="7">
        <f t="shared" si="87"/>
        <v>0</v>
      </c>
      <c r="M113" s="2"/>
      <c r="N113" s="6">
        <f t="shared" si="88"/>
        <v>0</v>
      </c>
      <c r="O113" s="11"/>
      <c r="P113" s="7">
        <v>0.16</v>
      </c>
      <c r="Q113" s="2"/>
      <c r="R113" s="6">
        <f t="shared" si="89"/>
        <v>8.1377515451479457E-8</v>
      </c>
      <c r="S113" s="2"/>
      <c r="T113" s="7"/>
      <c r="U113" s="2"/>
      <c r="V113" s="6">
        <f t="shared" si="90"/>
        <v>0</v>
      </c>
      <c r="W113" s="2"/>
      <c r="X113" s="7">
        <f t="shared" si="91"/>
        <v>0.16</v>
      </c>
      <c r="Y113" s="2"/>
      <c r="Z113" s="6">
        <f t="shared" si="92"/>
        <v>0</v>
      </c>
    </row>
    <row r="114" spans="1:26" s="56" customFormat="1" x14ac:dyDescent="0.25">
      <c r="A114" s="36"/>
      <c r="B114" s="36"/>
      <c r="C114" s="36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6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collapsed="1" x14ac:dyDescent="0.25">
      <c r="A115" s="10"/>
      <c r="B115" s="29" t="s">
        <v>293</v>
      </c>
      <c r="C115" s="10"/>
      <c r="D115" s="4">
        <f>SUM(OSRRefD25x_0)</f>
        <v>3009.01</v>
      </c>
      <c r="E115" s="4"/>
      <c r="F115" s="12">
        <f t="shared" ref="F115:F118" si="93">IF(D$12=0,0,D115/D$12)</f>
        <v>5.8327316147928771E-2</v>
      </c>
      <c r="G115" s="4"/>
      <c r="H115" s="4">
        <f>SUM(OSRRefH25x_0)</f>
        <v>6000</v>
      </c>
      <c r="I115" s="4"/>
      <c r="J115" s="12">
        <f t="shared" ref="J115:J118" si="94">IF(H$12=0,0,H115/H$12)</f>
        <v>0.12203058900097624</v>
      </c>
      <c r="K115" s="4"/>
      <c r="L115" s="4">
        <f t="shared" ref="L115:L118" si="95">+D115-H115</f>
        <v>-2990.99</v>
      </c>
      <c r="M115" s="4"/>
      <c r="N115" s="12">
        <f t="shared" ref="N115:N118" si="96">IF(H115=0,0,L115/H115)</f>
        <v>-0.49849833333333332</v>
      </c>
      <c r="O115" s="10"/>
      <c r="P115" s="4">
        <f>SUM(OSRRefP25x_0)</f>
        <v>334317.08</v>
      </c>
      <c r="Q115" s="4"/>
      <c r="R115" s="12">
        <f t="shared" ref="R115:R118" si="97">IF(P$12=0,0,P115/P$12)</f>
        <v>0.17003683339620934</v>
      </c>
      <c r="S115" s="4"/>
      <c r="T115" s="4">
        <f>SUM(OSRRefT25x_0)</f>
        <v>203080</v>
      </c>
      <c r="U115" s="4"/>
      <c r="V115" s="12">
        <f t="shared" ref="V115:V118" si="98">IF(T$12=0,0,T115/T$12)</f>
        <v>6.7111964753330158E-2</v>
      </c>
      <c r="W115" s="4"/>
      <c r="X115" s="4">
        <f t="shared" ref="X115:X118" si="99">+P115-T115</f>
        <v>131237.08000000002</v>
      </c>
      <c r="Y115" s="4"/>
      <c r="Z115" s="12">
        <f t="shared" ref="Z115:Z118" si="100">IF(T115=0,0,X115/T115)</f>
        <v>0.6462334055544614</v>
      </c>
    </row>
    <row r="116" spans="1:26" s="24" customFormat="1" hidden="1" outlineLevel="1" x14ac:dyDescent="0.25">
      <c r="A116" s="44"/>
      <c r="B116" s="11" t="str">
        <f>CONCATENATE("          ", "9150", " - ", "MISC. INCOME")</f>
        <v xml:space="preserve">          9150 - MISC. INCOME</v>
      </c>
      <c r="C116" s="11"/>
      <c r="D116" s="2">
        <f>--1572.94</f>
        <v>1572.94</v>
      </c>
      <c r="E116" s="2"/>
      <c r="F116" s="19">
        <f t="shared" si="93"/>
        <v>3.0490217268045995E-2</v>
      </c>
      <c r="G116" s="2"/>
      <c r="H116" s="2">
        <v>6000</v>
      </c>
      <c r="I116" s="2"/>
      <c r="J116" s="19">
        <f t="shared" si="94"/>
        <v>0.12203058900097624</v>
      </c>
      <c r="K116" s="2"/>
      <c r="L116" s="2">
        <f t="shared" si="95"/>
        <v>-4427.0599999999995</v>
      </c>
      <c r="M116" s="2"/>
      <c r="N116" s="19">
        <f t="shared" si="96"/>
        <v>-0.7378433333333333</v>
      </c>
      <c r="O116" s="11"/>
      <c r="P116" s="2">
        <f>--33036.05</f>
        <v>33036.050000000003</v>
      </c>
      <c r="Q116" s="2"/>
      <c r="R116" s="19">
        <f t="shared" si="97"/>
        <v>1.68024479333178E-2</v>
      </c>
      <c r="S116" s="2"/>
      <c r="T116" s="2">
        <v>32000</v>
      </c>
      <c r="U116" s="2"/>
      <c r="V116" s="19">
        <f t="shared" si="98"/>
        <v>1.057505846024505E-2</v>
      </c>
      <c r="W116" s="2"/>
      <c r="X116" s="2">
        <f t="shared" si="99"/>
        <v>1036.0500000000029</v>
      </c>
      <c r="Y116" s="2"/>
      <c r="Z116" s="19">
        <f t="shared" si="100"/>
        <v>3.2376562500000088E-2</v>
      </c>
    </row>
    <row r="117" spans="1:26" s="24" customFormat="1" hidden="1" outlineLevel="1" x14ac:dyDescent="0.25">
      <c r="A117" s="44"/>
      <c r="B117" s="11" t="str">
        <f>CONCATENATE("          ", "9151", " - ", "MISC. INCOME")</f>
        <v xml:space="preserve">          9151 - MISC. INCOME</v>
      </c>
      <c r="C117" s="11"/>
      <c r="D117" s="2">
        <f>0</f>
        <v>0</v>
      </c>
      <c r="E117" s="2"/>
      <c r="F117" s="19">
        <f t="shared" si="93"/>
        <v>0</v>
      </c>
      <c r="G117" s="2"/>
      <c r="H117" s="2"/>
      <c r="I117" s="2"/>
      <c r="J117" s="19">
        <f t="shared" si="94"/>
        <v>0</v>
      </c>
      <c r="K117" s="2"/>
      <c r="L117" s="2">
        <f t="shared" si="95"/>
        <v>0</v>
      </c>
      <c r="M117" s="2"/>
      <c r="N117" s="19">
        <f t="shared" si="96"/>
        <v>0</v>
      </c>
      <c r="O117" s="11"/>
      <c r="P117" s="2">
        <f>--295628.46</f>
        <v>295628.46000000002</v>
      </c>
      <c r="Q117" s="2"/>
      <c r="R117" s="19">
        <f t="shared" si="97"/>
        <v>0.15035943482216924</v>
      </c>
      <c r="S117" s="2"/>
      <c r="T117" s="2">
        <v>171080</v>
      </c>
      <c r="U117" s="2"/>
      <c r="V117" s="19">
        <f t="shared" si="98"/>
        <v>5.6536906293085103E-2</v>
      </c>
      <c r="W117" s="2"/>
      <c r="X117" s="2">
        <f t="shared" si="99"/>
        <v>124548.46000000002</v>
      </c>
      <c r="Y117" s="2"/>
      <c r="Z117" s="19">
        <f t="shared" si="100"/>
        <v>0.72801297638531692</v>
      </c>
    </row>
    <row r="118" spans="1:26" s="24" customFormat="1" hidden="1" outlineLevel="1" x14ac:dyDescent="0.25">
      <c r="A118" s="44"/>
      <c r="B118" s="11" t="str">
        <f>CONCATENATE("          ", "9152", " - ", "MISC. INCOME")</f>
        <v xml:space="preserve">          9152 - MISC. INCOME</v>
      </c>
      <c r="C118" s="11"/>
      <c r="D118" s="2">
        <f>--1436.07</f>
        <v>1436.07</v>
      </c>
      <c r="E118" s="2"/>
      <c r="F118" s="19">
        <f t="shared" si="93"/>
        <v>2.7837098879882772E-2</v>
      </c>
      <c r="G118" s="2"/>
      <c r="H118" s="2"/>
      <c r="I118" s="2"/>
      <c r="J118" s="19">
        <f t="shared" si="94"/>
        <v>0</v>
      </c>
      <c r="K118" s="2"/>
      <c r="L118" s="2">
        <f t="shared" si="95"/>
        <v>1436.07</v>
      </c>
      <c r="M118" s="2"/>
      <c r="N118" s="19">
        <f t="shared" si="96"/>
        <v>0</v>
      </c>
      <c r="O118" s="11"/>
      <c r="P118" s="2">
        <f>--5652.57</f>
        <v>5652.57</v>
      </c>
      <c r="Q118" s="2"/>
      <c r="R118" s="19">
        <f t="shared" si="97"/>
        <v>2.8749506407223075E-3</v>
      </c>
      <c r="S118" s="2"/>
      <c r="T118" s="2"/>
      <c r="U118" s="2"/>
      <c r="V118" s="19">
        <f t="shared" si="98"/>
        <v>0</v>
      </c>
      <c r="W118" s="2"/>
      <c r="X118" s="2">
        <f t="shared" si="99"/>
        <v>5652.57</v>
      </c>
      <c r="Y118" s="2"/>
      <c r="Z118" s="19">
        <f t="shared" si="100"/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8" t="s">
        <v>277</v>
      </c>
      <c r="C120" s="28"/>
      <c r="D120" s="20">
        <f>+D54-D56+D115</f>
        <v>-36551.840000000026</v>
      </c>
      <c r="E120" s="14"/>
      <c r="F120" s="21">
        <f>IF(D$12=0,0,D120/D$12)</f>
        <v>-0.70852896051143399</v>
      </c>
      <c r="G120" s="14"/>
      <c r="H120" s="20">
        <f>+H54-H56+H115</f>
        <v>-38055.812610111527</v>
      </c>
      <c r="I120" s="14"/>
      <c r="J120" s="21">
        <f>IF(H$12=0,0,H120/H$12)</f>
        <v>-0.77399553795378151</v>
      </c>
      <c r="K120" s="15"/>
      <c r="L120" s="20">
        <f>+D120-H120</f>
        <v>1503.9726101115011</v>
      </c>
      <c r="M120" s="15"/>
      <c r="N120" s="21">
        <f>IF(H120=0,0,L120/H120)</f>
        <v>-3.9520181201225794E-2</v>
      </c>
      <c r="O120" s="29"/>
      <c r="P120" s="20">
        <f>+P54-P56+P115</f>
        <v>386146.60000000021</v>
      </c>
      <c r="Q120" s="14"/>
      <c r="R120" s="21">
        <f>IF(P$12=0,0,P120/P$12)</f>
        <v>0.1963978181752267</v>
      </c>
      <c r="S120" s="14"/>
      <c r="T120" s="20">
        <f>+T54-T56+T115</f>
        <v>413061.93136191124</v>
      </c>
      <c r="U120" s="14"/>
      <c r="V120" s="21">
        <f>IF(T$12=0,0,T120/T$12)</f>
        <v>0.13650481474543563</v>
      </c>
      <c r="W120" s="15"/>
      <c r="X120" s="20">
        <f>+P120-T120</f>
        <v>-26915.331361911027</v>
      </c>
      <c r="Y120" s="15"/>
      <c r="Z120" s="21">
        <f>IF(T120=0,0,X120/T120)</f>
        <v>-6.5160522716698144E-2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2"/>
      <c r="B122" s="10" t="s">
        <v>128</v>
      </c>
      <c r="C122" s="10"/>
      <c r="D122" s="4">
        <v>19613.53</v>
      </c>
      <c r="E122" s="4"/>
      <c r="F122" s="12">
        <f>IF(D$12=0,0,D122/D$12)</f>
        <v>0.38019300869285422</v>
      </c>
      <c r="G122" s="4"/>
      <c r="H122" s="4">
        <v>19402</v>
      </c>
      <c r="I122" s="4"/>
      <c r="J122" s="12">
        <f>IF(H$12=0,0,H122/H$12)</f>
        <v>0.39460624796615684</v>
      </c>
      <c r="K122" s="4"/>
      <c r="L122" s="4">
        <f>+D122-H122</f>
        <v>211.52999999999884</v>
      </c>
      <c r="M122" s="4"/>
      <c r="N122" s="12">
        <f>IF(H122=0,0,L122/H122)</f>
        <v>1.0902484279971076E-2</v>
      </c>
      <c r="O122" s="10"/>
      <c r="P122" s="4">
        <v>420146.56</v>
      </c>
      <c r="Q122" s="4"/>
      <c r="R122" s="12">
        <f>IF(P$12=0,0,P122/P$12)</f>
        <v>0.21369051986428711</v>
      </c>
      <c r="S122" s="4"/>
      <c r="T122" s="4">
        <v>558645</v>
      </c>
      <c r="U122" s="4"/>
      <c r="V122" s="12">
        <f>IF(T$12=0,0,T122/T$12)</f>
        <v>0.18461573542261239</v>
      </c>
      <c r="W122" s="4"/>
      <c r="X122" s="4">
        <f>+P122-T122</f>
        <v>-138498.44</v>
      </c>
      <c r="Y122" s="4"/>
      <c r="Z122" s="12">
        <f>IF(T122=0,0,X122/T122)</f>
        <v>-0.24791851712626087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8" t="s">
        <v>126</v>
      </c>
      <c r="C124" s="28"/>
      <c r="D124" s="35">
        <f>+D120-D122</f>
        <v>-56165.370000000024</v>
      </c>
      <c r="E124" s="14"/>
      <c r="F124" s="34">
        <f>IF(D$12=0,0,D124/D$12)</f>
        <v>-1.0887219692042882</v>
      </c>
      <c r="G124" s="14"/>
      <c r="H124" s="35">
        <f>+H120-H122</f>
        <v>-57457.812610111527</v>
      </c>
      <c r="I124" s="14"/>
      <c r="J124" s="34">
        <f>IF(H$12=0,0,H124/H$12)</f>
        <v>-1.1686017859199382</v>
      </c>
      <c r="K124" s="15"/>
      <c r="L124" s="35">
        <f>D124-H124</f>
        <v>1292.4426101115023</v>
      </c>
      <c r="M124" s="15"/>
      <c r="N124" s="34">
        <f>IF(H124=0,0,L124/H124)</f>
        <v>-2.2493766320022701E-2</v>
      </c>
      <c r="O124" s="29"/>
      <c r="P124" s="35">
        <f>+P120-P122</f>
        <v>-33999.959999999788</v>
      </c>
      <c r="Q124" s="14"/>
      <c r="R124" s="34">
        <f>IF(P$12=0,0,P124/P$12)</f>
        <v>-1.7292701689060413E-2</v>
      </c>
      <c r="S124" s="14"/>
      <c r="T124" s="35">
        <f>+T120-T122</f>
        <v>-145583.06863808876</v>
      </c>
      <c r="U124" s="14"/>
      <c r="V124" s="34">
        <f>IF(T$12=0,0,T124/T$12)</f>
        <v>-4.8110920677176768E-2</v>
      </c>
      <c r="W124" s="15"/>
      <c r="X124" s="35">
        <f>P124-T124</f>
        <v>111583.10863808898</v>
      </c>
      <c r="Y124" s="15"/>
      <c r="Z124" s="34">
        <f>IF(T124=0,0,X124/T124)</f>
        <v>-0.76645663319185997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8" t="s">
        <v>294</v>
      </c>
      <c r="C127" s="28"/>
      <c r="D127" s="33">
        <f>SUM(D124:D126)</f>
        <v>-56165.370000000024</v>
      </c>
      <c r="E127" s="14"/>
      <c r="F127" s="32">
        <f>IF(D$12=0,0,D127/D$12)</f>
        <v>-1.0887219692042882</v>
      </c>
      <c r="G127" s="14"/>
      <c r="H127" s="33">
        <f>SUM(H124:H126)</f>
        <v>-57457.812610111527</v>
      </c>
      <c r="I127" s="14"/>
      <c r="J127" s="32">
        <f>IF(H$12=0,0,H127/H$12)</f>
        <v>-1.1686017859199382</v>
      </c>
      <c r="K127" s="15"/>
      <c r="L127" s="33">
        <f>+D127-H127</f>
        <v>1292.4426101115023</v>
      </c>
      <c r="M127" s="15"/>
      <c r="N127" s="32">
        <f>IF(H127=0,0,L127/H127)</f>
        <v>-2.2493766320022701E-2</v>
      </c>
      <c r="O127" s="29"/>
      <c r="P127" s="33">
        <f>SUM(P124:P126)</f>
        <v>-33999.959999999788</v>
      </c>
      <c r="Q127" s="14"/>
      <c r="R127" s="32">
        <f>IF(P$12=0,0,P127/P$12)</f>
        <v>-1.7292701689060413E-2</v>
      </c>
      <c r="S127" s="14"/>
      <c r="T127" s="33">
        <f>SUM(T124:T126)</f>
        <v>-145583.06863808876</v>
      </c>
      <c r="U127" s="14"/>
      <c r="V127" s="32">
        <f>IF(T$12=0,0,T127/T$12)</f>
        <v>-4.8110920677176768E-2</v>
      </c>
      <c r="W127" s="15"/>
      <c r="X127" s="33">
        <f>+P127-T127</f>
        <v>111583.10863808898</v>
      </c>
      <c r="Y127" s="15"/>
      <c r="Z127" s="32">
        <f>IF(T127=0,0,X127/T127)</f>
        <v>-0.76645663319185997</v>
      </c>
    </row>
    <row r="128" spans="1:26" ht="15.75" thickTop="1" x14ac:dyDescent="0.25">
      <c r="A128" s="9"/>
      <c r="C128" s="9"/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  <row r="129" spans="1:24" x14ac:dyDescent="0.25">
      <c r="A129" s="9"/>
      <c r="B129" s="60">
        <v>44356.891834571761</v>
      </c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A130" s="9"/>
      <c r="B130" s="55" t="s">
        <v>56</v>
      </c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4" x14ac:dyDescent="0.25">
      <c r="A131" s="9"/>
      <c r="B131" s="63"/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4" x14ac:dyDescent="0.25"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","324", " - ", "Textbook Rental")</f>
        <v>Department 324 - Textbook Rental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12105.54</v>
      </c>
      <c r="E12" s="4"/>
      <c r="F12" s="12"/>
      <c r="G12" s="4"/>
      <c r="H12" s="4">
        <f>SUM(OSRRefH13x_0)</f>
        <v>11250</v>
      </c>
      <c r="I12" s="4"/>
      <c r="J12" s="12"/>
      <c r="K12" s="4"/>
      <c r="L12" s="4">
        <f t="shared" ref="L12:L16" si="0">+D12-H12</f>
        <v>855.54000000000087</v>
      </c>
      <c r="M12" s="4"/>
      <c r="N12" s="12">
        <f t="shared" ref="N12:N16" si="1">IF(H12=0,0,L12/H12)</f>
        <v>7.6048000000000074E-2</v>
      </c>
      <c r="O12" s="10"/>
      <c r="P12" s="4">
        <f>SUM(OSRRefP13x_0)</f>
        <v>777185.35</v>
      </c>
      <c r="Q12" s="4"/>
      <c r="R12" s="12"/>
      <c r="S12" s="4"/>
      <c r="T12" s="4">
        <f>SUM(OSRRefT13x_0)</f>
        <v>1429284</v>
      </c>
      <c r="U12" s="4"/>
      <c r="V12" s="12"/>
      <c r="W12" s="4"/>
      <c r="X12" s="4">
        <f t="shared" ref="X12:X16" si="2">+P12-T12</f>
        <v>-652098.65</v>
      </c>
      <c r="Y12" s="4"/>
      <c r="Z12" s="12">
        <f t="shared" ref="Z12:Z16" si="3">IF(T12=0,0,X12/T12)</f>
        <v>-0.45624148174890367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11250</v>
      </c>
      <c r="I13" s="2"/>
      <c r="J13" s="19"/>
      <c r="K13" s="2"/>
      <c r="L13" s="2">
        <f t="shared" si="0"/>
        <v>-11250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1429284</v>
      </c>
      <c r="U13" s="2"/>
      <c r="V13" s="19"/>
      <c r="W13" s="2"/>
      <c r="X13" s="2">
        <f t="shared" si="2"/>
        <v>-1429284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--5841.29</f>
        <v>5841.29</v>
      </c>
      <c r="E14" s="2"/>
      <c r="F14" s="19"/>
      <c r="G14" s="2"/>
      <c r="H14" s="2"/>
      <c r="I14" s="2"/>
      <c r="J14" s="19"/>
      <c r="K14" s="2"/>
      <c r="L14" s="2">
        <f t="shared" si="0"/>
        <v>5841.29</v>
      </c>
      <c r="M14" s="2"/>
      <c r="N14" s="19">
        <f t="shared" si="1"/>
        <v>0</v>
      </c>
      <c r="O14" s="11"/>
      <c r="P14" s="2">
        <f>--269846.67</f>
        <v>269846.67</v>
      </c>
      <c r="Q14" s="2"/>
      <c r="R14" s="19"/>
      <c r="S14" s="2"/>
      <c r="T14" s="2"/>
      <c r="U14" s="2"/>
      <c r="V14" s="19"/>
      <c r="W14" s="2"/>
      <c r="X14" s="2">
        <f t="shared" si="2"/>
        <v>269846.67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--2718.04</f>
        <v>2718.04</v>
      </c>
      <c r="E15" s="2"/>
      <c r="F15" s="19"/>
      <c r="G15" s="2"/>
      <c r="H15" s="2"/>
      <c r="I15" s="2"/>
      <c r="J15" s="19"/>
      <c r="K15" s="2"/>
      <c r="L15" s="2">
        <f t="shared" si="0"/>
        <v>2718.04</v>
      </c>
      <c r="M15" s="2"/>
      <c r="N15" s="19">
        <f t="shared" si="1"/>
        <v>0</v>
      </c>
      <c r="O15" s="11"/>
      <c r="P15" s="2">
        <f>--229953.7</f>
        <v>229953.7</v>
      </c>
      <c r="Q15" s="2"/>
      <c r="R15" s="19"/>
      <c r="S15" s="2"/>
      <c r="T15" s="2"/>
      <c r="U15" s="2"/>
      <c r="V15" s="19"/>
      <c r="W15" s="2"/>
      <c r="X15" s="2">
        <f t="shared" si="2"/>
        <v>229953.7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--3546.21</f>
        <v>3546.21</v>
      </c>
      <c r="E16" s="2"/>
      <c r="F16" s="19"/>
      <c r="G16" s="2"/>
      <c r="H16" s="2"/>
      <c r="I16" s="2"/>
      <c r="J16" s="19"/>
      <c r="K16" s="2"/>
      <c r="L16" s="2">
        <f t="shared" si="0"/>
        <v>3546.21</v>
      </c>
      <c r="M16" s="2"/>
      <c r="N16" s="19">
        <f t="shared" si="1"/>
        <v>0</v>
      </c>
      <c r="O16" s="11"/>
      <c r="P16" s="2">
        <f>--277384.98</f>
        <v>277384.98</v>
      </c>
      <c r="Q16" s="2"/>
      <c r="R16" s="19"/>
      <c r="S16" s="2"/>
      <c r="T16" s="2"/>
      <c r="U16" s="2"/>
      <c r="V16" s="19"/>
      <c r="W16" s="2"/>
      <c r="X16" s="2">
        <f t="shared" si="2"/>
        <v>277384.98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257</v>
      </c>
      <c r="C18" s="10"/>
      <c r="D18" s="4">
        <f>SUM(OSRRefD16x_0)</f>
        <v>7358.5399999999991</v>
      </c>
      <c r="E18" s="4"/>
      <c r="F18" s="12">
        <f t="shared" ref="F18:F21" si="4">IF(D$12=0,0,D18/D$12)</f>
        <v>0.60786548968488796</v>
      </c>
      <c r="G18" s="4"/>
      <c r="H18" s="4">
        <f>SUM(OSRRefH16x_0)</f>
        <v>8156</v>
      </c>
      <c r="I18" s="4"/>
      <c r="J18" s="12">
        <f t="shared" ref="J18:J21" si="5">IF(H$12=0,0,H18/H$12)</f>
        <v>0.72497777777777783</v>
      </c>
      <c r="K18" s="4"/>
      <c r="L18" s="4">
        <f t="shared" ref="L18:L21" si="6">+D18-H18</f>
        <v>-797.46000000000095</v>
      </c>
      <c r="M18" s="4"/>
      <c r="N18" s="12">
        <f t="shared" ref="N18:N21" si="7">IF(H18=0,0,L18/H18)</f>
        <v>-9.7775870524767161E-2</v>
      </c>
      <c r="O18" s="10"/>
      <c r="P18" s="4">
        <f>SUM(OSRRefP16x_0)</f>
        <v>550555.76</v>
      </c>
      <c r="Q18" s="4"/>
      <c r="R18" s="12">
        <f t="shared" ref="R18:R21" si="8">IF(P$12=0,0,P18/P$12)</f>
        <v>0.70839698663903017</v>
      </c>
      <c r="S18" s="4"/>
      <c r="T18" s="4">
        <f>SUM(OSRRefT16x_0)</f>
        <v>1039076</v>
      </c>
      <c r="U18" s="4"/>
      <c r="V18" s="12">
        <f t="shared" ref="V18:V21" si="9">IF(T$12=0,0,T18/T$12)</f>
        <v>0.72699057710014248</v>
      </c>
      <c r="W18" s="4"/>
      <c r="X18" s="4">
        <f t="shared" ref="X18:X21" si="10">+P18-T18</f>
        <v>-488520.24</v>
      </c>
      <c r="Y18" s="4"/>
      <c r="Z18" s="12">
        <f t="shared" ref="Z18:Z21" si="11">IF(T18=0,0,X18/T18)</f>
        <v>-0.47014870904534412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8156</v>
      </c>
      <c r="I19" s="2"/>
      <c r="J19" s="19">
        <f t="shared" si="5"/>
        <v>0.72497777777777783</v>
      </c>
      <c r="K19" s="2"/>
      <c r="L19" s="2">
        <f t="shared" si="6"/>
        <v>-8156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1039076</v>
      </c>
      <c r="U19" s="2"/>
      <c r="V19" s="19">
        <f t="shared" si="9"/>
        <v>0.72699057710014248</v>
      </c>
      <c r="W19" s="2"/>
      <c r="X19" s="2">
        <f t="shared" si="10"/>
        <v>-1039076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"5001", " - ", "PURCHASES @ COST-NEW TEXT")</f>
        <v xml:space="preserve">          5001 - PURCHASES @ COST-NEW TEXT</v>
      </c>
      <c r="C20" s="11"/>
      <c r="D20" s="2">
        <v>4785.9399999999996</v>
      </c>
      <c r="E20" s="2"/>
      <c r="F20" s="19">
        <f t="shared" si="4"/>
        <v>0.39535121935907025</v>
      </c>
      <c r="G20" s="2"/>
      <c r="H20" s="2"/>
      <c r="I20" s="2"/>
      <c r="J20" s="19">
        <f t="shared" si="5"/>
        <v>0</v>
      </c>
      <c r="K20" s="2"/>
      <c r="L20" s="2">
        <f t="shared" si="6"/>
        <v>4785.9399999999996</v>
      </c>
      <c r="M20" s="2"/>
      <c r="N20" s="19">
        <f t="shared" si="7"/>
        <v>0</v>
      </c>
      <c r="O20" s="11"/>
      <c r="P20" s="2">
        <v>305344.96999999997</v>
      </c>
      <c r="Q20" s="2"/>
      <c r="R20" s="19">
        <f t="shared" si="8"/>
        <v>0.39288564819190169</v>
      </c>
      <c r="S20" s="2"/>
      <c r="T20" s="2"/>
      <c r="U20" s="2"/>
      <c r="V20" s="19">
        <f t="shared" si="9"/>
        <v>0</v>
      </c>
      <c r="W20" s="2"/>
      <c r="X20" s="2">
        <f t="shared" si="10"/>
        <v>305344.96999999997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"5002", " - ", "PURCHASES @ COST-USED TEXT")</f>
        <v xml:space="preserve">          5002 - PURCHASES @ COST-USED TEXT</v>
      </c>
      <c r="C21" s="11"/>
      <c r="D21" s="2">
        <v>2572.6</v>
      </c>
      <c r="E21" s="2"/>
      <c r="F21" s="19">
        <f t="shared" si="4"/>
        <v>0.21251427032581774</v>
      </c>
      <c r="G21" s="2"/>
      <c r="H21" s="2"/>
      <c r="I21" s="2"/>
      <c r="J21" s="19">
        <f t="shared" si="5"/>
        <v>0</v>
      </c>
      <c r="K21" s="2"/>
      <c r="L21" s="2">
        <f t="shared" si="6"/>
        <v>2572.6</v>
      </c>
      <c r="M21" s="2"/>
      <c r="N21" s="19">
        <f t="shared" si="7"/>
        <v>0</v>
      </c>
      <c r="O21" s="11"/>
      <c r="P21" s="2">
        <v>245210.79</v>
      </c>
      <c r="Q21" s="2"/>
      <c r="R21" s="19">
        <f t="shared" si="8"/>
        <v>0.31551133844712848</v>
      </c>
      <c r="S21" s="2"/>
      <c r="T21" s="2"/>
      <c r="U21" s="2"/>
      <c r="V21" s="19">
        <f t="shared" si="9"/>
        <v>0</v>
      </c>
      <c r="W21" s="2"/>
      <c r="X21" s="2">
        <f t="shared" si="10"/>
        <v>245210.79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0">
        <f>D12-D18</f>
        <v>4747.0000000000018</v>
      </c>
      <c r="E23" s="14"/>
      <c r="F23" s="21">
        <f>IF(D$12=0,0,D23/D$12)</f>
        <v>0.39213451031511204</v>
      </c>
      <c r="G23" s="14"/>
      <c r="H23" s="20">
        <f>H12-H18</f>
        <v>3094</v>
      </c>
      <c r="I23" s="14"/>
      <c r="J23" s="21">
        <f>IF(H$12=0,0,H23/H$12)</f>
        <v>0.27502222222222222</v>
      </c>
      <c r="K23" s="15"/>
      <c r="L23" s="20">
        <f>+D23-H23</f>
        <v>1653.0000000000018</v>
      </c>
      <c r="M23" s="15"/>
      <c r="N23" s="21">
        <f>IF(H23=0,0,L23/H23)</f>
        <v>0.5342598577892701</v>
      </c>
      <c r="O23" s="29"/>
      <c r="P23" s="20">
        <f>P12-P18</f>
        <v>226629.58999999997</v>
      </c>
      <c r="Q23" s="14"/>
      <c r="R23" s="21">
        <f>IF(P$12=0,0,P23/P$12)</f>
        <v>0.29160301336096978</v>
      </c>
      <c r="S23" s="14"/>
      <c r="T23" s="20">
        <f>T12-T18</f>
        <v>390208</v>
      </c>
      <c r="U23" s="14"/>
      <c r="V23" s="21">
        <f>IF(T$12=0,0,T23/T$12)</f>
        <v>0.27300942289985752</v>
      </c>
      <c r="W23" s="15"/>
      <c r="X23" s="20">
        <f>+P23-T23</f>
        <v>-163578.41000000003</v>
      </c>
      <c r="Y23" s="15"/>
      <c r="Z23" s="21">
        <f>IF(T23=0,0,X23/T23)</f>
        <v>-0.41920824278333613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2">
        <f>SUM(OSRRefD22x_0)</f>
        <v>0</v>
      </c>
      <c r="E25" s="22"/>
      <c r="F25" s="31">
        <f t="shared" ref="F25:F34" si="12">IF(D$12=0,0,D25/D$12)</f>
        <v>0</v>
      </c>
      <c r="G25" s="22"/>
      <c r="H25" s="22">
        <f>SUM(OSRRefH22x_0)</f>
        <v>0</v>
      </c>
      <c r="I25" s="22"/>
      <c r="J25" s="31">
        <f t="shared" ref="J25:J34" si="13">IF(H$12=0,0,H25/H$12)</f>
        <v>0</v>
      </c>
      <c r="K25" s="4"/>
      <c r="L25" s="22">
        <f t="shared" ref="L25:L34" si="14">+D25-H25</f>
        <v>0</v>
      </c>
      <c r="M25" s="4"/>
      <c r="N25" s="31">
        <f t="shared" ref="N25:N34" si="15">IF(H25=0,0,L25/H25)</f>
        <v>0</v>
      </c>
      <c r="O25" s="10"/>
      <c r="P25" s="22">
        <f>SUM(OSRRefP22x_0)</f>
        <v>0</v>
      </c>
      <c r="Q25" s="22"/>
      <c r="R25" s="31">
        <f t="shared" ref="R25:R34" si="16">IF(P$12=0,0,P25/P$12)</f>
        <v>0</v>
      </c>
      <c r="S25" s="22"/>
      <c r="T25" s="22">
        <f>SUM(OSRRefT22x_0)</f>
        <v>0</v>
      </c>
      <c r="U25" s="22"/>
      <c r="V25" s="31">
        <f t="shared" ref="V25:V34" si="17">IF(T$12=0,0,T25/T$12)</f>
        <v>0</v>
      </c>
      <c r="W25" s="4"/>
      <c r="X25" s="22">
        <f t="shared" ref="X25:X34" si="18">+P25-T25</f>
        <v>0</v>
      </c>
      <c r="Y25" s="4"/>
      <c r="Z25" s="31">
        <f t="shared" ref="Z25:Z34" si="19">IF(T25=0,0,X25/T25)</f>
        <v>0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0</v>
      </c>
      <c r="E26" s="1"/>
      <c r="F26" s="5">
        <f t="shared" si="12"/>
        <v>0</v>
      </c>
      <c r="G26" s="1"/>
      <c r="H26" s="1">
        <f>SUM(OSRRefH22_0x_0)</f>
        <v>0</v>
      </c>
      <c r="I26" s="1"/>
      <c r="J26" s="5">
        <f t="shared" si="13"/>
        <v>0</v>
      </c>
      <c r="K26" s="1"/>
      <c r="L26" s="1">
        <f t="shared" si="14"/>
        <v>0</v>
      </c>
      <c r="M26" s="1"/>
      <c r="N26" s="5">
        <f t="shared" si="15"/>
        <v>0</v>
      </c>
      <c r="O26" s="13"/>
      <c r="P26" s="1">
        <f>SUM(OSRRefP22_0x_0)</f>
        <v>0</v>
      </c>
      <c r="Q26" s="1"/>
      <c r="R26" s="5">
        <f t="shared" si="16"/>
        <v>0</v>
      </c>
      <c r="S26" s="1"/>
      <c r="T26" s="1">
        <f>SUM(OSRRefT22_0x_0)</f>
        <v>0</v>
      </c>
      <c r="U26" s="1"/>
      <c r="V26" s="5">
        <f t="shared" si="17"/>
        <v>0</v>
      </c>
      <c r="W26" s="1"/>
      <c r="X26" s="1">
        <f t="shared" si="18"/>
        <v>0</v>
      </c>
      <c r="Y26" s="1"/>
      <c r="Z26" s="5">
        <f t="shared" si="19"/>
        <v>0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/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0</v>
      </c>
      <c r="Y30" s="2"/>
      <c r="Z30" s="6">
        <f t="shared" si="19"/>
        <v>0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5" si="20">IF(D$12=0,0,D35/D$12)</f>
        <v>0</v>
      </c>
      <c r="G35" s="1"/>
      <c r="H35" s="1">
        <f>SUM(OSRRefH22_1x_0)</f>
        <v>0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0</v>
      </c>
      <c r="M35" s="1"/>
      <c r="N35" s="5">
        <f t="shared" ref="N35:N45" si="23">IF(H35=0,0,L35/H35)</f>
        <v>0</v>
      </c>
      <c r="O35" s="13"/>
      <c r="P35" s="1">
        <f>SUM(OSRRefP22_1x_0)</f>
        <v>0</v>
      </c>
      <c r="Q35" s="1"/>
      <c r="R35" s="5">
        <f t="shared" ref="R35:R45" si="24">IF(P$12=0,0,P35/P$12)</f>
        <v>0</v>
      </c>
      <c r="S35" s="1"/>
      <c r="T35" s="1">
        <f>SUM(OSRRefT22_1x_0)</f>
        <v>0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0</v>
      </c>
      <c r="Y35" s="1"/>
      <c r="Z35" s="5">
        <f t="shared" ref="Z35:Z45" si="27">IF(T35=0,0,X35/T35)</f>
        <v>0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56" customFormat="1" x14ac:dyDescent="0.25">
      <c r="A46" s="36"/>
      <c r="B46" s="36"/>
      <c r="C46" s="36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9" t="s">
        <v>293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8" t="s">
        <v>277</v>
      </c>
      <c r="C49" s="28"/>
      <c r="D49" s="20">
        <f>+D23-D25+D47</f>
        <v>4747.0000000000018</v>
      </c>
      <c r="E49" s="14"/>
      <c r="F49" s="21">
        <f>IF(D$12=0,0,D49/D$12)</f>
        <v>0.39213451031511204</v>
      </c>
      <c r="G49" s="14"/>
      <c r="H49" s="20">
        <f>+H23-H25+H47</f>
        <v>3094</v>
      </c>
      <c r="I49" s="14"/>
      <c r="J49" s="21">
        <f>IF(H$12=0,0,H49/H$12)</f>
        <v>0.27502222222222222</v>
      </c>
      <c r="K49" s="15"/>
      <c r="L49" s="20">
        <f>+D49-H49</f>
        <v>1653.0000000000018</v>
      </c>
      <c r="M49" s="15"/>
      <c r="N49" s="21">
        <f>IF(H49=0,0,L49/H49)</f>
        <v>0.5342598577892701</v>
      </c>
      <c r="O49" s="29"/>
      <c r="P49" s="20">
        <f>+P23-P25+P47</f>
        <v>226629.58999999997</v>
      </c>
      <c r="Q49" s="14"/>
      <c r="R49" s="21">
        <f>IF(P$12=0,0,P49/P$12)</f>
        <v>0.29160301336096978</v>
      </c>
      <c r="S49" s="14"/>
      <c r="T49" s="20">
        <f>+T23-T25+T47</f>
        <v>390208</v>
      </c>
      <c r="U49" s="14"/>
      <c r="V49" s="21">
        <f>IF(T$12=0,0,T49/T$12)</f>
        <v>0.27300942289985752</v>
      </c>
      <c r="W49" s="15"/>
      <c r="X49" s="20">
        <f>+P49-T49</f>
        <v>-163578.41000000003</v>
      </c>
      <c r="Y49" s="15"/>
      <c r="Z49" s="21">
        <f>IF(T49=0,0,X49/T49)</f>
        <v>-0.41920824278333613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2"/>
      <c r="B51" s="10" t="s">
        <v>128</v>
      </c>
      <c r="C51" s="10"/>
      <c r="D51" s="4">
        <v>6019.34</v>
      </c>
      <c r="E51" s="4"/>
      <c r="F51" s="12">
        <f>IF(D$12=0,0,D51/D$12)</f>
        <v>0.49723845445969361</v>
      </c>
      <c r="G51" s="4"/>
      <c r="H51" s="4">
        <v>6995</v>
      </c>
      <c r="I51" s="4"/>
      <c r="J51" s="12">
        <f>IF(H$12=0,0,H51/H$12)</f>
        <v>0.62177777777777776</v>
      </c>
      <c r="K51" s="4"/>
      <c r="L51" s="4">
        <f>+D51-H51</f>
        <v>-975.65999999999985</v>
      </c>
      <c r="M51" s="4"/>
      <c r="N51" s="12">
        <f>IF(H51=0,0,L51/H51)</f>
        <v>-0.1394796283059328</v>
      </c>
      <c r="O51" s="10"/>
      <c r="P51" s="4">
        <v>166077.14000000001</v>
      </c>
      <c r="Q51" s="4"/>
      <c r="R51" s="12">
        <f>IF(P$12=0,0,P51/P$12)</f>
        <v>0.21369051796974817</v>
      </c>
      <c r="S51" s="4"/>
      <c r="T51" s="4">
        <v>263868</v>
      </c>
      <c r="U51" s="4"/>
      <c r="V51" s="12">
        <f>IF(T$12=0,0,T51/T$12)</f>
        <v>0.18461551378172567</v>
      </c>
      <c r="W51" s="4"/>
      <c r="X51" s="4">
        <f>+P51-T51</f>
        <v>-97790.859999999986</v>
      </c>
      <c r="Y51" s="4"/>
      <c r="Z51" s="12">
        <f>IF(T51=0,0,X51/T51)</f>
        <v>-0.37060522685585212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126</v>
      </c>
      <c r="C53" s="28"/>
      <c r="D53" s="35">
        <f>+D49-D51</f>
        <v>-1272.3399999999983</v>
      </c>
      <c r="E53" s="14"/>
      <c r="F53" s="34">
        <f>IF(D$12=0,0,D53/D$12)</f>
        <v>-0.10510394414458159</v>
      </c>
      <c r="G53" s="14"/>
      <c r="H53" s="35">
        <f>+H49-H51</f>
        <v>-3901</v>
      </c>
      <c r="I53" s="14"/>
      <c r="J53" s="34">
        <f>IF(H$12=0,0,H53/H$12)</f>
        <v>-0.34675555555555554</v>
      </c>
      <c r="K53" s="15"/>
      <c r="L53" s="35">
        <f>D53-H53</f>
        <v>2628.6600000000017</v>
      </c>
      <c r="M53" s="15"/>
      <c r="N53" s="34">
        <f>IF(H53=0,0,L53/H53)</f>
        <v>-0.67384260446039523</v>
      </c>
      <c r="O53" s="29"/>
      <c r="P53" s="35">
        <f>+P49-P51</f>
        <v>60552.449999999953</v>
      </c>
      <c r="Q53" s="14"/>
      <c r="R53" s="34">
        <f>IF(P$12=0,0,P53/P$12)</f>
        <v>7.7912495391221609E-2</v>
      </c>
      <c r="S53" s="14"/>
      <c r="T53" s="35">
        <f>+T49-T51</f>
        <v>126340</v>
      </c>
      <c r="U53" s="14"/>
      <c r="V53" s="34">
        <f>IF(T$12=0,0,T53/T$12)</f>
        <v>8.8393909118131872E-2</v>
      </c>
      <c r="W53" s="15"/>
      <c r="X53" s="35">
        <f>P53-T53</f>
        <v>-65787.550000000047</v>
      </c>
      <c r="Y53" s="15"/>
      <c r="Z53" s="34">
        <f>IF(T53=0,0,X53/T53)</f>
        <v>-0.52071829982586704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8" t="s">
        <v>294</v>
      </c>
      <c r="C56" s="28"/>
      <c r="D56" s="33">
        <f>SUM(D53:D55)</f>
        <v>-1272.3399999999983</v>
      </c>
      <c r="E56" s="14"/>
      <c r="F56" s="32">
        <f>IF(D$12=0,0,D56/D$12)</f>
        <v>-0.10510394414458159</v>
      </c>
      <c r="G56" s="14"/>
      <c r="H56" s="33">
        <f>SUM(H53:H55)</f>
        <v>-3901</v>
      </c>
      <c r="I56" s="14"/>
      <c r="J56" s="32">
        <f>IF(H$12=0,0,H56/H$12)</f>
        <v>-0.34675555555555554</v>
      </c>
      <c r="K56" s="15"/>
      <c r="L56" s="33">
        <f>+D56-H56</f>
        <v>2628.6600000000017</v>
      </c>
      <c r="M56" s="15"/>
      <c r="N56" s="32">
        <f>IF(H56=0,0,L56/H56)</f>
        <v>-0.67384260446039523</v>
      </c>
      <c r="O56" s="29"/>
      <c r="P56" s="33">
        <f>SUM(P53:P55)</f>
        <v>60552.449999999953</v>
      </c>
      <c r="Q56" s="14"/>
      <c r="R56" s="32">
        <f>IF(P$12=0,0,P56/P$12)</f>
        <v>7.7912495391221609E-2</v>
      </c>
      <c r="S56" s="14"/>
      <c r="T56" s="33">
        <f>SUM(T53:T55)</f>
        <v>126340</v>
      </c>
      <c r="U56" s="14"/>
      <c r="V56" s="32">
        <f>IF(T$12=0,0,T56/T$12)</f>
        <v>8.8393909118131872E-2</v>
      </c>
      <c r="W56" s="15"/>
      <c r="X56" s="33">
        <f>+P56-T56</f>
        <v>-65787.550000000047</v>
      </c>
      <c r="Y56" s="15"/>
      <c r="Z56" s="32">
        <f>IF(T56=0,0,X56/T56)</f>
        <v>-0.52071829982586704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A58" s="9"/>
      <c r="B58" s="60">
        <v>44356.891834571761</v>
      </c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55" t="s">
        <v>56</v>
      </c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63"/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8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22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430122.32000000012</v>
      </c>
      <c r="E12" s="4"/>
      <c r="F12" s="12"/>
      <c r="G12" s="4"/>
      <c r="H12" s="4">
        <f>SUM(OSRRefH13x_0)</f>
        <v>471277</v>
      </c>
      <c r="I12" s="4"/>
      <c r="J12" s="12"/>
      <c r="K12" s="4"/>
      <c r="L12" s="4">
        <f t="shared" ref="L12:L51" si="0">+D12-H12</f>
        <v>-41154.679999999877</v>
      </c>
      <c r="M12" s="4"/>
      <c r="N12" s="12">
        <f t="shared" ref="N12:N51" si="1">IF(H12=0,0,L12/H12)</f>
        <v>-8.7325882654998813E-2</v>
      </c>
      <c r="O12" s="10"/>
      <c r="P12" s="4">
        <f>SUM(OSRRefP13x_0)</f>
        <v>2317115.8200000008</v>
      </c>
      <c r="Q12" s="4"/>
      <c r="R12" s="12"/>
      <c r="S12" s="4"/>
      <c r="T12" s="4">
        <f>SUM(OSRRefT13x_0)</f>
        <v>3771984</v>
      </c>
      <c r="U12" s="4"/>
      <c r="V12" s="12"/>
      <c r="W12" s="4"/>
      <c r="X12" s="4">
        <f t="shared" ref="X12:X51" si="2">+P12-T12</f>
        <v>-1454868.1799999992</v>
      </c>
      <c r="Y12" s="4"/>
      <c r="Z12" s="12">
        <f t="shared" ref="Z12:Z51" si="3">IF(T12=0,0,X12/T12)</f>
        <v>-0.38570369863710963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-10651.2</f>
        <v>-10651.2</v>
      </c>
      <c r="E13" s="2"/>
      <c r="F13" s="19"/>
      <c r="G13" s="2"/>
      <c r="H13" s="2">
        <v>471277</v>
      </c>
      <c r="I13" s="2"/>
      <c r="J13" s="19"/>
      <c r="K13" s="2"/>
      <c r="L13" s="2">
        <f t="shared" si="0"/>
        <v>-481928.2</v>
      </c>
      <c r="M13" s="2"/>
      <c r="N13" s="19">
        <f t="shared" si="1"/>
        <v>-1.0226007210196977</v>
      </c>
      <c r="O13" s="11"/>
      <c r="P13" s="2">
        <f>-134061.95</f>
        <v>-134061.95000000001</v>
      </c>
      <c r="Q13" s="2"/>
      <c r="R13" s="19"/>
      <c r="S13" s="2"/>
      <c r="T13" s="2">
        <v>3771984</v>
      </c>
      <c r="U13" s="2"/>
      <c r="V13" s="19"/>
      <c r="W13" s="2"/>
      <c r="X13" s="2">
        <f t="shared" si="2"/>
        <v>-3906045.95</v>
      </c>
      <c r="Y13" s="2"/>
      <c r="Z13" s="19">
        <f t="shared" si="3"/>
        <v>-1.0355414948737853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--36.37</f>
        <v>36.369999999999997</v>
      </c>
      <c r="E14" s="2"/>
      <c r="F14" s="19"/>
      <c r="G14" s="2"/>
      <c r="H14" s="2"/>
      <c r="I14" s="2"/>
      <c r="J14" s="19"/>
      <c r="K14" s="2"/>
      <c r="L14" s="2">
        <f t="shared" si="0"/>
        <v>36.369999999999997</v>
      </c>
      <c r="M14" s="2"/>
      <c r="N14" s="19">
        <f t="shared" si="1"/>
        <v>0</v>
      </c>
      <c r="O14" s="11"/>
      <c r="P14" s="2">
        <f>--505.03</f>
        <v>505.03</v>
      </c>
      <c r="Q14" s="2"/>
      <c r="R14" s="19"/>
      <c r="S14" s="2"/>
      <c r="T14" s="2"/>
      <c r="U14" s="2"/>
      <c r="V14" s="19"/>
      <c r="W14" s="2"/>
      <c r="X14" s="2">
        <f t="shared" si="2"/>
        <v>505.03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--6033.32</f>
        <v>6033.32</v>
      </c>
      <c r="E15" s="2"/>
      <c r="F15" s="19"/>
      <c r="G15" s="2"/>
      <c r="H15" s="2"/>
      <c r="I15" s="2"/>
      <c r="J15" s="19"/>
      <c r="K15" s="2"/>
      <c r="L15" s="2">
        <f t="shared" si="0"/>
        <v>6033.32</v>
      </c>
      <c r="M15" s="2"/>
      <c r="N15" s="19">
        <f t="shared" si="1"/>
        <v>0</v>
      </c>
      <c r="O15" s="11"/>
      <c r="P15" s="2">
        <f>--62113.97</f>
        <v>62113.97</v>
      </c>
      <c r="Q15" s="2"/>
      <c r="R15" s="19"/>
      <c r="S15" s="2"/>
      <c r="T15" s="2"/>
      <c r="U15" s="2"/>
      <c r="V15" s="19"/>
      <c r="W15" s="2"/>
      <c r="X15" s="2">
        <f t="shared" si="2"/>
        <v>62113.97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--1495.15</f>
        <v>1495.15</v>
      </c>
      <c r="E16" s="2"/>
      <c r="F16" s="19"/>
      <c r="G16" s="2"/>
      <c r="H16" s="2"/>
      <c r="I16" s="2"/>
      <c r="J16" s="19"/>
      <c r="K16" s="2"/>
      <c r="L16" s="2">
        <f t="shared" si="0"/>
        <v>1495.15</v>
      </c>
      <c r="M16" s="2"/>
      <c r="N16" s="19">
        <f t="shared" si="1"/>
        <v>0</v>
      </c>
      <c r="O16" s="11"/>
      <c r="P16" s="2">
        <f>--35916.27</f>
        <v>35916.269999999997</v>
      </c>
      <c r="Q16" s="2"/>
      <c r="R16" s="19"/>
      <c r="S16" s="2"/>
      <c r="T16" s="2"/>
      <c r="U16" s="2"/>
      <c r="V16" s="19"/>
      <c r="W16" s="2"/>
      <c r="X16" s="2">
        <f t="shared" si="2"/>
        <v>35916.269999999997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--490.12</f>
        <v>490.12</v>
      </c>
      <c r="E17" s="2"/>
      <c r="F17" s="19"/>
      <c r="G17" s="2"/>
      <c r="H17" s="2"/>
      <c r="I17" s="2"/>
      <c r="J17" s="19"/>
      <c r="K17" s="2"/>
      <c r="L17" s="2">
        <f t="shared" si="0"/>
        <v>490.12</v>
      </c>
      <c r="M17" s="2"/>
      <c r="N17" s="19">
        <f t="shared" si="1"/>
        <v>0</v>
      </c>
      <c r="O17" s="11"/>
      <c r="P17" s="2">
        <f>--4326.16</f>
        <v>4326.16</v>
      </c>
      <c r="Q17" s="2"/>
      <c r="R17" s="19"/>
      <c r="S17" s="2"/>
      <c r="T17" s="2"/>
      <c r="U17" s="2"/>
      <c r="V17" s="19"/>
      <c r="W17" s="2"/>
      <c r="X17" s="2">
        <f t="shared" si="2"/>
        <v>4326.16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/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--187399.42</f>
        <v>187399.42</v>
      </c>
      <c r="E19" s="2"/>
      <c r="F19" s="19"/>
      <c r="G19" s="2"/>
      <c r="H19" s="2"/>
      <c r="I19" s="2"/>
      <c r="J19" s="19"/>
      <c r="K19" s="2"/>
      <c r="L19" s="2">
        <f t="shared" si="0"/>
        <v>187399.42</v>
      </c>
      <c r="M19" s="2"/>
      <c r="N19" s="19">
        <f t="shared" si="1"/>
        <v>0</v>
      </c>
      <c r="O19" s="11"/>
      <c r="P19" s="2">
        <f>--1100580.15</f>
        <v>1100580.1499999999</v>
      </c>
      <c r="Q19" s="2"/>
      <c r="R19" s="19"/>
      <c r="S19" s="2"/>
      <c r="T19" s="2"/>
      <c r="U19" s="2"/>
      <c r="V19" s="19"/>
      <c r="W19" s="2"/>
      <c r="X19" s="2">
        <f t="shared" si="2"/>
        <v>1100580.1499999999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--190934.06</f>
        <v>190934.06</v>
      </c>
      <c r="E20" s="2"/>
      <c r="F20" s="19"/>
      <c r="G20" s="2"/>
      <c r="H20" s="2"/>
      <c r="I20" s="2"/>
      <c r="J20" s="19"/>
      <c r="K20" s="2"/>
      <c r="L20" s="2">
        <f t="shared" si="0"/>
        <v>190934.06</v>
      </c>
      <c r="M20" s="2"/>
      <c r="N20" s="19">
        <f t="shared" si="1"/>
        <v>0</v>
      </c>
      <c r="O20" s="11"/>
      <c r="P20" s="2">
        <f>--538470.87</f>
        <v>538470.87</v>
      </c>
      <c r="Q20" s="2"/>
      <c r="R20" s="19"/>
      <c r="S20" s="2"/>
      <c r="T20" s="2"/>
      <c r="U20" s="2"/>
      <c r="V20" s="19"/>
      <c r="W20" s="2"/>
      <c r="X20" s="2">
        <f t="shared" si="2"/>
        <v>538470.87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--7002.2</f>
        <v>7002.2</v>
      </c>
      <c r="E21" s="2"/>
      <c r="F21" s="19"/>
      <c r="G21" s="2"/>
      <c r="H21" s="2"/>
      <c r="I21" s="2"/>
      <c r="J21" s="19"/>
      <c r="K21" s="2"/>
      <c r="L21" s="2">
        <f t="shared" si="0"/>
        <v>7002.2</v>
      </c>
      <c r="M21" s="2"/>
      <c r="N21" s="19">
        <f t="shared" si="1"/>
        <v>0</v>
      </c>
      <c r="O21" s="11"/>
      <c r="P21" s="2">
        <f>--90580.88</f>
        <v>90580.88</v>
      </c>
      <c r="Q21" s="2"/>
      <c r="R21" s="19"/>
      <c r="S21" s="2"/>
      <c r="T21" s="2"/>
      <c r="U21" s="2"/>
      <c r="V21" s="19"/>
      <c r="W21" s="2"/>
      <c r="X21" s="2">
        <f t="shared" si="2"/>
        <v>90580.88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--7208.82</f>
        <v>7208.82</v>
      </c>
      <c r="E22" s="2"/>
      <c r="F22" s="19"/>
      <c r="G22" s="2"/>
      <c r="H22" s="2"/>
      <c r="I22" s="2"/>
      <c r="J22" s="19"/>
      <c r="K22" s="2"/>
      <c r="L22" s="2">
        <f t="shared" si="0"/>
        <v>7208.82</v>
      </c>
      <c r="M22" s="2"/>
      <c r="N22" s="19">
        <f t="shared" si="1"/>
        <v>0</v>
      </c>
      <c r="O22" s="11"/>
      <c r="P22" s="2">
        <f>--144015.52</f>
        <v>144015.51999999999</v>
      </c>
      <c r="Q22" s="2"/>
      <c r="R22" s="19"/>
      <c r="S22" s="2"/>
      <c r="T22" s="2"/>
      <c r="U22" s="2"/>
      <c r="V22" s="19"/>
      <c r="W22" s="2"/>
      <c r="X22" s="2">
        <f t="shared" si="2"/>
        <v>144015.51999999999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--5024.1</f>
        <v>5024.1000000000004</v>
      </c>
      <c r="E23" s="2"/>
      <c r="F23" s="19"/>
      <c r="G23" s="2"/>
      <c r="H23" s="2"/>
      <c r="I23" s="2"/>
      <c r="J23" s="19"/>
      <c r="K23" s="2"/>
      <c r="L23" s="2">
        <f t="shared" si="0"/>
        <v>5024.1000000000004</v>
      </c>
      <c r="M23" s="2"/>
      <c r="N23" s="19">
        <f t="shared" si="1"/>
        <v>0</v>
      </c>
      <c r="O23" s="11"/>
      <c r="P23" s="2">
        <f>--41116.33</f>
        <v>41116.33</v>
      </c>
      <c r="Q23" s="2"/>
      <c r="R23" s="19"/>
      <c r="S23" s="2"/>
      <c r="T23" s="2"/>
      <c r="U23" s="2"/>
      <c r="V23" s="19"/>
      <c r="W23" s="2"/>
      <c r="X23" s="2">
        <f t="shared" si="2"/>
        <v>41116.33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--26335.59</f>
        <v>26335.59</v>
      </c>
      <c r="E24" s="2"/>
      <c r="F24" s="19"/>
      <c r="G24" s="2"/>
      <c r="H24" s="2"/>
      <c r="I24" s="2"/>
      <c r="J24" s="19"/>
      <c r="K24" s="2"/>
      <c r="L24" s="2">
        <f t="shared" si="0"/>
        <v>26335.59</v>
      </c>
      <c r="M24" s="2"/>
      <c r="N24" s="19">
        <f t="shared" si="1"/>
        <v>0</v>
      </c>
      <c r="O24" s="11"/>
      <c r="P24" s="2">
        <f>--233577.93</f>
        <v>233577.93</v>
      </c>
      <c r="Q24" s="2"/>
      <c r="R24" s="19"/>
      <c r="S24" s="2"/>
      <c r="T24" s="2"/>
      <c r="U24" s="2"/>
      <c r="V24" s="19"/>
      <c r="W24" s="2"/>
      <c r="X24" s="2">
        <f t="shared" si="2"/>
        <v>233577.93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--52.68</f>
        <v>52.68</v>
      </c>
      <c r="Q25" s="2"/>
      <c r="R25" s="19"/>
      <c r="S25" s="2"/>
      <c r="T25" s="2"/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--548.05</f>
        <v>548.04999999999995</v>
      </c>
      <c r="E26" s="2"/>
      <c r="F26" s="19"/>
      <c r="G26" s="2"/>
      <c r="H26" s="2"/>
      <c r="I26" s="2"/>
      <c r="J26" s="19"/>
      <c r="K26" s="2"/>
      <c r="L26" s="2">
        <f t="shared" si="0"/>
        <v>548.04999999999995</v>
      </c>
      <c r="M26" s="2"/>
      <c r="N26" s="19">
        <f t="shared" si="1"/>
        <v>0</v>
      </c>
      <c r="O26" s="11"/>
      <c r="P26" s="2">
        <f>--7648.73</f>
        <v>7648.73</v>
      </c>
      <c r="Q26" s="2"/>
      <c r="R26" s="19"/>
      <c r="S26" s="2"/>
      <c r="T26" s="2"/>
      <c r="U26" s="2"/>
      <c r="V26" s="19"/>
      <c r="W26" s="2"/>
      <c r="X26" s="2">
        <f t="shared" si="2"/>
        <v>7648.73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"4128", " - ", "NON-TAXABLE SALES-ART/TECH")</f>
        <v xml:space="preserve">          4128 - NON-TAXABLE SALES-ART/TECH</v>
      </c>
      <c r="C27" s="11"/>
      <c r="D27" s="2">
        <f>--45.96</f>
        <v>45.96</v>
      </c>
      <c r="E27" s="2"/>
      <c r="F27" s="19"/>
      <c r="G27" s="2"/>
      <c r="H27" s="2"/>
      <c r="I27" s="2"/>
      <c r="J27" s="19"/>
      <c r="K27" s="2"/>
      <c r="L27" s="2">
        <f t="shared" si="0"/>
        <v>45.96</v>
      </c>
      <c r="M27" s="2"/>
      <c r="N27" s="19">
        <f t="shared" si="1"/>
        <v>0</v>
      </c>
      <c r="O27" s="11"/>
      <c r="P27" s="2">
        <f>--115.91</f>
        <v>115.91</v>
      </c>
      <c r="Q27" s="2"/>
      <c r="R27" s="19"/>
      <c r="S27" s="2"/>
      <c r="T27" s="2"/>
      <c r="U27" s="2"/>
      <c r="V27" s="19"/>
      <c r="W27" s="2"/>
      <c r="X27" s="2">
        <f t="shared" si="2"/>
        <v>115.91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>--775.78</f>
        <v>775.78</v>
      </c>
      <c r="E28" s="2"/>
      <c r="F28" s="19"/>
      <c r="G28" s="2"/>
      <c r="H28" s="2"/>
      <c r="I28" s="2"/>
      <c r="J28" s="19"/>
      <c r="K28" s="2"/>
      <c r="L28" s="2">
        <f t="shared" si="0"/>
        <v>775.78</v>
      </c>
      <c r="M28" s="2"/>
      <c r="N28" s="19">
        <f t="shared" si="1"/>
        <v>0</v>
      </c>
      <c r="O28" s="11"/>
      <c r="P28" s="2">
        <f>--10308.98</f>
        <v>10308.98</v>
      </c>
      <c r="Q28" s="2"/>
      <c r="R28" s="19"/>
      <c r="S28" s="2"/>
      <c r="T28" s="2"/>
      <c r="U28" s="2"/>
      <c r="V28" s="19"/>
      <c r="W28" s="2"/>
      <c r="X28" s="2">
        <f t="shared" si="2"/>
        <v>10308.98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4"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--22.49</f>
        <v>22.49</v>
      </c>
      <c r="Q29" s="2"/>
      <c r="R29" s="19"/>
      <c r="S29" s="2"/>
      <c r="T29" s="2"/>
      <c r="U29" s="2"/>
      <c r="V29" s="19"/>
      <c r="W29" s="2"/>
      <c r="X29" s="2">
        <f t="shared" si="2"/>
        <v>22.49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--80.71</f>
        <v>80.709999999999994</v>
      </c>
      <c r="Q30" s="2"/>
      <c r="R30" s="19"/>
      <c r="S30" s="2"/>
      <c r="T30" s="2"/>
      <c r="U30" s="2"/>
      <c r="V30" s="19"/>
      <c r="W30" s="2"/>
      <c r="X30" s="2">
        <f t="shared" si="2"/>
        <v>80.709999999999994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--45.53</f>
        <v>45.53</v>
      </c>
      <c r="Q31" s="2"/>
      <c r="R31" s="19"/>
      <c r="S31" s="2"/>
      <c r="T31" s="2"/>
      <c r="U31" s="2"/>
      <c r="V31" s="19"/>
      <c r="W31" s="2"/>
      <c r="X31" s="2">
        <f t="shared" si="2"/>
        <v>45.53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--68.25</f>
        <v>68.25</v>
      </c>
      <c r="Q32" s="2"/>
      <c r="R32" s="19"/>
      <c r="S32" s="2"/>
      <c r="T32" s="2"/>
      <c r="U32" s="2"/>
      <c r="V32" s="19"/>
      <c r="W32" s="2"/>
      <c r="X32" s="2">
        <f t="shared" si="2"/>
        <v>68.25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--16733.37</f>
        <v>16733.37</v>
      </c>
      <c r="E33" s="2"/>
      <c r="F33" s="19"/>
      <c r="G33" s="2"/>
      <c r="H33" s="2"/>
      <c r="I33" s="2"/>
      <c r="J33" s="19"/>
      <c r="K33" s="2"/>
      <c r="L33" s="2">
        <f t="shared" si="0"/>
        <v>16733.37</v>
      </c>
      <c r="M33" s="2"/>
      <c r="N33" s="19">
        <f t="shared" si="1"/>
        <v>0</v>
      </c>
      <c r="O33" s="11"/>
      <c r="P33" s="2">
        <f>--171525.76</f>
        <v>171525.76000000001</v>
      </c>
      <c r="Q33" s="2"/>
      <c r="R33" s="19"/>
      <c r="S33" s="2"/>
      <c r="T33" s="2"/>
      <c r="U33" s="2"/>
      <c r="V33" s="19"/>
      <c r="W33" s="2"/>
      <c r="X33" s="2">
        <f t="shared" si="2"/>
        <v>171525.76000000001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--1882.42</f>
        <v>1882.42</v>
      </c>
      <c r="E34" s="2"/>
      <c r="F34" s="19"/>
      <c r="G34" s="2"/>
      <c r="H34" s="2"/>
      <c r="I34" s="2"/>
      <c r="J34" s="19"/>
      <c r="K34" s="2"/>
      <c r="L34" s="2">
        <f t="shared" si="0"/>
        <v>1882.42</v>
      </c>
      <c r="M34" s="2"/>
      <c r="N34" s="19">
        <f t="shared" si="1"/>
        <v>0</v>
      </c>
      <c r="O34" s="11"/>
      <c r="P34" s="2">
        <f>--37399.99</f>
        <v>37399.99</v>
      </c>
      <c r="Q34" s="2"/>
      <c r="R34" s="19"/>
      <c r="S34" s="2"/>
      <c r="T34" s="2"/>
      <c r="U34" s="2"/>
      <c r="V34" s="19"/>
      <c r="W34" s="2"/>
      <c r="X34" s="2">
        <f t="shared" si="2"/>
        <v>37399.99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--11.96</f>
        <v>11.96</v>
      </c>
      <c r="E35" s="2"/>
      <c r="F35" s="19"/>
      <c r="G35" s="2"/>
      <c r="H35" s="2"/>
      <c r="I35" s="2"/>
      <c r="J35" s="19"/>
      <c r="K35" s="2"/>
      <c r="L35" s="2">
        <f t="shared" si="0"/>
        <v>11.96</v>
      </c>
      <c r="M35" s="2"/>
      <c r="N35" s="19">
        <f t="shared" si="1"/>
        <v>0</v>
      </c>
      <c r="O35" s="11"/>
      <c r="P35" s="2">
        <f>--1467.37</f>
        <v>1467.37</v>
      </c>
      <c r="Q35" s="2"/>
      <c r="R35" s="19"/>
      <c r="S35" s="2"/>
      <c r="T35" s="2"/>
      <c r="U35" s="2"/>
      <c r="V35" s="19"/>
      <c r="W35" s="2"/>
      <c r="X35" s="2">
        <f t="shared" si="2"/>
        <v>1467.37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>--120.71</f>
        <v>120.71</v>
      </c>
      <c r="E36" s="2"/>
      <c r="F36" s="19"/>
      <c r="G36" s="2"/>
      <c r="H36" s="2"/>
      <c r="I36" s="2"/>
      <c r="J36" s="19"/>
      <c r="K36" s="2"/>
      <c r="L36" s="2">
        <f t="shared" si="0"/>
        <v>120.71</v>
      </c>
      <c r="M36" s="2"/>
      <c r="N36" s="19">
        <f t="shared" si="1"/>
        <v>0</v>
      </c>
      <c r="O36" s="11"/>
      <c r="P36" s="2">
        <f>--2552.16</f>
        <v>2552.16</v>
      </c>
      <c r="Q36" s="2"/>
      <c r="R36" s="19"/>
      <c r="S36" s="2"/>
      <c r="T36" s="2"/>
      <c r="U36" s="2"/>
      <c r="V36" s="19"/>
      <c r="W36" s="2"/>
      <c r="X36" s="2">
        <f t="shared" si="2"/>
        <v>2552.16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--164.7</f>
        <v>164.7</v>
      </c>
      <c r="E37" s="2"/>
      <c r="F37" s="19"/>
      <c r="G37" s="2"/>
      <c r="H37" s="2"/>
      <c r="I37" s="2"/>
      <c r="J37" s="19"/>
      <c r="K37" s="2"/>
      <c r="L37" s="2">
        <f t="shared" si="0"/>
        <v>164.7</v>
      </c>
      <c r="M37" s="2"/>
      <c r="N37" s="19">
        <f t="shared" si="1"/>
        <v>0</v>
      </c>
      <c r="O37" s="11"/>
      <c r="P37" s="2">
        <f>--873.8</f>
        <v>873.8</v>
      </c>
      <c r="Q37" s="2"/>
      <c r="R37" s="19"/>
      <c r="S37" s="2"/>
      <c r="T37" s="2"/>
      <c r="U37" s="2"/>
      <c r="V37" s="19"/>
      <c r="W37" s="2"/>
      <c r="X37" s="2">
        <f t="shared" si="2"/>
        <v>873.8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>0</f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--74066.89</f>
        <v>74066.89</v>
      </c>
      <c r="Q38" s="2"/>
      <c r="R38" s="19"/>
      <c r="S38" s="2"/>
      <c r="T38" s="2"/>
      <c r="U38" s="2"/>
      <c r="V38" s="19"/>
      <c r="W38" s="2"/>
      <c r="X38" s="2">
        <f t="shared" si="2"/>
        <v>74066.89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-0.79</f>
        <v>-0.79</v>
      </c>
      <c r="E39" s="2"/>
      <c r="F39" s="19"/>
      <c r="G39" s="2"/>
      <c r="H39" s="2"/>
      <c r="I39" s="2"/>
      <c r="J39" s="19"/>
      <c r="K39" s="2"/>
      <c r="L39" s="2">
        <f t="shared" si="0"/>
        <v>-0.79</v>
      </c>
      <c r="M39" s="2"/>
      <c r="N39" s="19">
        <f t="shared" si="1"/>
        <v>0</v>
      </c>
      <c r="O39" s="11"/>
      <c r="P39" s="2">
        <f>-35.02</f>
        <v>-35.020000000000003</v>
      </c>
      <c r="Q39" s="2"/>
      <c r="R39" s="19"/>
      <c r="S39" s="2"/>
      <c r="T39" s="2"/>
      <c r="U39" s="2"/>
      <c r="V39" s="19"/>
      <c r="W39" s="2"/>
      <c r="X39" s="2">
        <f t="shared" si="2"/>
        <v>-35.020000000000003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-137.82</f>
        <v>-137.82</v>
      </c>
      <c r="E40" s="2"/>
      <c r="F40" s="19"/>
      <c r="G40" s="2"/>
      <c r="H40" s="2"/>
      <c r="I40" s="2"/>
      <c r="J40" s="19"/>
      <c r="K40" s="2"/>
      <c r="L40" s="2">
        <f t="shared" si="0"/>
        <v>-137.82</v>
      </c>
      <c r="M40" s="2"/>
      <c r="N40" s="19">
        <f t="shared" si="1"/>
        <v>0</v>
      </c>
      <c r="O40" s="11"/>
      <c r="P40" s="2">
        <f>-1324.51</f>
        <v>-1324.51</v>
      </c>
      <c r="Q40" s="2"/>
      <c r="R40" s="19"/>
      <c r="S40" s="2"/>
      <c r="T40" s="2"/>
      <c r="U40" s="2"/>
      <c r="V40" s="19"/>
      <c r="W40" s="2"/>
      <c r="X40" s="2">
        <f t="shared" si="2"/>
        <v>-1324.51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-12751.53</f>
        <v>-12751.53</v>
      </c>
      <c r="Q41" s="2"/>
      <c r="R41" s="19"/>
      <c r="S41" s="2"/>
      <c r="T41" s="2"/>
      <c r="U41" s="2"/>
      <c r="V41" s="19"/>
      <c r="W41" s="2"/>
      <c r="X41" s="2">
        <f t="shared" si="2"/>
        <v>-12751.53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-6427.17</f>
        <v>-6427.17</v>
      </c>
      <c r="E42" s="2"/>
      <c r="F42" s="19"/>
      <c r="G42" s="2"/>
      <c r="H42" s="2"/>
      <c r="I42" s="2"/>
      <c r="J42" s="19"/>
      <c r="K42" s="2"/>
      <c r="L42" s="2">
        <f t="shared" si="0"/>
        <v>-6427.17</v>
      </c>
      <c r="M42" s="2"/>
      <c r="N42" s="19">
        <f t="shared" si="1"/>
        <v>0</v>
      </c>
      <c r="O42" s="11"/>
      <c r="P42" s="2">
        <f>-47093.44</f>
        <v>-47093.440000000002</v>
      </c>
      <c r="Q42" s="2"/>
      <c r="R42" s="19"/>
      <c r="S42" s="2"/>
      <c r="T42" s="2"/>
      <c r="U42" s="2"/>
      <c r="V42" s="19"/>
      <c r="W42" s="2"/>
      <c r="X42" s="2">
        <f t="shared" si="2"/>
        <v>-47093.440000000002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-4497.34</f>
        <v>-4497.34</v>
      </c>
      <c r="E43" s="2"/>
      <c r="F43" s="19"/>
      <c r="G43" s="2"/>
      <c r="H43" s="2"/>
      <c r="I43" s="2"/>
      <c r="J43" s="19"/>
      <c r="K43" s="2"/>
      <c r="L43" s="2">
        <f t="shared" si="0"/>
        <v>-4497.34</v>
      </c>
      <c r="M43" s="2"/>
      <c r="N43" s="19">
        <f t="shared" si="1"/>
        <v>0</v>
      </c>
      <c r="O43" s="11"/>
      <c r="P43" s="2">
        <f>-15387.54</f>
        <v>-15387.54</v>
      </c>
      <c r="Q43" s="2"/>
      <c r="R43" s="19"/>
      <c r="S43" s="2"/>
      <c r="T43" s="2"/>
      <c r="U43" s="2"/>
      <c r="V43" s="19"/>
      <c r="W43" s="2"/>
      <c r="X43" s="2">
        <f t="shared" si="2"/>
        <v>-15387.54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-107</f>
        <v>-107</v>
      </c>
      <c r="E44" s="2"/>
      <c r="F44" s="19"/>
      <c r="G44" s="2"/>
      <c r="H44" s="2"/>
      <c r="I44" s="2"/>
      <c r="J44" s="19"/>
      <c r="K44" s="2"/>
      <c r="L44" s="2">
        <f t="shared" si="0"/>
        <v>-107</v>
      </c>
      <c r="M44" s="2"/>
      <c r="N44" s="19">
        <f t="shared" si="1"/>
        <v>0</v>
      </c>
      <c r="O44" s="11"/>
      <c r="P44" s="2">
        <f>-2743.09</f>
        <v>-2743.09</v>
      </c>
      <c r="Q44" s="2"/>
      <c r="R44" s="19"/>
      <c r="S44" s="2"/>
      <c r="T44" s="2"/>
      <c r="U44" s="2"/>
      <c r="V44" s="19"/>
      <c r="W44" s="2"/>
      <c r="X44" s="2">
        <f t="shared" si="2"/>
        <v>-2743.09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>-76.9</f>
        <v>-76.900000000000006</v>
      </c>
      <c r="E45" s="2"/>
      <c r="F45" s="19"/>
      <c r="G45" s="2"/>
      <c r="H45" s="2"/>
      <c r="I45" s="2"/>
      <c r="J45" s="19"/>
      <c r="K45" s="2"/>
      <c r="L45" s="2">
        <f t="shared" si="0"/>
        <v>-76.900000000000006</v>
      </c>
      <c r="M45" s="2"/>
      <c r="N45" s="19">
        <f t="shared" si="1"/>
        <v>0</v>
      </c>
      <c r="O45" s="11"/>
      <c r="P45" s="2">
        <f>-6218.99</f>
        <v>-6218.99</v>
      </c>
      <c r="Q45" s="2"/>
      <c r="R45" s="19"/>
      <c r="S45" s="2"/>
      <c r="T45" s="2"/>
      <c r="U45" s="2"/>
      <c r="V45" s="19"/>
      <c r="W45" s="2"/>
      <c r="X45" s="2">
        <f t="shared" si="2"/>
        <v>-6218.99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-24.41</f>
        <v>-24.41</v>
      </c>
      <c r="E46" s="2"/>
      <c r="F46" s="19"/>
      <c r="G46" s="2"/>
      <c r="H46" s="2"/>
      <c r="I46" s="2"/>
      <c r="J46" s="19"/>
      <c r="K46" s="2"/>
      <c r="L46" s="2">
        <f t="shared" si="0"/>
        <v>-24.41</v>
      </c>
      <c r="M46" s="2"/>
      <c r="N46" s="19">
        <f t="shared" si="1"/>
        <v>0</v>
      </c>
      <c r="O46" s="11"/>
      <c r="P46" s="2">
        <f>-1267.91</f>
        <v>-1267.9100000000001</v>
      </c>
      <c r="Q46" s="2"/>
      <c r="R46" s="19"/>
      <c r="S46" s="2"/>
      <c r="T46" s="2"/>
      <c r="U46" s="2"/>
      <c r="V46" s="19"/>
      <c r="W46" s="2"/>
      <c r="X46" s="2">
        <f t="shared" si="2"/>
        <v>-1267.9100000000001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-36</f>
        <v>-36</v>
      </c>
      <c r="E47" s="2"/>
      <c r="F47" s="19"/>
      <c r="G47" s="2"/>
      <c r="H47" s="2"/>
      <c r="I47" s="2"/>
      <c r="J47" s="19"/>
      <c r="K47" s="2"/>
      <c r="L47" s="2">
        <f t="shared" si="0"/>
        <v>-36</v>
      </c>
      <c r="M47" s="2"/>
      <c r="N47" s="19">
        <f t="shared" si="1"/>
        <v>0</v>
      </c>
      <c r="O47" s="11"/>
      <c r="P47" s="2">
        <f>-15460.73</f>
        <v>-15460.73</v>
      </c>
      <c r="Q47" s="2"/>
      <c r="R47" s="19"/>
      <c r="S47" s="2"/>
      <c r="T47" s="2"/>
      <c r="U47" s="2"/>
      <c r="V47" s="19"/>
      <c r="W47" s="2"/>
      <c r="X47" s="2">
        <f t="shared" si="2"/>
        <v>-15460.73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"4327", " - ", "SALES RETURN NON TAXABLE-SCHOO")</f>
        <v xml:space="preserve">          4327 - SALES RETURN NON TAXABLE-SCHOO</v>
      </c>
      <c r="C48" s="11"/>
      <c r="D48" s="2">
        <f>-17.41</f>
        <v>-17.41</v>
      </c>
      <c r="E48" s="2"/>
      <c r="F48" s="19"/>
      <c r="G48" s="2"/>
      <c r="H48" s="2"/>
      <c r="I48" s="2"/>
      <c r="J48" s="19"/>
      <c r="K48" s="2"/>
      <c r="L48" s="2">
        <f t="shared" si="0"/>
        <v>-17.41</v>
      </c>
      <c r="M48" s="2"/>
      <c r="N48" s="19">
        <f t="shared" si="1"/>
        <v>0</v>
      </c>
      <c r="O48" s="11"/>
      <c r="P48" s="2">
        <f>-17.41</f>
        <v>-17.41</v>
      </c>
      <c r="Q48" s="2"/>
      <c r="R48" s="19"/>
      <c r="S48" s="2"/>
      <c r="T48" s="2"/>
      <c r="U48" s="2"/>
      <c r="V48" s="19"/>
      <c r="W48" s="2"/>
      <c r="X48" s="2">
        <f t="shared" si="2"/>
        <v>-17.41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"4340", " - ", "SALES RETURN NON TAXABLE-LOGO")</f>
        <v xml:space="preserve">          4340 - SALES RETURN NON TAXABLE-LOGO</v>
      </c>
      <c r="C49" s="11"/>
      <c r="D49" s="2">
        <f>-143.74</f>
        <v>-143.74</v>
      </c>
      <c r="E49" s="2"/>
      <c r="F49" s="19"/>
      <c r="G49" s="2"/>
      <c r="H49" s="2"/>
      <c r="I49" s="2"/>
      <c r="J49" s="19"/>
      <c r="K49" s="2"/>
      <c r="L49" s="2">
        <f t="shared" si="0"/>
        <v>-143.74</v>
      </c>
      <c r="M49" s="2"/>
      <c r="N49" s="19">
        <f t="shared" si="1"/>
        <v>0</v>
      </c>
      <c r="O49" s="11"/>
      <c r="P49" s="2">
        <f>-3451.26</f>
        <v>-3451.26</v>
      </c>
      <c r="Q49" s="2"/>
      <c r="R49" s="19"/>
      <c r="S49" s="2"/>
      <c r="T49" s="2"/>
      <c r="U49" s="2"/>
      <c r="V49" s="19"/>
      <c r="W49" s="2"/>
      <c r="X49" s="2">
        <f t="shared" si="2"/>
        <v>-3451.26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"4341", " - ", "SALES RETURN NON TAXABLE-LOGO")</f>
        <v xml:space="preserve">          4341 - SALES RETURN NON TAXABLE-LOGO</v>
      </c>
      <c r="C50" s="11"/>
      <c r="D50" s="2">
        <f t="shared" ref="D50:D51" si="5"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-391.24</f>
        <v>-391.24</v>
      </c>
      <c r="Q50" s="2"/>
      <c r="R50" s="19"/>
      <c r="S50" s="2"/>
      <c r="T50" s="2"/>
      <c r="U50" s="2"/>
      <c r="V50" s="19"/>
      <c r="W50" s="2"/>
      <c r="X50" s="2">
        <f t="shared" si="2"/>
        <v>-391.24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"4342", " - ", "SALES RETURN NON TAXABLE-EVERY")</f>
        <v xml:space="preserve">          4342 - SALES RETURN NON TAXABLE-EVERY</v>
      </c>
      <c r="C51" s="11"/>
      <c r="D51" s="2">
        <f t="shared" si="5"/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-118.7</f>
        <v>-118.7</v>
      </c>
      <c r="Q51" s="2"/>
      <c r="R51" s="19"/>
      <c r="S51" s="2"/>
      <c r="T51" s="2"/>
      <c r="U51" s="2"/>
      <c r="V51" s="19"/>
      <c r="W51" s="2"/>
      <c r="X51" s="2">
        <f t="shared" si="2"/>
        <v>-118.7</v>
      </c>
      <c r="Y51" s="2"/>
      <c r="Z51" s="19">
        <f t="shared" si="3"/>
        <v>0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collapsed="1" x14ac:dyDescent="0.25">
      <c r="A53" s="10"/>
      <c r="B53" s="29" t="s">
        <v>257</v>
      </c>
      <c r="C53" s="10"/>
      <c r="D53" s="4">
        <f>SUM(OSRRefD16x_0)</f>
        <v>195650</v>
      </c>
      <c r="E53" s="4"/>
      <c r="F53" s="12">
        <f t="shared" ref="F53:F78" si="6">IF(D$12=0,0,D53/D$12)</f>
        <v>0.45487060518040529</v>
      </c>
      <c r="G53" s="4"/>
      <c r="H53" s="4">
        <f>SUM(OSRRefH16x_0)</f>
        <v>216074</v>
      </c>
      <c r="I53" s="4"/>
      <c r="J53" s="12">
        <f t="shared" ref="J53:J78" si="7">IF(H$12=0,0,H53/H$12)</f>
        <v>0.45848619813824992</v>
      </c>
      <c r="K53" s="4"/>
      <c r="L53" s="4">
        <f t="shared" ref="L53:L78" si="8">+D53-H53</f>
        <v>-20424</v>
      </c>
      <c r="M53" s="4"/>
      <c r="N53" s="12">
        <f t="shared" ref="N53:N78" si="9">IF(H53=0,0,L53/H53)</f>
        <v>-9.4523172616788692E-2</v>
      </c>
      <c r="O53" s="10"/>
      <c r="P53" s="4">
        <f>SUM(OSRRefP16x_0)</f>
        <v>1221495.5399999998</v>
      </c>
      <c r="Q53" s="4"/>
      <c r="R53" s="12">
        <f t="shared" ref="R53:R78" si="10">IF(P$12=0,0,P53/P$12)</f>
        <v>0.52716205614616163</v>
      </c>
      <c r="S53" s="4"/>
      <c r="T53" s="4">
        <f>SUM(OSRRefT16x_0)</f>
        <v>1727296</v>
      </c>
      <c r="U53" s="4"/>
      <c r="V53" s="12">
        <f t="shared" ref="V53:V78" si="11">IF(T$12=0,0,T53/T$12)</f>
        <v>0.45792771125222165</v>
      </c>
      <c r="W53" s="4"/>
      <c r="X53" s="4">
        <f t="shared" ref="X53:X78" si="12">+P53-T53</f>
        <v>-505800.4600000002</v>
      </c>
      <c r="Y53" s="4"/>
      <c r="Z53" s="12">
        <f t="shared" ref="Z53:Z78" si="13">IF(T53=0,0,X53/T53)</f>
        <v>-0.29282789979250817</v>
      </c>
    </row>
    <row r="54" spans="1:26" s="24" customFormat="1" hidden="1" outlineLevel="1" x14ac:dyDescent="0.25">
      <c r="A54" s="44"/>
      <c r="B54" s="11" t="str">
        <f>CONCATENATE("          ", "5000", " - ", "PURCHASES @ COST")</f>
        <v xml:space="preserve">          5000 - PURCHASES @ COST</v>
      </c>
      <c r="C54" s="11"/>
      <c r="D54" s="2"/>
      <c r="E54" s="2"/>
      <c r="F54" s="19">
        <f t="shared" si="6"/>
        <v>0</v>
      </c>
      <c r="G54" s="2"/>
      <c r="H54" s="2">
        <v>216074</v>
      </c>
      <c r="I54" s="2"/>
      <c r="J54" s="19">
        <f t="shared" si="7"/>
        <v>0.45848619813824992</v>
      </c>
      <c r="K54" s="2"/>
      <c r="L54" s="2">
        <f t="shared" si="8"/>
        <v>-216074</v>
      </c>
      <c r="M54" s="2"/>
      <c r="N54" s="19">
        <f t="shared" si="9"/>
        <v>-1</v>
      </c>
      <c r="O54" s="11"/>
      <c r="P54" s="2"/>
      <c r="Q54" s="2"/>
      <c r="R54" s="19">
        <f t="shared" si="10"/>
        <v>0</v>
      </c>
      <c r="S54" s="2"/>
      <c r="T54" s="2">
        <v>1727296</v>
      </c>
      <c r="U54" s="2"/>
      <c r="V54" s="19">
        <f t="shared" si="11"/>
        <v>0.45792771125222165</v>
      </c>
      <c r="W54" s="2"/>
      <c r="X54" s="2">
        <f t="shared" si="12"/>
        <v>-1727296</v>
      </c>
      <c r="Y54" s="2"/>
      <c r="Z54" s="19">
        <f t="shared" si="13"/>
        <v>-1</v>
      </c>
    </row>
    <row r="55" spans="1:26" s="24" customFormat="1" hidden="1" outlineLevel="1" x14ac:dyDescent="0.2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/>
      <c r="E55" s="2"/>
      <c r="F55" s="19">
        <f t="shared" si="6"/>
        <v>0</v>
      </c>
      <c r="G55" s="2"/>
      <c r="H55" s="2"/>
      <c r="I55" s="2"/>
      <c r="J55" s="19">
        <f t="shared" si="7"/>
        <v>0</v>
      </c>
      <c r="K55" s="2"/>
      <c r="L55" s="2">
        <f t="shared" si="8"/>
        <v>0</v>
      </c>
      <c r="M55" s="2"/>
      <c r="N55" s="19">
        <f t="shared" si="9"/>
        <v>0</v>
      </c>
      <c r="O55" s="11"/>
      <c r="P55" s="2">
        <v>599.29</v>
      </c>
      <c r="Q55" s="2"/>
      <c r="R55" s="19">
        <f t="shared" si="10"/>
        <v>2.5863618677464287E-4</v>
      </c>
      <c r="S55" s="2"/>
      <c r="T55" s="2"/>
      <c r="U55" s="2"/>
      <c r="V55" s="19">
        <f t="shared" si="11"/>
        <v>0</v>
      </c>
      <c r="W55" s="2"/>
      <c r="X55" s="2">
        <f t="shared" si="12"/>
        <v>599.29</v>
      </c>
      <c r="Y55" s="2"/>
      <c r="Z55" s="19">
        <f t="shared" si="13"/>
        <v>0</v>
      </c>
    </row>
    <row r="56" spans="1:26" s="24" customFormat="1" hidden="1" outlineLevel="1" x14ac:dyDescent="0.2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>
        <v>-2.0499999999999998</v>
      </c>
      <c r="E56" s="2"/>
      <c r="F56" s="19">
        <f t="shared" si="6"/>
        <v>-4.7660860752355264E-6</v>
      </c>
      <c r="G56" s="2"/>
      <c r="H56" s="2"/>
      <c r="I56" s="2"/>
      <c r="J56" s="19">
        <f t="shared" si="7"/>
        <v>0</v>
      </c>
      <c r="K56" s="2"/>
      <c r="L56" s="2">
        <f t="shared" si="8"/>
        <v>-2.0499999999999998</v>
      </c>
      <c r="M56" s="2"/>
      <c r="N56" s="19">
        <f t="shared" si="9"/>
        <v>0</v>
      </c>
      <c r="O56" s="11"/>
      <c r="P56" s="2">
        <v>217.59</v>
      </c>
      <c r="Q56" s="2"/>
      <c r="R56" s="19">
        <f t="shared" si="10"/>
        <v>9.3905534683199357E-5</v>
      </c>
      <c r="S56" s="2"/>
      <c r="T56" s="2"/>
      <c r="U56" s="2"/>
      <c r="V56" s="19">
        <f t="shared" si="11"/>
        <v>0</v>
      </c>
      <c r="W56" s="2"/>
      <c r="X56" s="2">
        <f t="shared" si="12"/>
        <v>217.59</v>
      </c>
      <c r="Y56" s="2"/>
      <c r="Z56" s="19">
        <f t="shared" si="13"/>
        <v>0</v>
      </c>
    </row>
    <row r="57" spans="1:26" s="24" customFormat="1" hidden="1" outlineLevel="1" x14ac:dyDescent="0.2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>
        <v>0.39</v>
      </c>
      <c r="E57" s="2"/>
      <c r="F57" s="19">
        <f t="shared" si="6"/>
        <v>9.0671881431310032E-7</v>
      </c>
      <c r="G57" s="2"/>
      <c r="H57" s="2"/>
      <c r="I57" s="2"/>
      <c r="J57" s="19">
        <f t="shared" si="7"/>
        <v>0</v>
      </c>
      <c r="K57" s="2"/>
      <c r="L57" s="2">
        <f t="shared" si="8"/>
        <v>0.39</v>
      </c>
      <c r="M57" s="2"/>
      <c r="N57" s="19">
        <f t="shared" si="9"/>
        <v>0</v>
      </c>
      <c r="O57" s="11"/>
      <c r="P57" s="2">
        <v>22839.52</v>
      </c>
      <c r="Q57" s="2"/>
      <c r="R57" s="19">
        <f t="shared" si="10"/>
        <v>9.856874569178848E-3</v>
      </c>
      <c r="S57" s="2"/>
      <c r="T57" s="2"/>
      <c r="U57" s="2"/>
      <c r="V57" s="19">
        <f t="shared" si="11"/>
        <v>0</v>
      </c>
      <c r="W57" s="2"/>
      <c r="X57" s="2">
        <f t="shared" si="12"/>
        <v>22839.52</v>
      </c>
      <c r="Y57" s="2"/>
      <c r="Z57" s="19">
        <f t="shared" si="13"/>
        <v>0</v>
      </c>
    </row>
    <row r="58" spans="1:26" s="24" customFormat="1" hidden="1" outlineLevel="1" x14ac:dyDescent="0.2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674.12</v>
      </c>
      <c r="E58" s="2"/>
      <c r="F58" s="19">
        <f t="shared" si="6"/>
        <v>1.5672750951403773E-3</v>
      </c>
      <c r="G58" s="2"/>
      <c r="H58" s="2"/>
      <c r="I58" s="2"/>
      <c r="J58" s="19">
        <f t="shared" si="7"/>
        <v>0</v>
      </c>
      <c r="K58" s="2"/>
      <c r="L58" s="2">
        <f t="shared" si="8"/>
        <v>674.12</v>
      </c>
      <c r="M58" s="2"/>
      <c r="N58" s="19">
        <f t="shared" si="9"/>
        <v>0</v>
      </c>
      <c r="O58" s="11"/>
      <c r="P58" s="2">
        <v>6238.89</v>
      </c>
      <c r="Q58" s="2"/>
      <c r="R58" s="19">
        <f t="shared" si="10"/>
        <v>2.6925240189331571E-3</v>
      </c>
      <c r="S58" s="2"/>
      <c r="T58" s="2"/>
      <c r="U58" s="2"/>
      <c r="V58" s="19">
        <f t="shared" si="11"/>
        <v>0</v>
      </c>
      <c r="W58" s="2"/>
      <c r="X58" s="2">
        <f t="shared" si="12"/>
        <v>6238.89</v>
      </c>
      <c r="Y58" s="2"/>
      <c r="Z58" s="19">
        <f t="shared" si="13"/>
        <v>0</v>
      </c>
    </row>
    <row r="59" spans="1:26" s="24" customFormat="1" hidden="1" outlineLevel="1" x14ac:dyDescent="0.25">
      <c r="A59" s="44"/>
      <c r="B59" s="11" t="str">
        <f>CONCATENATE("          ", "5031", " - ", "PURCHASES @ COST-FOOD")</f>
        <v xml:space="preserve">          5031 - PURCHASES @ COST-FOOD</v>
      </c>
      <c r="C59" s="11"/>
      <c r="D59" s="2">
        <v>280.37</v>
      </c>
      <c r="E59" s="2"/>
      <c r="F59" s="19">
        <f t="shared" si="6"/>
        <v>6.5183783068965113E-4</v>
      </c>
      <c r="G59" s="2"/>
      <c r="H59" s="2"/>
      <c r="I59" s="2"/>
      <c r="J59" s="19">
        <f t="shared" si="7"/>
        <v>0</v>
      </c>
      <c r="K59" s="2"/>
      <c r="L59" s="2">
        <f t="shared" si="8"/>
        <v>280.37</v>
      </c>
      <c r="M59" s="2"/>
      <c r="N59" s="19">
        <f t="shared" si="9"/>
        <v>0</v>
      </c>
      <c r="O59" s="11"/>
      <c r="P59" s="2">
        <v>5624.52</v>
      </c>
      <c r="Q59" s="2"/>
      <c r="R59" s="19">
        <f t="shared" si="10"/>
        <v>2.4273797414235418E-3</v>
      </c>
      <c r="S59" s="2"/>
      <c r="T59" s="2"/>
      <c r="U59" s="2"/>
      <c r="V59" s="19">
        <f t="shared" si="11"/>
        <v>0</v>
      </c>
      <c r="W59" s="2"/>
      <c r="X59" s="2">
        <f t="shared" si="12"/>
        <v>5624.52</v>
      </c>
      <c r="Y59" s="2"/>
      <c r="Z59" s="19">
        <f t="shared" si="13"/>
        <v>0</v>
      </c>
    </row>
    <row r="60" spans="1:26" s="24" customFormat="1" hidden="1" outlineLevel="1" x14ac:dyDescent="0.25">
      <c r="A60" s="44"/>
      <c r="B60" s="11" t="str">
        <f>CONCATENATE("          ", "5040", " - ", "PURCHASES @ COST-LOGO CLOTHING")</f>
        <v xml:space="preserve">          5040 - PURCHASES @ COST-LOGO CLOTHING</v>
      </c>
      <c r="C60" s="11"/>
      <c r="D60" s="2">
        <v>48288.73</v>
      </c>
      <c r="E60" s="2"/>
      <c r="F60" s="19">
        <f t="shared" si="6"/>
        <v>0.11226743592380881</v>
      </c>
      <c r="G60" s="2"/>
      <c r="H60" s="2"/>
      <c r="I60" s="2"/>
      <c r="J60" s="19">
        <f t="shared" si="7"/>
        <v>0</v>
      </c>
      <c r="K60" s="2"/>
      <c r="L60" s="2">
        <f t="shared" si="8"/>
        <v>48288.73</v>
      </c>
      <c r="M60" s="2"/>
      <c r="N60" s="19">
        <f t="shared" si="9"/>
        <v>0</v>
      </c>
      <c r="O60" s="11"/>
      <c r="P60" s="2">
        <v>327378.98</v>
      </c>
      <c r="Q60" s="2"/>
      <c r="R60" s="19">
        <f t="shared" si="10"/>
        <v>0.14128727497100246</v>
      </c>
      <c r="S60" s="2"/>
      <c r="T60" s="2"/>
      <c r="U60" s="2"/>
      <c r="V60" s="19">
        <f t="shared" si="11"/>
        <v>0</v>
      </c>
      <c r="W60" s="2"/>
      <c r="X60" s="2">
        <f t="shared" si="12"/>
        <v>327378.98</v>
      </c>
      <c r="Y60" s="2"/>
      <c r="Z60" s="19">
        <f t="shared" si="13"/>
        <v>0</v>
      </c>
    </row>
    <row r="61" spans="1:26" s="24" customFormat="1" hidden="1" outlineLevel="1" x14ac:dyDescent="0.25">
      <c r="A61" s="44"/>
      <c r="B61" s="11" t="str">
        <f>CONCATENATE("          ", "5041", " - ", "PURCHASES @ COST-LOGO GIFTS")</f>
        <v xml:space="preserve">          5041 - PURCHASES @ COST-LOGO GIFTS</v>
      </c>
      <c r="C61" s="11"/>
      <c r="D61" s="2">
        <v>22136.9</v>
      </c>
      <c r="E61" s="2"/>
      <c r="F61" s="19">
        <f t="shared" si="6"/>
        <v>5.1466522360429923E-2</v>
      </c>
      <c r="G61" s="2"/>
      <c r="H61" s="2"/>
      <c r="I61" s="2"/>
      <c r="J61" s="19">
        <f t="shared" si="7"/>
        <v>0</v>
      </c>
      <c r="K61" s="2"/>
      <c r="L61" s="2">
        <f t="shared" si="8"/>
        <v>22136.9</v>
      </c>
      <c r="M61" s="2"/>
      <c r="N61" s="19">
        <f t="shared" si="9"/>
        <v>0</v>
      </c>
      <c r="O61" s="11"/>
      <c r="P61" s="2">
        <v>106398.85</v>
      </c>
      <c r="Q61" s="2"/>
      <c r="R61" s="19">
        <f t="shared" si="10"/>
        <v>4.5918658481214791E-2</v>
      </c>
      <c r="S61" s="2"/>
      <c r="T61" s="2"/>
      <c r="U61" s="2"/>
      <c r="V61" s="19">
        <f t="shared" si="11"/>
        <v>0</v>
      </c>
      <c r="W61" s="2"/>
      <c r="X61" s="2">
        <f t="shared" si="12"/>
        <v>106398.85</v>
      </c>
      <c r="Y61" s="2"/>
      <c r="Z61" s="19">
        <f t="shared" si="13"/>
        <v>0</v>
      </c>
    </row>
    <row r="62" spans="1:26" s="24" customFormat="1" hidden="1" outlineLevel="1" x14ac:dyDescent="0.25">
      <c r="A62" s="44"/>
      <c r="B62" s="11" t="str">
        <f>CONCATENATE("          ", "5042", " - ", "PURCHASES @ COST-EVERYDAY GIFT")</f>
        <v xml:space="preserve">          5042 - PURCHASES @ COST-EVERYDAY GIFT</v>
      </c>
      <c r="C62" s="11"/>
      <c r="D62" s="2">
        <v>-0.11</v>
      </c>
      <c r="E62" s="2"/>
      <c r="F62" s="19">
        <f t="shared" si="6"/>
        <v>-2.5574120403702827E-7</v>
      </c>
      <c r="G62" s="2"/>
      <c r="H62" s="2"/>
      <c r="I62" s="2"/>
      <c r="J62" s="19">
        <f t="shared" si="7"/>
        <v>0</v>
      </c>
      <c r="K62" s="2"/>
      <c r="L62" s="2">
        <f t="shared" si="8"/>
        <v>-0.11</v>
      </c>
      <c r="M62" s="2"/>
      <c r="N62" s="19">
        <f t="shared" si="9"/>
        <v>0</v>
      </c>
      <c r="O62" s="11"/>
      <c r="P62" s="2">
        <v>18748.07</v>
      </c>
      <c r="Q62" s="2"/>
      <c r="R62" s="19">
        <f t="shared" si="10"/>
        <v>8.0911233863139361E-3</v>
      </c>
      <c r="S62" s="2"/>
      <c r="T62" s="2"/>
      <c r="U62" s="2"/>
      <c r="V62" s="19">
        <f t="shared" si="11"/>
        <v>0</v>
      </c>
      <c r="W62" s="2"/>
      <c r="X62" s="2">
        <f t="shared" si="12"/>
        <v>18748.07</v>
      </c>
      <c r="Y62" s="2"/>
      <c r="Z62" s="19">
        <f t="shared" si="13"/>
        <v>0</v>
      </c>
    </row>
    <row r="63" spans="1:26" s="24" customFormat="1" hidden="1" outlineLevel="1" x14ac:dyDescent="0.25">
      <c r="A63" s="44"/>
      <c r="B63" s="11" t="str">
        <f>CONCATENATE("          ", "5043", " - ", "PURCHASES @ COST-CARDS")</f>
        <v xml:space="preserve">          5043 - PURCHASES @ COST-CARDS</v>
      </c>
      <c r="C63" s="11"/>
      <c r="D63" s="2">
        <v>178</v>
      </c>
      <c r="E63" s="2"/>
      <c r="F63" s="19">
        <f t="shared" si="6"/>
        <v>4.1383576653264577E-4</v>
      </c>
      <c r="G63" s="2"/>
      <c r="H63" s="2"/>
      <c r="I63" s="2"/>
      <c r="J63" s="19">
        <f t="shared" si="7"/>
        <v>0</v>
      </c>
      <c r="K63" s="2"/>
      <c r="L63" s="2">
        <f t="shared" si="8"/>
        <v>178</v>
      </c>
      <c r="M63" s="2"/>
      <c r="N63" s="19">
        <f t="shared" si="9"/>
        <v>0</v>
      </c>
      <c r="O63" s="11"/>
      <c r="P63" s="2">
        <v>55583.33</v>
      </c>
      <c r="Q63" s="2"/>
      <c r="R63" s="19">
        <f t="shared" si="10"/>
        <v>2.3988153514052649E-2</v>
      </c>
      <c r="S63" s="2"/>
      <c r="T63" s="2"/>
      <c r="U63" s="2"/>
      <c r="V63" s="19">
        <f t="shared" si="11"/>
        <v>0</v>
      </c>
      <c r="W63" s="2"/>
      <c r="X63" s="2">
        <f t="shared" si="12"/>
        <v>55583.33</v>
      </c>
      <c r="Y63" s="2"/>
      <c r="Z63" s="19">
        <f t="shared" si="13"/>
        <v>0</v>
      </c>
    </row>
    <row r="64" spans="1:26" s="24" customFormat="1" hidden="1" outlineLevel="1" x14ac:dyDescent="0.25">
      <c r="A64" s="44"/>
      <c r="B64" s="11" t="str">
        <f>CONCATENATE("          ", "5044", " - ", "PURCHASES @ COST-ACCESSORIES")</f>
        <v xml:space="preserve">          5044 - PURCHASES @ COST-ACCESSORIES</v>
      </c>
      <c r="C64" s="11"/>
      <c r="D64" s="2"/>
      <c r="E64" s="2"/>
      <c r="F64" s="19">
        <f t="shared" si="6"/>
        <v>0</v>
      </c>
      <c r="G64" s="2"/>
      <c r="H64" s="2"/>
      <c r="I64" s="2"/>
      <c r="J64" s="19">
        <f t="shared" si="7"/>
        <v>0</v>
      </c>
      <c r="K64" s="2"/>
      <c r="L64" s="2">
        <f t="shared" si="8"/>
        <v>0</v>
      </c>
      <c r="M64" s="2"/>
      <c r="N64" s="19">
        <f t="shared" si="9"/>
        <v>0</v>
      </c>
      <c r="O64" s="11"/>
      <c r="P64" s="2">
        <v>2555.71</v>
      </c>
      <c r="Q64" s="2"/>
      <c r="R64" s="19">
        <f t="shared" si="10"/>
        <v>1.1029703297265473E-3</v>
      </c>
      <c r="S64" s="2"/>
      <c r="T64" s="2"/>
      <c r="U64" s="2"/>
      <c r="V64" s="19">
        <f t="shared" si="11"/>
        <v>0</v>
      </c>
      <c r="W64" s="2"/>
      <c r="X64" s="2">
        <f t="shared" si="12"/>
        <v>2555.71</v>
      </c>
      <c r="Y64" s="2"/>
      <c r="Z64" s="19">
        <f t="shared" si="13"/>
        <v>0</v>
      </c>
    </row>
    <row r="65" spans="1:26" s="24" customFormat="1" hidden="1" outlineLevel="1" x14ac:dyDescent="0.25">
      <c r="A65" s="44"/>
      <c r="B65" s="11" t="str">
        <f>CONCATENATE("          ", "5045", " - ", "PURCHASES @ COST-SPECIAL ORDER")</f>
        <v xml:space="preserve">          5045 - PURCHASES @ COST-SPECIAL ORDER</v>
      </c>
      <c r="C65" s="11"/>
      <c r="D65" s="2">
        <v>24141.17</v>
      </c>
      <c r="E65" s="2"/>
      <c r="F65" s="19">
        <f t="shared" si="6"/>
        <v>5.6126289842387142E-2</v>
      </c>
      <c r="G65" s="2"/>
      <c r="H65" s="2"/>
      <c r="I65" s="2"/>
      <c r="J65" s="19">
        <f t="shared" si="7"/>
        <v>0</v>
      </c>
      <c r="K65" s="2"/>
      <c r="L65" s="2">
        <f t="shared" si="8"/>
        <v>24141.17</v>
      </c>
      <c r="M65" s="2"/>
      <c r="N65" s="19">
        <f t="shared" si="9"/>
        <v>0</v>
      </c>
      <c r="O65" s="11"/>
      <c r="P65" s="2">
        <v>139139.24</v>
      </c>
      <c r="Q65" s="2"/>
      <c r="R65" s="19">
        <f t="shared" si="10"/>
        <v>6.0048461453256118E-2</v>
      </c>
      <c r="S65" s="2"/>
      <c r="T65" s="2"/>
      <c r="U65" s="2"/>
      <c r="V65" s="19">
        <f t="shared" si="11"/>
        <v>0</v>
      </c>
      <c r="W65" s="2"/>
      <c r="X65" s="2">
        <f t="shared" si="12"/>
        <v>139139.24</v>
      </c>
      <c r="Y65" s="2"/>
      <c r="Z65" s="19">
        <f t="shared" si="13"/>
        <v>0</v>
      </c>
    </row>
    <row r="66" spans="1:26" s="24" customFormat="1" hidden="1" outlineLevel="1" x14ac:dyDescent="0.25">
      <c r="A66" s="44"/>
      <c r="B66" s="11" t="str">
        <f>CONCATENATE("          ", "5086", " - ", "PURCHASES @ COST-COMPUTER SUPP")</f>
        <v xml:space="preserve">          5086 - PURCHASES @ COST-COMPUTER SUPP</v>
      </c>
      <c r="C66" s="11"/>
      <c r="D66" s="2"/>
      <c r="E66" s="2"/>
      <c r="F66" s="19">
        <f t="shared" si="6"/>
        <v>0</v>
      </c>
      <c r="G66" s="2"/>
      <c r="H66" s="2"/>
      <c r="I66" s="2"/>
      <c r="J66" s="19">
        <f t="shared" si="7"/>
        <v>0</v>
      </c>
      <c r="K66" s="2"/>
      <c r="L66" s="2">
        <f t="shared" si="8"/>
        <v>0</v>
      </c>
      <c r="M66" s="2"/>
      <c r="N66" s="19">
        <f t="shared" si="9"/>
        <v>0</v>
      </c>
      <c r="O66" s="11"/>
      <c r="P66" s="2">
        <v>13.21</v>
      </c>
      <c r="Q66" s="2"/>
      <c r="R66" s="19">
        <f t="shared" si="10"/>
        <v>5.7010529581555383E-6</v>
      </c>
      <c r="S66" s="2"/>
      <c r="T66" s="2"/>
      <c r="U66" s="2"/>
      <c r="V66" s="19">
        <f t="shared" si="11"/>
        <v>0</v>
      </c>
      <c r="W66" s="2"/>
      <c r="X66" s="2">
        <f t="shared" si="12"/>
        <v>13.21</v>
      </c>
      <c r="Y66" s="2"/>
      <c r="Z66" s="19">
        <f t="shared" si="13"/>
        <v>0</v>
      </c>
    </row>
    <row r="67" spans="1:26" s="24" customFormat="1" hidden="1" outlineLevel="1" x14ac:dyDescent="0.25">
      <c r="A67" s="44"/>
      <c r="B67" s="11" t="str">
        <f>CONCATENATE("          ", "5200", " - ", "PURCHASES OFFSET")</f>
        <v xml:space="preserve">          5200 - PURCHASES OFFSET</v>
      </c>
      <c r="C67" s="11"/>
      <c r="D67" s="2">
        <v>-98976.31</v>
      </c>
      <c r="E67" s="2"/>
      <c r="F67" s="19">
        <f t="shared" si="6"/>
        <v>-0.23011200627765602</v>
      </c>
      <c r="G67" s="2"/>
      <c r="H67" s="2"/>
      <c r="I67" s="2"/>
      <c r="J67" s="19">
        <f t="shared" si="7"/>
        <v>0</v>
      </c>
      <c r="K67" s="2"/>
      <c r="L67" s="2">
        <f t="shared" si="8"/>
        <v>-98976.31</v>
      </c>
      <c r="M67" s="2"/>
      <c r="N67" s="19">
        <f t="shared" si="9"/>
        <v>0</v>
      </c>
      <c r="O67" s="11"/>
      <c r="P67" s="2">
        <v>-713602.14</v>
      </c>
      <c r="Q67" s="2"/>
      <c r="R67" s="19">
        <f t="shared" si="10"/>
        <v>-0.30796999176329465</v>
      </c>
      <c r="S67" s="2"/>
      <c r="T67" s="2"/>
      <c r="U67" s="2"/>
      <c r="V67" s="19">
        <f t="shared" si="11"/>
        <v>0</v>
      </c>
      <c r="W67" s="2"/>
      <c r="X67" s="2">
        <f t="shared" si="12"/>
        <v>-713602.14</v>
      </c>
      <c r="Y67" s="2"/>
      <c r="Z67" s="19">
        <f t="shared" si="13"/>
        <v>0</v>
      </c>
    </row>
    <row r="68" spans="1:26" s="24" customFormat="1" hidden="1" outlineLevel="1" x14ac:dyDescent="0.25">
      <c r="A68" s="44"/>
      <c r="B68" s="11" t="str">
        <f>CONCATENATE("          ", "5300", " - ", "COG$ OFFSET")</f>
        <v xml:space="preserve">          5300 - COG$ OFFSET</v>
      </c>
      <c r="C68" s="11"/>
      <c r="D68" s="2">
        <v>195650</v>
      </c>
      <c r="E68" s="2"/>
      <c r="F68" s="19">
        <f t="shared" si="6"/>
        <v>0.45487060518040529</v>
      </c>
      <c r="G68" s="2"/>
      <c r="H68" s="2"/>
      <c r="I68" s="2"/>
      <c r="J68" s="19">
        <f t="shared" si="7"/>
        <v>0</v>
      </c>
      <c r="K68" s="2"/>
      <c r="L68" s="2">
        <f t="shared" si="8"/>
        <v>195650</v>
      </c>
      <c r="M68" s="2"/>
      <c r="N68" s="19">
        <f t="shared" si="9"/>
        <v>0</v>
      </c>
      <c r="O68" s="11"/>
      <c r="P68" s="2">
        <v>1220579</v>
      </c>
      <c r="Q68" s="2"/>
      <c r="R68" s="19">
        <f t="shared" si="10"/>
        <v>0.52676650405848058</v>
      </c>
      <c r="S68" s="2"/>
      <c r="T68" s="2"/>
      <c r="U68" s="2"/>
      <c r="V68" s="19">
        <f t="shared" si="11"/>
        <v>0</v>
      </c>
      <c r="W68" s="2"/>
      <c r="X68" s="2">
        <f t="shared" si="12"/>
        <v>1220579</v>
      </c>
      <c r="Y68" s="2"/>
      <c r="Z68" s="19">
        <f t="shared" si="13"/>
        <v>0</v>
      </c>
    </row>
    <row r="69" spans="1:26" s="24" customFormat="1" hidden="1" outlineLevel="1" x14ac:dyDescent="0.25">
      <c r="A69" s="44"/>
      <c r="B69" s="11" t="str">
        <f>CONCATENATE("          ", "5500", " - ", "FREIGHT-IN")</f>
        <v xml:space="preserve">          5500 - FREIGHT-IN</v>
      </c>
      <c r="C69" s="11"/>
      <c r="D69" s="2">
        <v>0</v>
      </c>
      <c r="E69" s="2"/>
      <c r="F69" s="19">
        <f t="shared" si="6"/>
        <v>0</v>
      </c>
      <c r="G69" s="2"/>
      <c r="H69" s="2"/>
      <c r="I69" s="2"/>
      <c r="J69" s="19">
        <f t="shared" si="7"/>
        <v>0</v>
      </c>
      <c r="K69" s="2"/>
      <c r="L69" s="2">
        <f t="shared" si="8"/>
        <v>0</v>
      </c>
      <c r="M69" s="2"/>
      <c r="N69" s="19">
        <f t="shared" si="9"/>
        <v>0</v>
      </c>
      <c r="O69" s="11"/>
      <c r="P69" s="2">
        <v>0</v>
      </c>
      <c r="Q69" s="2"/>
      <c r="R69" s="19">
        <f t="shared" si="10"/>
        <v>0</v>
      </c>
      <c r="S69" s="2"/>
      <c r="T69" s="2"/>
      <c r="U69" s="2"/>
      <c r="V69" s="19">
        <f t="shared" si="11"/>
        <v>0</v>
      </c>
      <c r="W69" s="2"/>
      <c r="X69" s="2">
        <f t="shared" si="12"/>
        <v>0</v>
      </c>
      <c r="Y69" s="2"/>
      <c r="Z69" s="19">
        <f t="shared" si="13"/>
        <v>0</v>
      </c>
    </row>
    <row r="70" spans="1:26" s="24" customFormat="1" hidden="1" outlineLevel="1" x14ac:dyDescent="0.25">
      <c r="A70" s="44"/>
      <c r="B70" s="11" t="str">
        <f>CONCATENATE("          ", "5525", " - ", "FREIGHT-IN-TEST FORMS")</f>
        <v xml:space="preserve">          5525 - FREIGHT-IN-TEST FORMS</v>
      </c>
      <c r="C70" s="11"/>
      <c r="D70" s="2"/>
      <c r="E70" s="2"/>
      <c r="F70" s="19">
        <f t="shared" si="6"/>
        <v>0</v>
      </c>
      <c r="G70" s="2"/>
      <c r="H70" s="2"/>
      <c r="I70" s="2"/>
      <c r="J70" s="19">
        <f t="shared" si="7"/>
        <v>0</v>
      </c>
      <c r="K70" s="2"/>
      <c r="L70" s="2">
        <f t="shared" si="8"/>
        <v>0</v>
      </c>
      <c r="M70" s="2"/>
      <c r="N70" s="19">
        <f t="shared" si="9"/>
        <v>0</v>
      </c>
      <c r="O70" s="11"/>
      <c r="P70" s="2">
        <v>48.14</v>
      </c>
      <c r="Q70" s="2"/>
      <c r="R70" s="19">
        <f t="shared" si="10"/>
        <v>2.0775828115488841E-5</v>
      </c>
      <c r="S70" s="2"/>
      <c r="T70" s="2"/>
      <c r="U70" s="2"/>
      <c r="V70" s="19">
        <f t="shared" si="11"/>
        <v>0</v>
      </c>
      <c r="W70" s="2"/>
      <c r="X70" s="2">
        <f t="shared" si="12"/>
        <v>48.14</v>
      </c>
      <c r="Y70" s="2"/>
      <c r="Z70" s="19">
        <f t="shared" si="13"/>
        <v>0</v>
      </c>
    </row>
    <row r="71" spans="1:26" s="24" customFormat="1" hidden="1" outlineLevel="1" x14ac:dyDescent="0.25">
      <c r="A71" s="44"/>
      <c r="B71" s="11" t="str">
        <f>CONCATENATE("          ", "5526", " - ", "FREIGHT-IN-WRITING INSTRUMENTS")</f>
        <v xml:space="preserve">          5526 - FREIGHT-IN-WRITING INSTRUMENTS</v>
      </c>
      <c r="C71" s="11"/>
      <c r="D71" s="2"/>
      <c r="E71" s="2"/>
      <c r="F71" s="19">
        <f t="shared" si="6"/>
        <v>0</v>
      </c>
      <c r="G71" s="2"/>
      <c r="H71" s="2"/>
      <c r="I71" s="2"/>
      <c r="J71" s="19">
        <f t="shared" si="7"/>
        <v>0</v>
      </c>
      <c r="K71" s="2"/>
      <c r="L71" s="2">
        <f t="shared" si="8"/>
        <v>0</v>
      </c>
      <c r="M71" s="2"/>
      <c r="N71" s="19">
        <f t="shared" si="9"/>
        <v>0</v>
      </c>
      <c r="O71" s="11"/>
      <c r="P71" s="2">
        <v>0</v>
      </c>
      <c r="Q71" s="2"/>
      <c r="R71" s="19">
        <f t="shared" si="10"/>
        <v>0</v>
      </c>
      <c r="S71" s="2"/>
      <c r="T71" s="2"/>
      <c r="U71" s="2"/>
      <c r="V71" s="19">
        <f t="shared" si="11"/>
        <v>0</v>
      </c>
      <c r="W71" s="2"/>
      <c r="X71" s="2">
        <f t="shared" si="12"/>
        <v>0</v>
      </c>
      <c r="Y71" s="2"/>
      <c r="Z71" s="19">
        <f t="shared" si="13"/>
        <v>0</v>
      </c>
    </row>
    <row r="72" spans="1:26" s="24" customFormat="1" hidden="1" outlineLevel="1" x14ac:dyDescent="0.25">
      <c r="A72" s="44"/>
      <c r="B72" s="11" t="str">
        <f>CONCATENATE("          ", "5527", " - ", "FREIGHT-IN-SCHOOL SUPPLIES")</f>
        <v xml:space="preserve">          5527 - FREIGHT-IN-SCHOOL SUPPLIES</v>
      </c>
      <c r="C72" s="11"/>
      <c r="D72" s="2"/>
      <c r="E72" s="2"/>
      <c r="F72" s="19">
        <f t="shared" si="6"/>
        <v>0</v>
      </c>
      <c r="G72" s="2"/>
      <c r="H72" s="2"/>
      <c r="I72" s="2"/>
      <c r="J72" s="19">
        <f t="shared" si="7"/>
        <v>0</v>
      </c>
      <c r="K72" s="2"/>
      <c r="L72" s="2">
        <f t="shared" si="8"/>
        <v>0</v>
      </c>
      <c r="M72" s="2"/>
      <c r="N72" s="19">
        <f t="shared" si="9"/>
        <v>0</v>
      </c>
      <c r="O72" s="11"/>
      <c r="P72" s="2">
        <v>218.62</v>
      </c>
      <c r="Q72" s="2"/>
      <c r="R72" s="19">
        <f t="shared" si="10"/>
        <v>9.4350052816954115E-5</v>
      </c>
      <c r="S72" s="2"/>
      <c r="T72" s="2"/>
      <c r="U72" s="2"/>
      <c r="V72" s="19">
        <f t="shared" si="11"/>
        <v>0</v>
      </c>
      <c r="W72" s="2"/>
      <c r="X72" s="2">
        <f t="shared" si="12"/>
        <v>218.62</v>
      </c>
      <c r="Y72" s="2"/>
      <c r="Z72" s="19">
        <f t="shared" si="13"/>
        <v>0</v>
      </c>
    </row>
    <row r="73" spans="1:26" s="24" customFormat="1" hidden="1" outlineLevel="1" x14ac:dyDescent="0.25">
      <c r="A73" s="44"/>
      <c r="B73" s="11" t="str">
        <f>CONCATENATE("          ", "5528", " - ", "FREIGHT-IN-ART/TECH")</f>
        <v xml:space="preserve">          5528 - FREIGHT-IN-ART/TECH</v>
      </c>
      <c r="C73" s="11"/>
      <c r="D73" s="2"/>
      <c r="E73" s="2"/>
      <c r="F73" s="19">
        <f t="shared" si="6"/>
        <v>0</v>
      </c>
      <c r="G73" s="2"/>
      <c r="H73" s="2"/>
      <c r="I73" s="2"/>
      <c r="J73" s="19">
        <f t="shared" si="7"/>
        <v>0</v>
      </c>
      <c r="K73" s="2"/>
      <c r="L73" s="2">
        <f t="shared" si="8"/>
        <v>0</v>
      </c>
      <c r="M73" s="2"/>
      <c r="N73" s="19">
        <f t="shared" si="9"/>
        <v>0</v>
      </c>
      <c r="O73" s="11"/>
      <c r="P73" s="2">
        <v>176.91</v>
      </c>
      <c r="Q73" s="2"/>
      <c r="R73" s="19">
        <f t="shared" si="10"/>
        <v>7.6349226254905094E-5</v>
      </c>
      <c r="S73" s="2"/>
      <c r="T73" s="2"/>
      <c r="U73" s="2"/>
      <c r="V73" s="19">
        <f t="shared" si="11"/>
        <v>0</v>
      </c>
      <c r="W73" s="2"/>
      <c r="X73" s="2">
        <f t="shared" si="12"/>
        <v>176.91</v>
      </c>
      <c r="Y73" s="2"/>
      <c r="Z73" s="19">
        <f t="shared" si="13"/>
        <v>0</v>
      </c>
    </row>
    <row r="74" spans="1:26" s="24" customFormat="1" hidden="1" outlineLevel="1" x14ac:dyDescent="0.25">
      <c r="A74" s="44"/>
      <c r="B74" s="11" t="str">
        <f>CONCATENATE("          ", "5540", " - ", "FREIGHT-IN-LOGO CLOTHING")</f>
        <v xml:space="preserve">          5540 - FREIGHT-IN-LOGO CLOTHING</v>
      </c>
      <c r="C74" s="11"/>
      <c r="D74" s="2">
        <v>1283.68</v>
      </c>
      <c r="E74" s="2"/>
      <c r="F74" s="19">
        <f t="shared" si="6"/>
        <v>2.9844533527113863E-3</v>
      </c>
      <c r="G74" s="2"/>
      <c r="H74" s="2"/>
      <c r="I74" s="2"/>
      <c r="J74" s="19">
        <f t="shared" si="7"/>
        <v>0</v>
      </c>
      <c r="K74" s="2"/>
      <c r="L74" s="2">
        <f t="shared" si="8"/>
        <v>1283.68</v>
      </c>
      <c r="M74" s="2"/>
      <c r="N74" s="19">
        <f t="shared" si="9"/>
        <v>0</v>
      </c>
      <c r="O74" s="11"/>
      <c r="P74" s="2">
        <v>10499.7</v>
      </c>
      <c r="Q74" s="2"/>
      <c r="R74" s="19">
        <f t="shared" si="10"/>
        <v>4.5313660669754514E-3</v>
      </c>
      <c r="S74" s="2"/>
      <c r="T74" s="2"/>
      <c r="U74" s="2"/>
      <c r="V74" s="19">
        <f t="shared" si="11"/>
        <v>0</v>
      </c>
      <c r="W74" s="2"/>
      <c r="X74" s="2">
        <f t="shared" si="12"/>
        <v>10499.7</v>
      </c>
      <c r="Y74" s="2"/>
      <c r="Z74" s="19">
        <f t="shared" si="13"/>
        <v>0</v>
      </c>
    </row>
    <row r="75" spans="1:26" s="24" customFormat="1" hidden="1" outlineLevel="1" x14ac:dyDescent="0.25">
      <c r="A75" s="44"/>
      <c r="B75" s="11" t="str">
        <f>CONCATENATE("          ", "5541", " - ", "FREIGHT-IN-LOGO GIFTS")</f>
        <v xml:space="preserve">          5541 - FREIGHT-IN-LOGO GIFTS</v>
      </c>
      <c r="C75" s="11"/>
      <c r="D75" s="2">
        <v>961.21</v>
      </c>
      <c r="E75" s="2"/>
      <c r="F75" s="19">
        <f t="shared" si="6"/>
        <v>2.2347363884766542E-3</v>
      </c>
      <c r="G75" s="2"/>
      <c r="H75" s="2"/>
      <c r="I75" s="2"/>
      <c r="J75" s="19">
        <f t="shared" si="7"/>
        <v>0</v>
      </c>
      <c r="K75" s="2"/>
      <c r="L75" s="2">
        <f t="shared" si="8"/>
        <v>961.21</v>
      </c>
      <c r="M75" s="2"/>
      <c r="N75" s="19">
        <f t="shared" si="9"/>
        <v>0</v>
      </c>
      <c r="O75" s="11"/>
      <c r="P75" s="2">
        <v>5977.2</v>
      </c>
      <c r="Q75" s="2"/>
      <c r="R75" s="19">
        <f t="shared" si="10"/>
        <v>2.5795862029891962E-3</v>
      </c>
      <c r="S75" s="2"/>
      <c r="T75" s="2"/>
      <c r="U75" s="2"/>
      <c r="V75" s="19">
        <f t="shared" si="11"/>
        <v>0</v>
      </c>
      <c r="W75" s="2"/>
      <c r="X75" s="2">
        <f t="shared" si="12"/>
        <v>5977.2</v>
      </c>
      <c r="Y75" s="2"/>
      <c r="Z75" s="19">
        <f t="shared" si="13"/>
        <v>0</v>
      </c>
    </row>
    <row r="76" spans="1:26" s="24" customFormat="1" hidden="1" outlineLevel="1" x14ac:dyDescent="0.25">
      <c r="A76" s="44"/>
      <c r="B76" s="11" t="str">
        <f>CONCATENATE("          ", "5542", " - ", "FREIGHT-IN-EVERYDAY GIFTS")</f>
        <v xml:space="preserve">          5542 - FREIGHT-IN-EVERYDAY GIFTS</v>
      </c>
      <c r="C76" s="11"/>
      <c r="D76" s="2"/>
      <c r="E76" s="2"/>
      <c r="F76" s="19">
        <f t="shared" si="6"/>
        <v>0</v>
      </c>
      <c r="G76" s="2"/>
      <c r="H76" s="2"/>
      <c r="I76" s="2"/>
      <c r="J76" s="19">
        <f t="shared" si="7"/>
        <v>0</v>
      </c>
      <c r="K76" s="2"/>
      <c r="L76" s="2">
        <f t="shared" si="8"/>
        <v>0</v>
      </c>
      <c r="M76" s="2"/>
      <c r="N76" s="19">
        <f t="shared" si="9"/>
        <v>0</v>
      </c>
      <c r="O76" s="11"/>
      <c r="P76" s="2">
        <v>681.72</v>
      </c>
      <c r="Q76" s="2"/>
      <c r="R76" s="19">
        <f t="shared" si="10"/>
        <v>2.9421058460513198E-4</v>
      </c>
      <c r="S76" s="2"/>
      <c r="T76" s="2"/>
      <c r="U76" s="2"/>
      <c r="V76" s="19">
        <f t="shared" si="11"/>
        <v>0</v>
      </c>
      <c r="W76" s="2"/>
      <c r="X76" s="2">
        <f t="shared" si="12"/>
        <v>681.72</v>
      </c>
      <c r="Y76" s="2"/>
      <c r="Z76" s="19">
        <f t="shared" si="13"/>
        <v>0</v>
      </c>
    </row>
    <row r="77" spans="1:26" s="24" customFormat="1" hidden="1" outlineLevel="1" x14ac:dyDescent="0.25">
      <c r="A77" s="44"/>
      <c r="B77" s="11" t="str">
        <f>CONCATENATE("          ", "5543", " - ", "FREIGHT-IN-CARDS")</f>
        <v xml:space="preserve">          5543 - FREIGHT-IN-CARDS</v>
      </c>
      <c r="C77" s="11"/>
      <c r="D77" s="2"/>
      <c r="E77" s="2"/>
      <c r="F77" s="19">
        <f t="shared" si="6"/>
        <v>0</v>
      </c>
      <c r="G77" s="2"/>
      <c r="H77" s="2"/>
      <c r="I77" s="2"/>
      <c r="J77" s="19">
        <f t="shared" si="7"/>
        <v>0</v>
      </c>
      <c r="K77" s="2"/>
      <c r="L77" s="2">
        <f t="shared" si="8"/>
        <v>0</v>
      </c>
      <c r="M77" s="2"/>
      <c r="N77" s="19">
        <f t="shared" si="9"/>
        <v>0</v>
      </c>
      <c r="O77" s="11"/>
      <c r="P77" s="2">
        <v>9110.5300000000007</v>
      </c>
      <c r="Q77" s="2"/>
      <c r="R77" s="19">
        <f t="shared" si="10"/>
        <v>3.9318405758413917E-3</v>
      </c>
      <c r="S77" s="2"/>
      <c r="T77" s="2"/>
      <c r="U77" s="2"/>
      <c r="V77" s="19">
        <f t="shared" si="11"/>
        <v>0</v>
      </c>
      <c r="W77" s="2"/>
      <c r="X77" s="2">
        <f t="shared" si="12"/>
        <v>9110.5300000000007</v>
      </c>
      <c r="Y77" s="2"/>
      <c r="Z77" s="19">
        <f t="shared" si="13"/>
        <v>0</v>
      </c>
    </row>
    <row r="78" spans="1:26" s="24" customFormat="1" hidden="1" outlineLevel="1" x14ac:dyDescent="0.25">
      <c r="A78" s="44"/>
      <c r="B78" s="11" t="str">
        <f>CONCATENATE("          ", "5545", " - ", "FREIGHT-IN-SPECIAL ORDERS")</f>
        <v xml:space="preserve">          5545 - FREIGHT-IN-SPECIAL ORDERS</v>
      </c>
      <c r="C78" s="11"/>
      <c r="D78" s="2">
        <v>1033.9000000000001</v>
      </c>
      <c r="E78" s="2"/>
      <c r="F78" s="19">
        <f t="shared" si="6"/>
        <v>2.403734825944396E-3</v>
      </c>
      <c r="G78" s="2"/>
      <c r="H78" s="2"/>
      <c r="I78" s="2"/>
      <c r="J78" s="19">
        <f t="shared" si="7"/>
        <v>0</v>
      </c>
      <c r="K78" s="2"/>
      <c r="L78" s="2">
        <f t="shared" si="8"/>
        <v>1033.9000000000001</v>
      </c>
      <c r="M78" s="2"/>
      <c r="N78" s="19">
        <f t="shared" si="9"/>
        <v>0</v>
      </c>
      <c r="O78" s="11"/>
      <c r="P78" s="2">
        <v>2468.66</v>
      </c>
      <c r="Q78" s="2"/>
      <c r="R78" s="19">
        <f t="shared" si="10"/>
        <v>1.0654020738592165E-3</v>
      </c>
      <c r="S78" s="2"/>
      <c r="T78" s="2"/>
      <c r="U78" s="2"/>
      <c r="V78" s="19">
        <f t="shared" si="11"/>
        <v>0</v>
      </c>
      <c r="W78" s="2"/>
      <c r="X78" s="2">
        <f t="shared" si="12"/>
        <v>2468.66</v>
      </c>
      <c r="Y78" s="2"/>
      <c r="Z78" s="19">
        <f t="shared" si="13"/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108</v>
      </c>
      <c r="C80" s="28"/>
      <c r="D80" s="20">
        <f>D12-D53</f>
        <v>234472.32000000012</v>
      </c>
      <c r="E80" s="14"/>
      <c r="F80" s="21">
        <f>IF(D$12=0,0,D80/D$12)</f>
        <v>0.54512939481959466</v>
      </c>
      <c r="G80" s="14"/>
      <c r="H80" s="20">
        <f>H12-H53</f>
        <v>255203</v>
      </c>
      <c r="I80" s="14"/>
      <c r="J80" s="21">
        <f>IF(H$12=0,0,H80/H$12)</f>
        <v>0.54151380186175013</v>
      </c>
      <c r="K80" s="15"/>
      <c r="L80" s="20">
        <f>+D80-H80</f>
        <v>-20730.679999999877</v>
      </c>
      <c r="M80" s="15"/>
      <c r="N80" s="21">
        <f>IF(H80=0,0,L80/H80)</f>
        <v>-8.1232117177305427E-2</v>
      </c>
      <c r="O80" s="29"/>
      <c r="P80" s="20">
        <f>P12-P53</f>
        <v>1095620.280000001</v>
      </c>
      <c r="Q80" s="14"/>
      <c r="R80" s="21">
        <f>IF(P$12=0,0,P80/P$12)</f>
        <v>0.47283794385383837</v>
      </c>
      <c r="S80" s="14"/>
      <c r="T80" s="20">
        <f>T12-T53</f>
        <v>2044688</v>
      </c>
      <c r="U80" s="14"/>
      <c r="V80" s="21">
        <f>IF(T$12=0,0,T80/T$12)</f>
        <v>0.54207228874777835</v>
      </c>
      <c r="W80" s="15"/>
      <c r="X80" s="20">
        <f>+P80-T80</f>
        <v>-949067.71999999904</v>
      </c>
      <c r="Y80" s="15"/>
      <c r="Z80" s="21">
        <f>IF(T80=0,0,X80/T80)</f>
        <v>-0.46416261062812469</v>
      </c>
    </row>
    <row r="81" spans="1:26" x14ac:dyDescent="0.25">
      <c r="A81" s="9"/>
      <c r="B81" s="10"/>
      <c r="C81" s="9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9" t="s">
        <v>295</v>
      </c>
      <c r="C82" s="10"/>
      <c r="D82" s="22">
        <f>SUM(OSRRefD22x_0)</f>
        <v>64886.429999999993</v>
      </c>
      <c r="E82" s="22"/>
      <c r="F82" s="31">
        <f t="shared" ref="F82:F92" si="14">IF(D$12=0,0,D82/D$12)</f>
        <v>0.15085576121694866</v>
      </c>
      <c r="G82" s="22"/>
      <c r="H82" s="22">
        <f>SUM(OSRRefH22x_0)</f>
        <v>133698.27330192304</v>
      </c>
      <c r="I82" s="22"/>
      <c r="J82" s="31">
        <f t="shared" ref="J82:J92" si="15">IF(H$12=0,0,H82/H$12)</f>
        <v>0.28369360970707891</v>
      </c>
      <c r="K82" s="4"/>
      <c r="L82" s="22">
        <f t="shared" ref="L82:L92" si="16">+D82-H82</f>
        <v>-68811.843301923043</v>
      </c>
      <c r="M82" s="4"/>
      <c r="N82" s="31">
        <f t="shared" ref="N82:N92" si="17">IF(H82=0,0,L82/H82)</f>
        <v>-0.51468011966414295</v>
      </c>
      <c r="O82" s="10"/>
      <c r="P82" s="22">
        <f>SUM(OSRRefP22x_0)</f>
        <v>754473.89000000036</v>
      </c>
      <c r="Q82" s="22"/>
      <c r="R82" s="31">
        <f t="shared" ref="R82:R92" si="18">IF(P$12=0,0,P82/P$12)</f>
        <v>0.32560905393153811</v>
      </c>
      <c r="S82" s="22"/>
      <c r="T82" s="22">
        <f>SUM(OSRRefT22x_0)</f>
        <v>1418430.2924480764</v>
      </c>
      <c r="U82" s="22"/>
      <c r="V82" s="31">
        <f t="shared" ref="V82:V92" si="19">IF(T$12=0,0,T82/T$12)</f>
        <v>0.37604356021872742</v>
      </c>
      <c r="W82" s="4"/>
      <c r="X82" s="22">
        <f t="shared" ref="X82:X92" si="20">+P82-T82</f>
        <v>-663956.40244807606</v>
      </c>
      <c r="Y82" s="4"/>
      <c r="Z82" s="31">
        <f t="shared" ref="Z82:Z92" si="21">IF(T82=0,0,X82/T82)</f>
        <v>-0.46809237364928957</v>
      </c>
    </row>
    <row r="83" spans="1:26" s="27" customFormat="1" outlineLevel="1" collapsed="1" x14ac:dyDescent="0.25">
      <c r="A83" s="26"/>
      <c r="B83" s="13" t="str">
        <f>CONCATENATE("     ","*Benefits                                         ")</f>
        <v xml:space="preserve">     *Benefits                                         </v>
      </c>
      <c r="C83" s="13"/>
      <c r="D83" s="1">
        <f>SUM(OSRRefD22_0x_0)</f>
        <v>13954.170000000002</v>
      </c>
      <c r="E83" s="1"/>
      <c r="F83" s="5">
        <f t="shared" si="14"/>
        <v>3.2442329428521634E-2</v>
      </c>
      <c r="G83" s="1"/>
      <c r="H83" s="1">
        <f>SUM(OSRRefH22_0x_0)</f>
        <v>13924.931763461529</v>
      </c>
      <c r="I83" s="1"/>
      <c r="J83" s="5">
        <f t="shared" si="15"/>
        <v>2.9547233927099199E-2</v>
      </c>
      <c r="K83" s="1"/>
      <c r="L83" s="1">
        <f t="shared" si="16"/>
        <v>29.238236538472847</v>
      </c>
      <c r="M83" s="1"/>
      <c r="N83" s="5">
        <f t="shared" si="17"/>
        <v>2.0997041159794279E-3</v>
      </c>
      <c r="O83" s="13"/>
      <c r="P83" s="1">
        <f>SUM(OSRRefP22_0x_0)</f>
        <v>163642.91</v>
      </c>
      <c r="Q83" s="1"/>
      <c r="R83" s="5">
        <f t="shared" si="18"/>
        <v>7.0623534908151445E-2</v>
      </c>
      <c r="S83" s="1"/>
      <c r="T83" s="1">
        <f>SUM(OSRRefT22_0x_0)</f>
        <v>165258.7389865384</v>
      </c>
      <c r="U83" s="1"/>
      <c r="V83" s="5">
        <f t="shared" si="19"/>
        <v>4.3812152699093741E-2</v>
      </c>
      <c r="W83" s="1"/>
      <c r="X83" s="1">
        <f t="shared" si="20"/>
        <v>-1615.8289865383995</v>
      </c>
      <c r="Y83" s="1"/>
      <c r="Z83" s="5">
        <f t="shared" si="21"/>
        <v>-9.7775705929235082E-3</v>
      </c>
    </row>
    <row r="84" spans="1:26" s="24" customFormat="1" hidden="1" outlineLevel="2" x14ac:dyDescent="0.25">
      <c r="A84" s="25"/>
      <c r="B84" s="11" t="str">
        <f>CONCATENATE("          ", "6111", " - ", "F.I.C.A.")</f>
        <v xml:space="preserve">          6111 - F.I.C.A.</v>
      </c>
      <c r="C84" s="11"/>
      <c r="D84" s="7">
        <v>2716.71</v>
      </c>
      <c r="E84" s="2"/>
      <c r="F84" s="6">
        <f t="shared" si="14"/>
        <v>6.3161335129039552E-3</v>
      </c>
      <c r="G84" s="2"/>
      <c r="H84" s="7">
        <v>1783.21375615385</v>
      </c>
      <c r="I84" s="2"/>
      <c r="J84" s="6">
        <f t="shared" si="15"/>
        <v>3.7837911804604299E-3</v>
      </c>
      <c r="K84" s="2"/>
      <c r="L84" s="7">
        <f t="shared" si="16"/>
        <v>933.49624384615004</v>
      </c>
      <c r="M84" s="2"/>
      <c r="N84" s="6">
        <f t="shared" si="17"/>
        <v>0.52349093911185085</v>
      </c>
      <c r="O84" s="11"/>
      <c r="P84" s="7">
        <v>32585.360000000001</v>
      </c>
      <c r="Q84" s="2"/>
      <c r="R84" s="6">
        <f t="shared" si="18"/>
        <v>1.4062896519346189E-2</v>
      </c>
      <c r="S84" s="2"/>
      <c r="T84" s="7">
        <v>27281.885353846199</v>
      </c>
      <c r="U84" s="2"/>
      <c r="V84" s="6">
        <f t="shared" si="19"/>
        <v>7.2327680482860476E-3</v>
      </c>
      <c r="W84" s="2"/>
      <c r="X84" s="7">
        <f t="shared" si="20"/>
        <v>5303.4746461538016</v>
      </c>
      <c r="Y84" s="2"/>
      <c r="Z84" s="6">
        <f t="shared" si="21"/>
        <v>0.19439545974802352</v>
      </c>
    </row>
    <row r="85" spans="1:26" s="24" customFormat="1" hidden="1" outlineLevel="2" x14ac:dyDescent="0.25">
      <c r="A85" s="25"/>
      <c r="B85" s="11" t="str">
        <f>CONCATENATE("          ", "6112", " - ", "COMPENSATION INSURANCE")</f>
        <v xml:space="preserve">          6112 - COMPENSATION INSURANCE</v>
      </c>
      <c r="C85" s="11"/>
      <c r="D85" s="7">
        <v>1119.1099999999999</v>
      </c>
      <c r="E85" s="2"/>
      <c r="F85" s="6">
        <f t="shared" si="14"/>
        <v>2.6018412622716243E-3</v>
      </c>
      <c r="G85" s="2"/>
      <c r="H85" s="7">
        <v>1227.6136788461499</v>
      </c>
      <c r="I85" s="2"/>
      <c r="J85" s="6">
        <f t="shared" si="15"/>
        <v>2.6048665197880437E-3</v>
      </c>
      <c r="K85" s="2"/>
      <c r="L85" s="7">
        <f t="shared" si="16"/>
        <v>-108.50367884615002</v>
      </c>
      <c r="M85" s="2"/>
      <c r="N85" s="6">
        <f t="shared" si="17"/>
        <v>-8.8385850301158295E-2</v>
      </c>
      <c r="O85" s="11"/>
      <c r="P85" s="7">
        <v>11045.23</v>
      </c>
      <c r="Q85" s="2"/>
      <c r="R85" s="6">
        <f t="shared" si="18"/>
        <v>4.7668009965941179E-3</v>
      </c>
      <c r="S85" s="2"/>
      <c r="T85" s="7">
        <v>14112.5937211538</v>
      </c>
      <c r="U85" s="2"/>
      <c r="V85" s="6">
        <f t="shared" si="19"/>
        <v>3.7414245980772454E-3</v>
      </c>
      <c r="W85" s="2"/>
      <c r="X85" s="7">
        <f t="shared" si="20"/>
        <v>-3067.3637211538007</v>
      </c>
      <c r="Y85" s="2"/>
      <c r="Z85" s="6">
        <f t="shared" si="21"/>
        <v>-0.21734939599062042</v>
      </c>
    </row>
    <row r="86" spans="1:26" s="24" customFormat="1" hidden="1" outlineLevel="2" x14ac:dyDescent="0.25">
      <c r="A86" s="25"/>
      <c r="B86" s="11" t="str">
        <f>CONCATENATE("          ", "6113", " - ", "GROUP INSURANCE")</f>
        <v xml:space="preserve">          6113 - GROUP INSURANCE</v>
      </c>
      <c r="C86" s="11"/>
      <c r="D86" s="7">
        <v>4822.38</v>
      </c>
      <c r="E86" s="2"/>
      <c r="F86" s="6">
        <f t="shared" si="14"/>
        <v>1.1211647886582585E-2</v>
      </c>
      <c r="G86" s="2"/>
      <c r="H86" s="7">
        <v>5958.8461538461497</v>
      </c>
      <c r="I86" s="2"/>
      <c r="J86" s="6">
        <f t="shared" si="15"/>
        <v>1.2644041941037118E-2</v>
      </c>
      <c r="K86" s="2"/>
      <c r="L86" s="7">
        <f t="shared" si="16"/>
        <v>-1136.4661538461496</v>
      </c>
      <c r="M86" s="2"/>
      <c r="N86" s="6">
        <f t="shared" si="17"/>
        <v>-0.1907191634931899</v>
      </c>
      <c r="O86" s="11"/>
      <c r="P86" s="7">
        <v>58234.559999999998</v>
      </c>
      <c r="Q86" s="2"/>
      <c r="R86" s="6">
        <f t="shared" si="18"/>
        <v>2.5132347506047401E-2</v>
      </c>
      <c r="S86" s="2"/>
      <c r="T86" s="7">
        <v>66161.1538461538</v>
      </c>
      <c r="U86" s="2"/>
      <c r="V86" s="6">
        <f t="shared" si="19"/>
        <v>1.7540147001194543E-2</v>
      </c>
      <c r="W86" s="2"/>
      <c r="X86" s="7">
        <f t="shared" si="20"/>
        <v>-7926.5938461538026</v>
      </c>
      <c r="Y86" s="2"/>
      <c r="Z86" s="6">
        <f t="shared" si="21"/>
        <v>-0.11980737011609126</v>
      </c>
    </row>
    <row r="87" spans="1:26" s="24" customFormat="1" hidden="1" outlineLevel="2" x14ac:dyDescent="0.25">
      <c r="A87" s="25"/>
      <c r="B87" s="11" t="str">
        <f>CONCATENATE("          ", "6114", " - ", "STATE UNEMPLOYMENT INSURANCE")</f>
        <v xml:space="preserve">          6114 - STATE UNEMPLOYMENT INSURANCE</v>
      </c>
      <c r="C87" s="11"/>
      <c r="D87" s="7">
        <v>157.28</v>
      </c>
      <c r="E87" s="2"/>
      <c r="F87" s="6">
        <f t="shared" si="14"/>
        <v>3.6566342337221642E-4</v>
      </c>
      <c r="G87" s="2"/>
      <c r="H87" s="7">
        <v>172.52949000000001</v>
      </c>
      <c r="I87" s="2"/>
      <c r="J87" s="6">
        <f t="shared" si="15"/>
        <v>3.660893487269695E-4</v>
      </c>
      <c r="K87" s="2"/>
      <c r="L87" s="7">
        <f t="shared" si="16"/>
        <v>-15.249490000000009</v>
      </c>
      <c r="M87" s="2"/>
      <c r="N87" s="6">
        <f t="shared" si="17"/>
        <v>-8.8387730120804323E-2</v>
      </c>
      <c r="O87" s="11"/>
      <c r="P87" s="7">
        <v>1352.19</v>
      </c>
      <c r="Q87" s="2"/>
      <c r="R87" s="6">
        <f t="shared" si="18"/>
        <v>5.835659954192534E-4</v>
      </c>
      <c r="S87" s="2"/>
      <c r="T87" s="7">
        <v>1983.3915500000001</v>
      </c>
      <c r="U87" s="2"/>
      <c r="V87" s="6">
        <f t="shared" si="19"/>
        <v>5.2582183540545238E-4</v>
      </c>
      <c r="W87" s="2"/>
      <c r="X87" s="7">
        <f t="shared" si="20"/>
        <v>-631.20155</v>
      </c>
      <c r="Y87" s="2"/>
      <c r="Z87" s="6">
        <f t="shared" si="21"/>
        <v>-0.31824354096900331</v>
      </c>
    </row>
    <row r="88" spans="1:26" s="24" customFormat="1" hidden="1" outlineLevel="2" x14ac:dyDescent="0.25">
      <c r="A88" s="25"/>
      <c r="B88" s="11" t="str">
        <f>CONCATENATE("          ", "6115", " - ", "P.E.R.S.")</f>
        <v xml:space="preserve">          6115 - P.E.R.S.</v>
      </c>
      <c r="C88" s="11"/>
      <c r="D88" s="7">
        <v>1916.82</v>
      </c>
      <c r="E88" s="2"/>
      <c r="F88" s="6">
        <f t="shared" si="14"/>
        <v>4.4564532247477863E-3</v>
      </c>
      <c r="G88" s="2"/>
      <c r="H88" s="7">
        <v>1371.4115692307701</v>
      </c>
      <c r="I88" s="2"/>
      <c r="J88" s="6">
        <f t="shared" si="15"/>
        <v>2.9099904498432346E-3</v>
      </c>
      <c r="K88" s="2"/>
      <c r="L88" s="7">
        <f t="shared" si="16"/>
        <v>545.40843076922988</v>
      </c>
      <c r="M88" s="2"/>
      <c r="N88" s="6">
        <f t="shared" si="17"/>
        <v>0.39769857787852231</v>
      </c>
      <c r="O88" s="11"/>
      <c r="P88" s="7">
        <v>21923.18</v>
      </c>
      <c r="Q88" s="2"/>
      <c r="R88" s="6">
        <f t="shared" si="18"/>
        <v>9.4614087956984352E-3</v>
      </c>
      <c r="S88" s="2"/>
      <c r="T88" s="7">
        <v>16270.9036307692</v>
      </c>
      <c r="U88" s="2"/>
      <c r="V88" s="6">
        <f t="shared" si="19"/>
        <v>4.3136194720786725E-3</v>
      </c>
      <c r="W88" s="2"/>
      <c r="X88" s="7">
        <f t="shared" si="20"/>
        <v>5652.2763692307999</v>
      </c>
      <c r="Y88" s="2"/>
      <c r="Z88" s="6">
        <f t="shared" si="21"/>
        <v>0.34738552310899473</v>
      </c>
    </row>
    <row r="89" spans="1:26" s="24" customFormat="1" hidden="1" outlineLevel="2" x14ac:dyDescent="0.25">
      <c r="A89" s="25"/>
      <c r="B89" s="11" t="str">
        <f>CONCATENATE("          ", "6116", " - ", "EDUCATIONAL BENEFITS")</f>
        <v xml:space="preserve">          6116 - EDUCATIONAL BENEFITS</v>
      </c>
      <c r="C89" s="11"/>
      <c r="D89" s="7"/>
      <c r="E89" s="2"/>
      <c r="F89" s="6">
        <f t="shared" si="14"/>
        <v>0</v>
      </c>
      <c r="G89" s="2"/>
      <c r="H89" s="7">
        <v>0</v>
      </c>
      <c r="I89" s="2"/>
      <c r="J89" s="6">
        <f t="shared" si="15"/>
        <v>0</v>
      </c>
      <c r="K89" s="2"/>
      <c r="L89" s="7">
        <f t="shared" si="16"/>
        <v>0</v>
      </c>
      <c r="M89" s="2"/>
      <c r="N89" s="6">
        <f t="shared" si="17"/>
        <v>0</v>
      </c>
      <c r="O89" s="11"/>
      <c r="P89" s="7"/>
      <c r="Q89" s="2"/>
      <c r="R89" s="6">
        <f t="shared" si="18"/>
        <v>0</v>
      </c>
      <c r="S89" s="2"/>
      <c r="T89" s="7">
        <v>0</v>
      </c>
      <c r="U89" s="2"/>
      <c r="V89" s="6">
        <f t="shared" si="19"/>
        <v>0</v>
      </c>
      <c r="W89" s="2"/>
      <c r="X89" s="7">
        <f t="shared" si="20"/>
        <v>0</v>
      </c>
      <c r="Y89" s="2"/>
      <c r="Z89" s="6">
        <f t="shared" si="21"/>
        <v>0</v>
      </c>
    </row>
    <row r="90" spans="1:26" s="24" customFormat="1" hidden="1" outlineLevel="2" x14ac:dyDescent="0.25">
      <c r="A90" s="25"/>
      <c r="B90" s="11" t="str">
        <f>CONCATENATE("          ", "6118", " - ", "VACATION")</f>
        <v xml:space="preserve">          6118 - VACATION</v>
      </c>
      <c r="C90" s="11"/>
      <c r="D90" s="7">
        <v>1633.18</v>
      </c>
      <c r="E90" s="2"/>
      <c r="F90" s="6">
        <f t="shared" si="14"/>
        <v>3.797012905538126E-3</v>
      </c>
      <c r="G90" s="2"/>
      <c r="H90" s="7">
        <v>995.09230769230805</v>
      </c>
      <c r="I90" s="2"/>
      <c r="J90" s="6">
        <f t="shared" si="15"/>
        <v>2.111480737851217E-3</v>
      </c>
      <c r="K90" s="2"/>
      <c r="L90" s="7">
        <f t="shared" si="16"/>
        <v>638.08769230769201</v>
      </c>
      <c r="M90" s="2"/>
      <c r="N90" s="6">
        <f t="shared" si="17"/>
        <v>0.64123467478857721</v>
      </c>
      <c r="O90" s="11"/>
      <c r="P90" s="7">
        <v>19345.54</v>
      </c>
      <c r="Q90" s="2"/>
      <c r="R90" s="6">
        <f t="shared" si="18"/>
        <v>8.3489741138619445E-3</v>
      </c>
      <c r="S90" s="2"/>
      <c r="T90" s="7">
        <v>11795.507692307699</v>
      </c>
      <c r="U90" s="2"/>
      <c r="V90" s="6">
        <f t="shared" si="19"/>
        <v>3.1271361947207885E-3</v>
      </c>
      <c r="W90" s="2"/>
      <c r="X90" s="7">
        <f t="shared" si="20"/>
        <v>7550.0323076923014</v>
      </c>
      <c r="Y90" s="2"/>
      <c r="Z90" s="6">
        <f t="shared" si="21"/>
        <v>0.64007692628745139</v>
      </c>
    </row>
    <row r="91" spans="1:26" s="24" customFormat="1" hidden="1" outlineLevel="2" x14ac:dyDescent="0.25">
      <c r="A91" s="25"/>
      <c r="B91" s="11" t="str">
        <f>CONCATENATE("          ", "6119", " - ", "SICK LEAVE")</f>
        <v xml:space="preserve">          6119 - SICK LEAVE</v>
      </c>
      <c r="C91" s="11"/>
      <c r="D91" s="7">
        <v>1105.6199999999999</v>
      </c>
      <c r="E91" s="2"/>
      <c r="F91" s="6">
        <f t="shared" si="14"/>
        <v>2.5704780909765381E-3</v>
      </c>
      <c r="G91" s="2"/>
      <c r="H91" s="7">
        <v>1541.2248076922999</v>
      </c>
      <c r="I91" s="2"/>
      <c r="J91" s="6">
        <f t="shared" si="15"/>
        <v>3.2703161997982076E-3</v>
      </c>
      <c r="K91" s="2"/>
      <c r="L91" s="7">
        <f t="shared" si="16"/>
        <v>-435.60480769230003</v>
      </c>
      <c r="M91" s="2"/>
      <c r="N91" s="6">
        <f t="shared" si="17"/>
        <v>-0.28263547635502828</v>
      </c>
      <c r="O91" s="11"/>
      <c r="P91" s="7">
        <v>14000.69</v>
      </c>
      <c r="Q91" s="2"/>
      <c r="R91" s="6">
        <f t="shared" si="18"/>
        <v>6.0422918350279079E-3</v>
      </c>
      <c r="S91" s="2"/>
      <c r="T91" s="7">
        <v>18028.3031923077</v>
      </c>
      <c r="U91" s="2"/>
      <c r="V91" s="6">
        <f t="shared" si="19"/>
        <v>4.7795280129257437E-3</v>
      </c>
      <c r="W91" s="2"/>
      <c r="X91" s="7">
        <f t="shared" si="20"/>
        <v>-4027.6131923076991</v>
      </c>
      <c r="Y91" s="2"/>
      <c r="Z91" s="6">
        <f t="shared" si="21"/>
        <v>-0.22340500652475145</v>
      </c>
    </row>
    <row r="92" spans="1:26" s="24" customFormat="1" hidden="1" outlineLevel="2" x14ac:dyDescent="0.25">
      <c r="A92" s="25"/>
      <c r="B92" s="11" t="str">
        <f>CONCATENATE("          ", "6156", " - ", "EMPLOYEE MEALS")</f>
        <v xml:space="preserve">          6156 - EMPLOYEE MEALS</v>
      </c>
      <c r="C92" s="11"/>
      <c r="D92" s="7">
        <v>483.07</v>
      </c>
      <c r="E92" s="2"/>
      <c r="F92" s="6">
        <f t="shared" si="14"/>
        <v>1.1230991221287932E-3</v>
      </c>
      <c r="G92" s="2"/>
      <c r="H92" s="7">
        <v>875</v>
      </c>
      <c r="I92" s="2"/>
      <c r="J92" s="6">
        <f t="shared" si="15"/>
        <v>1.8566575495939754E-3</v>
      </c>
      <c r="K92" s="2"/>
      <c r="L92" s="7">
        <f t="shared" si="16"/>
        <v>-391.93</v>
      </c>
      <c r="M92" s="2"/>
      <c r="N92" s="6">
        <f t="shared" si="17"/>
        <v>-0.44791999999999998</v>
      </c>
      <c r="O92" s="11"/>
      <c r="P92" s="7">
        <v>5156.16</v>
      </c>
      <c r="Q92" s="2"/>
      <c r="R92" s="6">
        <f t="shared" si="18"/>
        <v>2.225249146156189E-3</v>
      </c>
      <c r="S92" s="2"/>
      <c r="T92" s="7">
        <v>9625</v>
      </c>
      <c r="U92" s="2"/>
      <c r="V92" s="6">
        <f t="shared" si="19"/>
        <v>2.5517075364052447E-3</v>
      </c>
      <c r="W92" s="2"/>
      <c r="X92" s="7">
        <f t="shared" si="20"/>
        <v>-4468.84</v>
      </c>
      <c r="Y92" s="2"/>
      <c r="Z92" s="6">
        <f t="shared" si="21"/>
        <v>-0.46429506493506495</v>
      </c>
    </row>
    <row r="93" spans="1:26" s="27" customFormat="1" outlineLevel="1" collapsed="1" x14ac:dyDescent="0.25">
      <c r="A93" s="26"/>
      <c r="B93" s="13" t="str">
        <f>CONCATENATE("     ","*Payroll                                          ")</f>
        <v xml:space="preserve">     *Payroll                                          </v>
      </c>
      <c r="C93" s="13"/>
      <c r="D93" s="1">
        <f>SUM(OSRRefD22_1x_0)</f>
        <v>41678.82</v>
      </c>
      <c r="E93" s="1"/>
      <c r="F93" s="5">
        <f t="shared" ref="F93:F103" si="22">IF(D$12=0,0,D93/D$12)</f>
        <v>9.689992372402341E-2</v>
      </c>
      <c r="G93" s="1"/>
      <c r="H93" s="1">
        <f>SUM(OSRRefH22_1x_0)</f>
        <v>64265.3415384615</v>
      </c>
      <c r="I93" s="1"/>
      <c r="J93" s="5">
        <f t="shared" ref="J93:J103" si="23">IF(H$12=0,0,H93/H$12)</f>
        <v>0.13636426462242268</v>
      </c>
      <c r="K93" s="1"/>
      <c r="L93" s="1">
        <f t="shared" ref="L93:L103" si="24">+D93-H93</f>
        <v>-22586.5215384615</v>
      </c>
      <c r="M93" s="1"/>
      <c r="N93" s="5">
        <f t="shared" ref="N93:N103" si="25">IF(H93=0,0,L93/H93)</f>
        <v>-0.35145727071167787</v>
      </c>
      <c r="O93" s="13"/>
      <c r="P93" s="1">
        <f>SUM(OSRRefP22_1x_0)</f>
        <v>430618.41000000003</v>
      </c>
      <c r="Q93" s="1"/>
      <c r="R93" s="5">
        <f t="shared" ref="R93:R103" si="26">IF(P$12=0,0,P93/P$12)</f>
        <v>0.18584241939187998</v>
      </c>
      <c r="S93" s="1"/>
      <c r="T93" s="1">
        <f>SUM(OSRRefT22_1x_0)</f>
        <v>738047.55346153793</v>
      </c>
      <c r="U93" s="1"/>
      <c r="V93" s="5">
        <f t="shared" ref="V93:V103" si="27">IF(T$12=0,0,T93/T$12)</f>
        <v>0.19566561084605288</v>
      </c>
      <c r="W93" s="1"/>
      <c r="X93" s="1">
        <f t="shared" ref="X93:X103" si="28">+P93-T93</f>
        <v>-307429.1434615379</v>
      </c>
      <c r="Y93" s="1"/>
      <c r="Z93" s="5">
        <f t="shared" ref="Z93:Z103" si="29">IF(T93=0,0,X93/T93)</f>
        <v>-0.41654381485265507</v>
      </c>
    </row>
    <row r="94" spans="1:26" s="24" customFormat="1" hidden="1" outlineLevel="2" x14ac:dyDescent="0.25">
      <c r="A94" s="25"/>
      <c r="B94" s="11" t="str">
        <f>CONCATENATE("          ", "6001", " - ", "ADMINISTRATIVE SALARIES")</f>
        <v xml:space="preserve">          6001 - ADMINISTRATIVE SALARIES</v>
      </c>
      <c r="C94" s="11"/>
      <c r="D94" s="7"/>
      <c r="E94" s="2"/>
      <c r="F94" s="6">
        <f t="shared" si="22"/>
        <v>0</v>
      </c>
      <c r="G94" s="2"/>
      <c r="H94" s="7">
        <v>0</v>
      </c>
      <c r="I94" s="2"/>
      <c r="J94" s="6">
        <f t="shared" si="23"/>
        <v>0</v>
      </c>
      <c r="K94" s="2"/>
      <c r="L94" s="7">
        <f t="shared" si="24"/>
        <v>0</v>
      </c>
      <c r="M94" s="2"/>
      <c r="N94" s="6">
        <f t="shared" si="25"/>
        <v>0</v>
      </c>
      <c r="O94" s="11"/>
      <c r="P94" s="7"/>
      <c r="Q94" s="2"/>
      <c r="R94" s="6">
        <f t="shared" si="26"/>
        <v>0</v>
      </c>
      <c r="S94" s="2"/>
      <c r="T94" s="7">
        <v>0</v>
      </c>
      <c r="U94" s="2"/>
      <c r="V94" s="6">
        <f t="shared" si="27"/>
        <v>0</v>
      </c>
      <c r="W94" s="2"/>
      <c r="X94" s="7">
        <f t="shared" si="28"/>
        <v>0</v>
      </c>
      <c r="Y94" s="2"/>
      <c r="Z94" s="6">
        <f t="shared" si="29"/>
        <v>0</v>
      </c>
    </row>
    <row r="95" spans="1:26" s="24" customFormat="1" hidden="1" outlineLevel="2" x14ac:dyDescent="0.25">
      <c r="A95" s="25"/>
      <c r="B95" s="11" t="str">
        <f>CONCATENATE("          ", "6002", " - ", "STAFF SALARIES")</f>
        <v xml:space="preserve">          6002 - STAFF SALARIES</v>
      </c>
      <c r="C95" s="11"/>
      <c r="D95" s="7">
        <v>20908.71</v>
      </c>
      <c r="E95" s="2"/>
      <c r="F95" s="6">
        <f t="shared" si="22"/>
        <v>4.8611078820555029E-2</v>
      </c>
      <c r="G95" s="2"/>
      <c r="H95" s="7">
        <v>14351.981538461499</v>
      </c>
      <c r="I95" s="2"/>
      <c r="J95" s="6">
        <f t="shared" si="23"/>
        <v>3.0453388428591889E-2</v>
      </c>
      <c r="K95" s="2"/>
      <c r="L95" s="7">
        <f t="shared" si="24"/>
        <v>6556.7284615384997</v>
      </c>
      <c r="M95" s="2"/>
      <c r="N95" s="6">
        <f t="shared" si="25"/>
        <v>0.45685179039335405</v>
      </c>
      <c r="O95" s="11"/>
      <c r="P95" s="7">
        <v>208039.32</v>
      </c>
      <c r="Q95" s="2"/>
      <c r="R95" s="6">
        <f t="shared" si="26"/>
        <v>8.9783738130103458E-2</v>
      </c>
      <c r="S95" s="2"/>
      <c r="T95" s="7">
        <v>170276.89846153799</v>
      </c>
      <c r="U95" s="2"/>
      <c r="V95" s="6">
        <f t="shared" si="27"/>
        <v>4.5142529358962812E-2</v>
      </c>
      <c r="W95" s="2"/>
      <c r="X95" s="7">
        <f t="shared" si="28"/>
        <v>37762.421538462018</v>
      </c>
      <c r="Y95" s="2"/>
      <c r="Z95" s="6">
        <f t="shared" si="29"/>
        <v>0.22177066812731361</v>
      </c>
    </row>
    <row r="96" spans="1:26" s="24" customFormat="1" hidden="1" outlineLevel="2" x14ac:dyDescent="0.25">
      <c r="A96" s="25"/>
      <c r="B96" s="11" t="str">
        <f>CONCATENATE("          ", "6003", " - ", "STAFF HOURLY-9 MONTH")</f>
        <v xml:space="preserve">          6003 - STAFF HOURLY-9 MONTH</v>
      </c>
      <c r="C96" s="11"/>
      <c r="D96" s="7"/>
      <c r="E96" s="2"/>
      <c r="F96" s="6">
        <f t="shared" si="22"/>
        <v>0</v>
      </c>
      <c r="G96" s="2"/>
      <c r="H96" s="7">
        <v>0</v>
      </c>
      <c r="I96" s="2"/>
      <c r="J96" s="6">
        <f t="shared" si="23"/>
        <v>0</v>
      </c>
      <c r="K96" s="2"/>
      <c r="L96" s="7">
        <f t="shared" si="24"/>
        <v>0</v>
      </c>
      <c r="M96" s="2"/>
      <c r="N96" s="6">
        <f t="shared" si="25"/>
        <v>0</v>
      </c>
      <c r="O96" s="11"/>
      <c r="P96" s="7"/>
      <c r="Q96" s="2"/>
      <c r="R96" s="6">
        <f t="shared" si="26"/>
        <v>0</v>
      </c>
      <c r="S96" s="2"/>
      <c r="T96" s="7">
        <v>0</v>
      </c>
      <c r="U96" s="2"/>
      <c r="V96" s="6">
        <f t="shared" si="27"/>
        <v>0</v>
      </c>
      <c r="W96" s="2"/>
      <c r="X96" s="7">
        <f t="shared" si="28"/>
        <v>0</v>
      </c>
      <c r="Y96" s="2"/>
      <c r="Z96" s="6">
        <f t="shared" si="29"/>
        <v>0</v>
      </c>
    </row>
    <row r="97" spans="1:26" s="24" customFormat="1" hidden="1" outlineLevel="2" x14ac:dyDescent="0.25">
      <c r="A97" s="25"/>
      <c r="B97" s="11" t="str">
        <f>CONCATENATE("          ", "6004", " - ", "STAFF HOURLY")</f>
        <v xml:space="preserve">          6004 - STAFF HOURLY</v>
      </c>
      <c r="C97" s="11"/>
      <c r="D97" s="7">
        <v>3964.52</v>
      </c>
      <c r="E97" s="2"/>
      <c r="F97" s="6">
        <f t="shared" si="22"/>
        <v>9.2171919838989029E-3</v>
      </c>
      <c r="G97" s="2"/>
      <c r="H97" s="7">
        <v>6856.71</v>
      </c>
      <c r="I97" s="2"/>
      <c r="J97" s="6">
        <f t="shared" si="23"/>
        <v>1.4549214156430295E-2</v>
      </c>
      <c r="K97" s="2"/>
      <c r="L97" s="7">
        <f t="shared" si="24"/>
        <v>-2892.19</v>
      </c>
      <c r="M97" s="2"/>
      <c r="N97" s="6">
        <f t="shared" si="25"/>
        <v>-0.42180433473196327</v>
      </c>
      <c r="O97" s="11"/>
      <c r="P97" s="7">
        <v>62012.27</v>
      </c>
      <c r="Q97" s="2"/>
      <c r="R97" s="6">
        <f t="shared" si="26"/>
        <v>2.6762697602228609E-2</v>
      </c>
      <c r="S97" s="2"/>
      <c r="T97" s="7">
        <v>80982.404999999999</v>
      </c>
      <c r="U97" s="2"/>
      <c r="V97" s="6">
        <f t="shared" si="27"/>
        <v>2.1469445522568496E-2</v>
      </c>
      <c r="W97" s="2"/>
      <c r="X97" s="7">
        <f t="shared" si="28"/>
        <v>-18970.135000000002</v>
      </c>
      <c r="Y97" s="2"/>
      <c r="Z97" s="6">
        <f t="shared" si="29"/>
        <v>-0.23425008185420032</v>
      </c>
    </row>
    <row r="98" spans="1:26" s="24" customFormat="1" hidden="1" outlineLevel="2" x14ac:dyDescent="0.25">
      <c r="A98" s="25"/>
      <c r="B98" s="11" t="str">
        <f>CONCATENATE("          ", "6005", " - ", "TEMPORARY WAGES-HOURLY")</f>
        <v xml:space="preserve">          6005 - TEMPORARY WAGES-HOURLY</v>
      </c>
      <c r="C98" s="11"/>
      <c r="D98" s="7">
        <v>2557.67</v>
      </c>
      <c r="E98" s="2"/>
      <c r="F98" s="6">
        <f t="shared" si="22"/>
        <v>5.9463782302671469E-3</v>
      </c>
      <c r="G98" s="2"/>
      <c r="H98" s="7">
        <v>0</v>
      </c>
      <c r="I98" s="2"/>
      <c r="J98" s="6">
        <f t="shared" si="23"/>
        <v>0</v>
      </c>
      <c r="K98" s="2"/>
      <c r="L98" s="7">
        <f t="shared" si="24"/>
        <v>2557.67</v>
      </c>
      <c r="M98" s="2"/>
      <c r="N98" s="6">
        <f t="shared" si="25"/>
        <v>0</v>
      </c>
      <c r="O98" s="11"/>
      <c r="P98" s="7">
        <v>61939.74</v>
      </c>
      <c r="Q98" s="2"/>
      <c r="R98" s="6">
        <f t="shared" si="26"/>
        <v>2.6731395757334211E-2</v>
      </c>
      <c r="S98" s="2"/>
      <c r="T98" s="7">
        <v>0</v>
      </c>
      <c r="U98" s="2"/>
      <c r="V98" s="6">
        <f t="shared" si="27"/>
        <v>0</v>
      </c>
      <c r="W98" s="2"/>
      <c r="X98" s="7">
        <f t="shared" si="28"/>
        <v>61939.74</v>
      </c>
      <c r="Y98" s="2"/>
      <c r="Z98" s="6">
        <f t="shared" si="29"/>
        <v>0</v>
      </c>
    </row>
    <row r="99" spans="1:26" s="24" customFormat="1" hidden="1" outlineLevel="2" x14ac:dyDescent="0.25">
      <c r="A99" s="25"/>
      <c r="B99" s="11" t="str">
        <f>CONCATENATE("          ", "6006", " - ", "TEMPORARY PART TIME")</f>
        <v xml:space="preserve">          6006 - TEMPORARY PART TIME</v>
      </c>
      <c r="C99" s="11"/>
      <c r="D99" s="7">
        <v>1314.52</v>
      </c>
      <c r="E99" s="2"/>
      <c r="F99" s="6">
        <f t="shared" si="22"/>
        <v>3.0561538866432218E-3</v>
      </c>
      <c r="G99" s="2"/>
      <c r="H99" s="7">
        <v>0</v>
      </c>
      <c r="I99" s="2"/>
      <c r="J99" s="6">
        <f t="shared" si="23"/>
        <v>0</v>
      </c>
      <c r="K99" s="2"/>
      <c r="L99" s="7">
        <f t="shared" si="24"/>
        <v>1314.52</v>
      </c>
      <c r="M99" s="2"/>
      <c r="N99" s="6">
        <f t="shared" si="25"/>
        <v>0</v>
      </c>
      <c r="O99" s="11"/>
      <c r="P99" s="7">
        <v>6292.6</v>
      </c>
      <c r="Q99" s="2"/>
      <c r="R99" s="6">
        <f t="shared" si="26"/>
        <v>2.7157036975389509E-3</v>
      </c>
      <c r="S99" s="2"/>
      <c r="T99" s="7">
        <v>0</v>
      </c>
      <c r="U99" s="2"/>
      <c r="V99" s="6">
        <f t="shared" si="27"/>
        <v>0</v>
      </c>
      <c r="W99" s="2"/>
      <c r="X99" s="7">
        <f t="shared" si="28"/>
        <v>6292.6</v>
      </c>
      <c r="Y99" s="2"/>
      <c r="Z99" s="6">
        <f t="shared" si="29"/>
        <v>0</v>
      </c>
    </row>
    <row r="100" spans="1:26" s="24" customFormat="1" hidden="1" outlineLevel="2" x14ac:dyDescent="0.25">
      <c r="A100" s="25"/>
      <c r="B100" s="11" t="str">
        <f>CONCATENATE("          ", "6007", " - ", "STUDENT HOURLY")</f>
        <v xml:space="preserve">          6007 - STUDENT HOURLY</v>
      </c>
      <c r="C100" s="11"/>
      <c r="D100" s="7">
        <v>10393.94</v>
      </c>
      <c r="E100" s="2"/>
      <c r="F100" s="6">
        <f t="shared" si="22"/>
        <v>2.4165079366260271E-2</v>
      </c>
      <c r="G100" s="2"/>
      <c r="H100" s="7">
        <v>0</v>
      </c>
      <c r="I100" s="2"/>
      <c r="J100" s="6">
        <f t="shared" si="23"/>
        <v>0</v>
      </c>
      <c r="K100" s="2"/>
      <c r="L100" s="7">
        <f t="shared" si="24"/>
        <v>10393.94</v>
      </c>
      <c r="M100" s="2"/>
      <c r="N100" s="6">
        <f t="shared" si="25"/>
        <v>0</v>
      </c>
      <c r="O100" s="11"/>
      <c r="P100" s="7">
        <v>80760.33</v>
      </c>
      <c r="Q100" s="2"/>
      <c r="R100" s="6">
        <f t="shared" si="26"/>
        <v>3.4853816672832508E-2</v>
      </c>
      <c r="S100" s="2"/>
      <c r="T100" s="7">
        <v>80431.5</v>
      </c>
      <c r="U100" s="2"/>
      <c r="V100" s="6">
        <f t="shared" si="27"/>
        <v>2.1323393736558796E-2</v>
      </c>
      <c r="W100" s="2"/>
      <c r="X100" s="7">
        <f t="shared" si="28"/>
        <v>328.83000000000175</v>
      </c>
      <c r="Y100" s="2"/>
      <c r="Z100" s="6">
        <f t="shared" si="29"/>
        <v>4.0883236045579372E-3</v>
      </c>
    </row>
    <row r="101" spans="1:26" s="24" customFormat="1" hidden="1" outlineLevel="2" x14ac:dyDescent="0.25">
      <c r="A101" s="25"/>
      <c r="B101" s="11" t="str">
        <f>CONCATENATE("          ", "6008", " - ", "STUDENT HOURLY-FICA EXEMPT")</f>
        <v xml:space="preserve">          6008 - STUDENT HOURLY-FICA EXEMPT</v>
      </c>
      <c r="C101" s="11"/>
      <c r="D101" s="7">
        <v>2539.46</v>
      </c>
      <c r="E101" s="2"/>
      <c r="F101" s="6">
        <f t="shared" si="22"/>
        <v>5.9040414363988351E-3</v>
      </c>
      <c r="G101" s="2"/>
      <c r="H101" s="7">
        <v>43056.65</v>
      </c>
      <c r="I101" s="2"/>
      <c r="J101" s="6">
        <f t="shared" si="23"/>
        <v>9.136166203740051E-2</v>
      </c>
      <c r="K101" s="2"/>
      <c r="L101" s="7">
        <f t="shared" si="24"/>
        <v>-40517.19</v>
      </c>
      <c r="M101" s="2"/>
      <c r="N101" s="6">
        <f t="shared" si="25"/>
        <v>-0.94102049276940958</v>
      </c>
      <c r="O101" s="11"/>
      <c r="P101" s="7">
        <v>11574.15</v>
      </c>
      <c r="Q101" s="2"/>
      <c r="R101" s="6">
        <f t="shared" si="26"/>
        <v>4.9950675318422349E-3</v>
      </c>
      <c r="S101" s="2"/>
      <c r="T101" s="7">
        <v>406356.75</v>
      </c>
      <c r="U101" s="2"/>
      <c r="V101" s="6">
        <f t="shared" si="27"/>
        <v>0.10773024222796279</v>
      </c>
      <c r="W101" s="2"/>
      <c r="X101" s="7">
        <f t="shared" si="28"/>
        <v>-394782.6</v>
      </c>
      <c r="Y101" s="2"/>
      <c r="Z101" s="6">
        <f t="shared" si="29"/>
        <v>-0.97151726900069946</v>
      </c>
    </row>
    <row r="102" spans="1:26" s="24" customFormat="1" hidden="1" outlineLevel="2" x14ac:dyDescent="0.25">
      <c r="A102" s="25"/>
      <c r="B102" s="11" t="str">
        <f>CONCATENATE("          ", "6009", " - ", "TEMPORARY-SEASONAL")</f>
        <v xml:space="preserve">          6009 - TEMPORARY-SEASONAL</v>
      </c>
      <c r="C102" s="11"/>
      <c r="D102" s="7"/>
      <c r="E102" s="2"/>
      <c r="F102" s="6">
        <f t="shared" si="22"/>
        <v>0</v>
      </c>
      <c r="G102" s="2"/>
      <c r="H102" s="7">
        <v>0</v>
      </c>
      <c r="I102" s="2"/>
      <c r="J102" s="6">
        <f t="shared" si="23"/>
        <v>0</v>
      </c>
      <c r="K102" s="2"/>
      <c r="L102" s="7">
        <f t="shared" si="24"/>
        <v>0</v>
      </c>
      <c r="M102" s="2"/>
      <c r="N102" s="6">
        <f t="shared" si="25"/>
        <v>0</v>
      </c>
      <c r="O102" s="11"/>
      <c r="P102" s="7"/>
      <c r="Q102" s="2"/>
      <c r="R102" s="6">
        <f t="shared" si="26"/>
        <v>0</v>
      </c>
      <c r="S102" s="2"/>
      <c r="T102" s="7">
        <v>0</v>
      </c>
      <c r="U102" s="2"/>
      <c r="V102" s="6">
        <f t="shared" si="27"/>
        <v>0</v>
      </c>
      <c r="W102" s="2"/>
      <c r="X102" s="7">
        <f t="shared" si="28"/>
        <v>0</v>
      </c>
      <c r="Y102" s="2"/>
      <c r="Z102" s="6">
        <f t="shared" si="29"/>
        <v>0</v>
      </c>
    </row>
    <row r="103" spans="1:26" s="24" customFormat="1" hidden="1" outlineLevel="2" x14ac:dyDescent="0.25">
      <c r="A103" s="25"/>
      <c r="B103" s="11" t="str">
        <f>CONCATENATE("          ", "6010", " - ", "GRATUITY")</f>
        <v xml:space="preserve">          6010 - GRATUITY</v>
      </c>
      <c r="C103" s="11"/>
      <c r="D103" s="7"/>
      <c r="E103" s="2"/>
      <c r="F103" s="6">
        <f t="shared" si="22"/>
        <v>0</v>
      </c>
      <c r="G103" s="2"/>
      <c r="H103" s="7">
        <v>0</v>
      </c>
      <c r="I103" s="2"/>
      <c r="J103" s="6">
        <f t="shared" si="23"/>
        <v>0</v>
      </c>
      <c r="K103" s="2"/>
      <c r="L103" s="7">
        <f t="shared" si="24"/>
        <v>0</v>
      </c>
      <c r="M103" s="2"/>
      <c r="N103" s="6">
        <f t="shared" si="25"/>
        <v>0</v>
      </c>
      <c r="O103" s="11"/>
      <c r="P103" s="7"/>
      <c r="Q103" s="2"/>
      <c r="R103" s="6">
        <f t="shared" si="26"/>
        <v>0</v>
      </c>
      <c r="S103" s="2"/>
      <c r="T103" s="7">
        <v>0</v>
      </c>
      <c r="U103" s="2"/>
      <c r="V103" s="6">
        <f t="shared" si="27"/>
        <v>0</v>
      </c>
      <c r="W103" s="2"/>
      <c r="X103" s="7">
        <f t="shared" si="28"/>
        <v>0</v>
      </c>
      <c r="Y103" s="2"/>
      <c r="Z103" s="6">
        <f t="shared" si="29"/>
        <v>0</v>
      </c>
    </row>
    <row r="104" spans="1:26" s="27" customFormat="1" outlineLevel="1" collapsed="1" x14ac:dyDescent="0.25">
      <c r="A104" s="26"/>
      <c r="B104" s="13" t="str">
        <f>CONCATENATE("     ","Advertising/Promo                                 ")</f>
        <v xml:space="preserve">     Advertising/Promo                                 </v>
      </c>
      <c r="C104" s="13"/>
      <c r="D104" s="1">
        <f>SUM(OSRRefD22_2x_0)</f>
        <v>-340.93</v>
      </c>
      <c r="E104" s="1"/>
      <c r="F104" s="5">
        <f t="shared" ref="F104:F112" si="30">IF(D$12=0,0,D104/D$12)</f>
        <v>-7.9263498811221863E-4</v>
      </c>
      <c r="G104" s="1"/>
      <c r="H104" s="1">
        <f>SUM(OSRRefH22_2x_0)</f>
        <v>1130</v>
      </c>
      <c r="I104" s="1"/>
      <c r="J104" s="5">
        <f t="shared" ref="J104:J112" si="31">IF(H$12=0,0,H104/H$12)</f>
        <v>2.3977406069042198E-3</v>
      </c>
      <c r="K104" s="1"/>
      <c r="L104" s="1">
        <f t="shared" ref="L104:L112" si="32">+D104-H104</f>
        <v>-1470.93</v>
      </c>
      <c r="M104" s="1"/>
      <c r="N104" s="5">
        <f t="shared" ref="N104:N112" si="33">IF(H104=0,0,L104/H104)</f>
        <v>-1.30170796460177</v>
      </c>
      <c r="O104" s="13"/>
      <c r="P104" s="1">
        <f>SUM(OSRRefP22_2x_0)</f>
        <v>14512.81</v>
      </c>
      <c r="Q104" s="1"/>
      <c r="R104" s="5">
        <f t="shared" ref="R104:R112" si="34">IF(P$12=0,0,P104/P$12)</f>
        <v>6.263307977414782E-3</v>
      </c>
      <c r="S104" s="1"/>
      <c r="T104" s="1">
        <f>SUM(OSRRefT22_2x_0)</f>
        <v>9930</v>
      </c>
      <c r="U104" s="1"/>
      <c r="V104" s="5">
        <f t="shared" ref="V104:V112" si="35">IF(T$12=0,0,T104/T$12)</f>
        <v>2.6325668401562677E-3</v>
      </c>
      <c r="W104" s="1"/>
      <c r="X104" s="1">
        <f t="shared" ref="X104:X112" si="36">+P104-T104</f>
        <v>4582.8099999999995</v>
      </c>
      <c r="Y104" s="1"/>
      <c r="Z104" s="5">
        <f t="shared" ref="Z104:Z112" si="37">IF(T104=0,0,X104/T104)</f>
        <v>0.46151158106747225</v>
      </c>
    </row>
    <row r="105" spans="1:26" s="24" customFormat="1" hidden="1" outlineLevel="2" x14ac:dyDescent="0.25">
      <c r="A105" s="25"/>
      <c r="B105" s="11" t="str">
        <f>CONCATENATE("          ", "6362", " - ", "ADVERTISING EXPENSE")</f>
        <v xml:space="preserve">          6362 - ADVERTISING EXPENSE</v>
      </c>
      <c r="C105" s="11"/>
      <c r="D105" s="7">
        <v>-340.93</v>
      </c>
      <c r="E105" s="2"/>
      <c r="F105" s="6">
        <f t="shared" si="30"/>
        <v>-7.9263498811221863E-4</v>
      </c>
      <c r="G105" s="2"/>
      <c r="H105" s="7">
        <v>1130</v>
      </c>
      <c r="I105" s="2"/>
      <c r="J105" s="6">
        <f t="shared" si="31"/>
        <v>2.3977406069042198E-3</v>
      </c>
      <c r="K105" s="2"/>
      <c r="L105" s="7">
        <f t="shared" si="32"/>
        <v>-1470.93</v>
      </c>
      <c r="M105" s="2"/>
      <c r="N105" s="6">
        <f t="shared" si="33"/>
        <v>-1.30170796460177</v>
      </c>
      <c r="O105" s="11"/>
      <c r="P105" s="7">
        <v>14512.81</v>
      </c>
      <c r="Q105" s="2"/>
      <c r="R105" s="6">
        <f t="shared" si="34"/>
        <v>6.263307977414782E-3</v>
      </c>
      <c r="S105" s="2"/>
      <c r="T105" s="7">
        <v>9930</v>
      </c>
      <c r="U105" s="2"/>
      <c r="V105" s="6">
        <f t="shared" si="35"/>
        <v>2.6325668401562677E-3</v>
      </c>
      <c r="W105" s="2"/>
      <c r="X105" s="7">
        <f t="shared" si="36"/>
        <v>4582.8099999999995</v>
      </c>
      <c r="Y105" s="2"/>
      <c r="Z105" s="6">
        <f t="shared" si="37"/>
        <v>0.46151158106747225</v>
      </c>
    </row>
    <row r="106" spans="1:26" s="27" customFormat="1" outlineLevel="1" collapsed="1" x14ac:dyDescent="0.25">
      <c r="A106" s="26"/>
      <c r="B106" s="13" t="str">
        <f>CONCATENATE("     ","Bad Debts/Over/Short                              ")</f>
        <v xml:space="preserve">     Bad Debts/Over/Short                              </v>
      </c>
      <c r="C106" s="13"/>
      <c r="D106" s="1">
        <f>SUM(OSRRefD22_3x_0)</f>
        <v>-1.4</v>
      </c>
      <c r="E106" s="1"/>
      <c r="F106" s="5">
        <f t="shared" si="30"/>
        <v>-3.2548880513803596E-6</v>
      </c>
      <c r="G106" s="1"/>
      <c r="H106" s="1">
        <f>SUM(OSRRefH22_3x_0)</f>
        <v>10</v>
      </c>
      <c r="I106" s="1"/>
      <c r="J106" s="5">
        <f t="shared" si="31"/>
        <v>2.1218943423931149E-5</v>
      </c>
      <c r="K106" s="1"/>
      <c r="L106" s="1">
        <f t="shared" si="32"/>
        <v>-11.4</v>
      </c>
      <c r="M106" s="1"/>
      <c r="N106" s="5">
        <f t="shared" si="33"/>
        <v>-1.1400000000000001</v>
      </c>
      <c r="O106" s="13"/>
      <c r="P106" s="1">
        <f>SUM(OSRRefP22_3x_0)</f>
        <v>-24.5</v>
      </c>
      <c r="Q106" s="1"/>
      <c r="R106" s="5">
        <f t="shared" si="34"/>
        <v>-1.0573489589311938E-5</v>
      </c>
      <c r="S106" s="1"/>
      <c r="T106" s="1">
        <f>SUM(OSRRefT22_3x_0)</f>
        <v>110</v>
      </c>
      <c r="U106" s="1"/>
      <c r="V106" s="5">
        <f t="shared" si="35"/>
        <v>2.9162371844631366E-5</v>
      </c>
      <c r="W106" s="1"/>
      <c r="X106" s="1">
        <f t="shared" si="36"/>
        <v>-134.5</v>
      </c>
      <c r="Y106" s="1"/>
      <c r="Z106" s="5">
        <f t="shared" si="37"/>
        <v>-1.2227272727272727</v>
      </c>
    </row>
    <row r="107" spans="1:26" s="24" customFormat="1" hidden="1" outlineLevel="2" x14ac:dyDescent="0.25">
      <c r="A107" s="25"/>
      <c r="B107" s="11" t="str">
        <f>CONCATENATE("          ", "6272", " - ", "CASH (OVER/SHORT)")</f>
        <v xml:space="preserve">          6272 - CASH (OVER/SHORT)</v>
      </c>
      <c r="C107" s="11"/>
      <c r="D107" s="7">
        <v>-1.4</v>
      </c>
      <c r="E107" s="2"/>
      <c r="F107" s="6">
        <f t="shared" si="30"/>
        <v>-3.2548880513803596E-6</v>
      </c>
      <c r="G107" s="2"/>
      <c r="H107" s="7">
        <v>10</v>
      </c>
      <c r="I107" s="2"/>
      <c r="J107" s="6">
        <f t="shared" si="31"/>
        <v>2.1218943423931149E-5</v>
      </c>
      <c r="K107" s="2"/>
      <c r="L107" s="7">
        <f t="shared" si="32"/>
        <v>-11.4</v>
      </c>
      <c r="M107" s="2"/>
      <c r="N107" s="6">
        <f t="shared" si="33"/>
        <v>-1.1400000000000001</v>
      </c>
      <c r="O107" s="11"/>
      <c r="P107" s="7">
        <v>-24.5</v>
      </c>
      <c r="Q107" s="2"/>
      <c r="R107" s="6">
        <f t="shared" si="34"/>
        <v>-1.0573489589311938E-5</v>
      </c>
      <c r="S107" s="2"/>
      <c r="T107" s="7">
        <v>110</v>
      </c>
      <c r="U107" s="2"/>
      <c r="V107" s="6">
        <f t="shared" si="35"/>
        <v>2.9162371844631366E-5</v>
      </c>
      <c r="W107" s="2"/>
      <c r="X107" s="7">
        <f t="shared" si="36"/>
        <v>-134.5</v>
      </c>
      <c r="Y107" s="2"/>
      <c r="Z107" s="6">
        <f t="shared" si="37"/>
        <v>-1.2227272727272727</v>
      </c>
    </row>
    <row r="108" spans="1:26" s="27" customFormat="1" outlineLevel="1" collapsed="1" x14ac:dyDescent="0.25">
      <c r="A108" s="26"/>
      <c r="B108" s="13" t="str">
        <f>CONCATENATE("     ","Bank/card Fees                                    ")</f>
        <v xml:space="preserve">     Bank/card Fees                                    </v>
      </c>
      <c r="C108" s="13"/>
      <c r="D108" s="1">
        <f>SUM(OSRRefD22_4x_0)</f>
        <v>646.5</v>
      </c>
      <c r="E108" s="1"/>
      <c r="F108" s="5">
        <f t="shared" si="30"/>
        <v>1.5030608037267161E-3</v>
      </c>
      <c r="G108" s="1"/>
      <c r="H108" s="1">
        <f>SUM(OSRRefH22_4x_0)</f>
        <v>1000</v>
      </c>
      <c r="I108" s="1"/>
      <c r="J108" s="5">
        <f t="shared" si="31"/>
        <v>2.1218943423931148E-3</v>
      </c>
      <c r="K108" s="1"/>
      <c r="L108" s="1">
        <f t="shared" si="32"/>
        <v>-353.5</v>
      </c>
      <c r="M108" s="1"/>
      <c r="N108" s="5">
        <f t="shared" si="33"/>
        <v>-0.35349999999999998</v>
      </c>
      <c r="O108" s="13"/>
      <c r="P108" s="1">
        <f>SUM(OSRRefP22_4x_0)</f>
        <v>4478.8500000000004</v>
      </c>
      <c r="Q108" s="1"/>
      <c r="R108" s="5">
        <f t="shared" si="34"/>
        <v>1.9329417896771337E-3</v>
      </c>
      <c r="S108" s="1"/>
      <c r="T108" s="1">
        <f>SUM(OSRRefT22_4x_0)</f>
        <v>7986</v>
      </c>
      <c r="U108" s="1"/>
      <c r="V108" s="5">
        <f t="shared" si="35"/>
        <v>2.1171881959202374E-3</v>
      </c>
      <c r="W108" s="1"/>
      <c r="X108" s="1">
        <f t="shared" si="36"/>
        <v>-3507.1499999999996</v>
      </c>
      <c r="Y108" s="1"/>
      <c r="Z108" s="5">
        <f t="shared" si="37"/>
        <v>-0.4391622839969947</v>
      </c>
    </row>
    <row r="109" spans="1:26" s="24" customFormat="1" hidden="1" outlineLevel="2" x14ac:dyDescent="0.25">
      <c r="A109" s="25"/>
      <c r="B109" s="11" t="str">
        <f>CONCATENATE("          ", "6381", " - ", "BANK/CREDIT CARD FEES")</f>
        <v xml:space="preserve">          6381 - BANK/CREDIT CARD FEES</v>
      </c>
      <c r="C109" s="11"/>
      <c r="D109" s="7">
        <v>646.5</v>
      </c>
      <c r="E109" s="2"/>
      <c r="F109" s="6">
        <f t="shared" si="30"/>
        <v>1.5030608037267161E-3</v>
      </c>
      <c r="G109" s="2"/>
      <c r="H109" s="7">
        <v>1000</v>
      </c>
      <c r="I109" s="2"/>
      <c r="J109" s="6">
        <f t="shared" si="31"/>
        <v>2.1218943423931148E-3</v>
      </c>
      <c r="K109" s="2"/>
      <c r="L109" s="7">
        <f t="shared" si="32"/>
        <v>-353.5</v>
      </c>
      <c r="M109" s="2"/>
      <c r="N109" s="6">
        <f t="shared" si="33"/>
        <v>-0.35349999999999998</v>
      </c>
      <c r="O109" s="11"/>
      <c r="P109" s="7">
        <v>4478.8500000000004</v>
      </c>
      <c r="Q109" s="2"/>
      <c r="R109" s="6">
        <f t="shared" si="34"/>
        <v>1.9329417896771337E-3</v>
      </c>
      <c r="S109" s="2"/>
      <c r="T109" s="7">
        <v>7986</v>
      </c>
      <c r="U109" s="2"/>
      <c r="V109" s="6">
        <f t="shared" si="35"/>
        <v>2.1171881959202374E-3</v>
      </c>
      <c r="W109" s="2"/>
      <c r="X109" s="7">
        <f t="shared" si="36"/>
        <v>-3507.1499999999996</v>
      </c>
      <c r="Y109" s="2"/>
      <c r="Z109" s="6">
        <f t="shared" si="37"/>
        <v>-0.4391622839969947</v>
      </c>
    </row>
    <row r="110" spans="1:26" s="27" customFormat="1" outlineLevel="1" collapsed="1" x14ac:dyDescent="0.25">
      <c r="A110" s="26"/>
      <c r="B110" s="13" t="str">
        <f>CONCATENATE("     ","Discounts and Markdowns                           ")</f>
        <v xml:space="preserve">     Discounts and Markdowns                           </v>
      </c>
      <c r="C110" s="13"/>
      <c r="D110" s="1">
        <f>SUM(OSRRefD22_5x_0)</f>
        <v>0</v>
      </c>
      <c r="E110" s="1"/>
      <c r="F110" s="5">
        <f t="shared" si="30"/>
        <v>0</v>
      </c>
      <c r="G110" s="1"/>
      <c r="H110" s="1">
        <f>SUM(OSRRefH22_5x_0)</f>
        <v>36801</v>
      </c>
      <c r="I110" s="1"/>
      <c r="J110" s="5">
        <f t="shared" si="31"/>
        <v>7.8087833694409026E-2</v>
      </c>
      <c r="K110" s="1"/>
      <c r="L110" s="1">
        <f t="shared" si="32"/>
        <v>-36801</v>
      </c>
      <c r="M110" s="1"/>
      <c r="N110" s="5">
        <f t="shared" si="33"/>
        <v>-1</v>
      </c>
      <c r="O110" s="13"/>
      <c r="P110" s="1">
        <f>SUM(OSRRefP22_5x_0)</f>
        <v>0</v>
      </c>
      <c r="Q110" s="1"/>
      <c r="R110" s="5">
        <f t="shared" si="34"/>
        <v>0</v>
      </c>
      <c r="S110" s="1"/>
      <c r="T110" s="1">
        <f>SUM(OSRRefT22_5x_0)</f>
        <v>296165</v>
      </c>
      <c r="U110" s="1"/>
      <c r="V110" s="5">
        <f t="shared" si="35"/>
        <v>7.85170350669568E-2</v>
      </c>
      <c r="W110" s="1"/>
      <c r="X110" s="1">
        <f t="shared" si="36"/>
        <v>-296165</v>
      </c>
      <c r="Y110" s="1"/>
      <c r="Z110" s="5">
        <f t="shared" si="37"/>
        <v>-1</v>
      </c>
    </row>
    <row r="111" spans="1:26" s="24" customFormat="1" hidden="1" outlineLevel="2" x14ac:dyDescent="0.25">
      <c r="A111" s="25"/>
      <c r="B111" s="11" t="str">
        <f>CONCATENATE("          ", "6382", " - ", "DISCOUNTS/MARK DOWNS")</f>
        <v xml:space="preserve">          6382 - DISCOUNTS/MARK DOWNS</v>
      </c>
      <c r="C111" s="11"/>
      <c r="D111" s="7">
        <v>0</v>
      </c>
      <c r="E111" s="2"/>
      <c r="F111" s="6">
        <f t="shared" si="30"/>
        <v>0</v>
      </c>
      <c r="G111" s="2"/>
      <c r="H111" s="7">
        <v>36801</v>
      </c>
      <c r="I111" s="2"/>
      <c r="J111" s="6">
        <f t="shared" si="31"/>
        <v>7.8087833694409026E-2</v>
      </c>
      <c r="K111" s="2"/>
      <c r="L111" s="7">
        <f t="shared" si="32"/>
        <v>-36801</v>
      </c>
      <c r="M111" s="2"/>
      <c r="N111" s="6">
        <f t="shared" si="33"/>
        <v>-1</v>
      </c>
      <c r="O111" s="11"/>
      <c r="P111" s="7">
        <v>0</v>
      </c>
      <c r="Q111" s="2"/>
      <c r="R111" s="6">
        <f t="shared" si="34"/>
        <v>0</v>
      </c>
      <c r="S111" s="2"/>
      <c r="T111" s="7">
        <v>296165</v>
      </c>
      <c r="U111" s="2"/>
      <c r="V111" s="6">
        <f t="shared" si="35"/>
        <v>7.85170350669568E-2</v>
      </c>
      <c r="W111" s="2"/>
      <c r="X111" s="7">
        <f t="shared" si="36"/>
        <v>-296165</v>
      </c>
      <c r="Y111" s="2"/>
      <c r="Z111" s="6">
        <f t="shared" si="37"/>
        <v>-1</v>
      </c>
    </row>
    <row r="112" spans="1:26" s="24" customFormat="1" hidden="1" outlineLevel="2" x14ac:dyDescent="0.25">
      <c r="A112" s="25"/>
      <c r="B112" s="11" t="str">
        <f>CONCATENATE("          ", "9175", " - ", "EARNED DISCOUNTS")</f>
        <v xml:space="preserve">          9175 - EARNED DISCOUNTS</v>
      </c>
      <c r="C112" s="11"/>
      <c r="D112" s="7"/>
      <c r="E112" s="2"/>
      <c r="F112" s="6">
        <f t="shared" si="30"/>
        <v>0</v>
      </c>
      <c r="G112" s="2"/>
      <c r="H112" s="7"/>
      <c r="I112" s="2"/>
      <c r="J112" s="6">
        <f t="shared" si="31"/>
        <v>0</v>
      </c>
      <c r="K112" s="2"/>
      <c r="L112" s="7">
        <f t="shared" si="32"/>
        <v>0</v>
      </c>
      <c r="M112" s="2"/>
      <c r="N112" s="6">
        <f t="shared" si="33"/>
        <v>0</v>
      </c>
      <c r="O112" s="11"/>
      <c r="P112" s="7">
        <v>0</v>
      </c>
      <c r="Q112" s="2"/>
      <c r="R112" s="6">
        <f t="shared" si="34"/>
        <v>0</v>
      </c>
      <c r="S112" s="2"/>
      <c r="T112" s="7"/>
      <c r="U112" s="2"/>
      <c r="V112" s="6">
        <f t="shared" si="35"/>
        <v>0</v>
      </c>
      <c r="W112" s="2"/>
      <c r="X112" s="7">
        <f t="shared" si="36"/>
        <v>0</v>
      </c>
      <c r="Y112" s="2"/>
      <c r="Z112" s="6">
        <f t="shared" si="37"/>
        <v>0</v>
      </c>
    </row>
    <row r="113" spans="1:26" s="27" customFormat="1" outlineLevel="1" collapsed="1" x14ac:dyDescent="0.25">
      <c r="A113" s="26"/>
      <c r="B113" s="13" t="str">
        <f>CONCATENATE("     ","Donations                                         ")</f>
        <v xml:space="preserve">     Donations                                         </v>
      </c>
      <c r="C113" s="13"/>
      <c r="D113" s="1">
        <f>SUM(OSRRefD22_6x_0)</f>
        <v>0</v>
      </c>
      <c r="E113" s="1"/>
      <c r="F113" s="5">
        <f t="shared" ref="F113:F119" si="38">IF(D$12=0,0,D113/D$12)</f>
        <v>0</v>
      </c>
      <c r="G113" s="1"/>
      <c r="H113" s="1">
        <f>SUM(OSRRefH22_6x_0)</f>
        <v>0</v>
      </c>
      <c r="I113" s="1"/>
      <c r="J113" s="5">
        <f t="shared" ref="J113:J119" si="39">IF(H$12=0,0,H113/H$12)</f>
        <v>0</v>
      </c>
      <c r="K113" s="1"/>
      <c r="L113" s="1">
        <f t="shared" ref="L113:L119" si="40">+D113-H113</f>
        <v>0</v>
      </c>
      <c r="M113" s="1"/>
      <c r="N113" s="5">
        <f t="shared" ref="N113:N119" si="41">IF(H113=0,0,L113/H113)</f>
        <v>0</v>
      </c>
      <c r="O113" s="13"/>
      <c r="P113" s="1">
        <f>SUM(OSRRefP22_6x_0)</f>
        <v>0</v>
      </c>
      <c r="Q113" s="1"/>
      <c r="R113" s="5">
        <f t="shared" ref="R113:R119" si="42">IF(P$12=0,0,P113/P$12)</f>
        <v>0</v>
      </c>
      <c r="S113" s="1"/>
      <c r="T113" s="1">
        <f>SUM(OSRRefT22_6x_0)</f>
        <v>0</v>
      </c>
      <c r="U113" s="1"/>
      <c r="V113" s="5">
        <f t="shared" ref="V113:V119" si="43">IF(T$12=0,0,T113/T$12)</f>
        <v>0</v>
      </c>
      <c r="W113" s="1"/>
      <c r="X113" s="1">
        <f t="shared" ref="X113:X119" si="44">+P113-T113</f>
        <v>0</v>
      </c>
      <c r="Y113" s="1"/>
      <c r="Z113" s="5">
        <f t="shared" ref="Z113:Z119" si="45">IF(T113=0,0,X113/T113)</f>
        <v>0</v>
      </c>
    </row>
    <row r="114" spans="1:26" s="24" customFormat="1" hidden="1" outlineLevel="2" x14ac:dyDescent="0.25">
      <c r="A114" s="25"/>
      <c r="B114" s="11" t="str">
        <f>CONCATENATE("          ", "6395", " - ", "DONATION-OFF CAMPUS")</f>
        <v xml:space="preserve">          6395 - DONATION-OFF CAMPUS</v>
      </c>
      <c r="C114" s="11"/>
      <c r="D114" s="7"/>
      <c r="E114" s="2"/>
      <c r="F114" s="6">
        <f t="shared" si="38"/>
        <v>0</v>
      </c>
      <c r="G114" s="2"/>
      <c r="H114" s="7"/>
      <c r="I114" s="2"/>
      <c r="J114" s="6">
        <f t="shared" si="39"/>
        <v>0</v>
      </c>
      <c r="K114" s="2"/>
      <c r="L114" s="7">
        <f t="shared" si="40"/>
        <v>0</v>
      </c>
      <c r="M114" s="2"/>
      <c r="N114" s="6">
        <f t="shared" si="41"/>
        <v>0</v>
      </c>
      <c r="O114" s="11"/>
      <c r="P114" s="7"/>
      <c r="Q114" s="2"/>
      <c r="R114" s="6">
        <f t="shared" si="42"/>
        <v>0</v>
      </c>
      <c r="S114" s="2"/>
      <c r="T114" s="7">
        <v>0</v>
      </c>
      <c r="U114" s="2"/>
      <c r="V114" s="6">
        <f t="shared" si="43"/>
        <v>0</v>
      </c>
      <c r="W114" s="2"/>
      <c r="X114" s="7">
        <f t="shared" si="44"/>
        <v>0</v>
      </c>
      <c r="Y114" s="2"/>
      <c r="Z114" s="6">
        <f t="shared" si="45"/>
        <v>0</v>
      </c>
    </row>
    <row r="115" spans="1:26" s="27" customFormat="1" outlineLevel="1" collapsed="1" x14ac:dyDescent="0.25">
      <c r="A115" s="26"/>
      <c r="B115" s="13" t="str">
        <f>CONCATENATE("     ","Employees' Appreciation                           ")</f>
        <v xml:space="preserve">     Employees' Appreciation                           </v>
      </c>
      <c r="C115" s="13"/>
      <c r="D115" s="1">
        <f>SUM(OSRRefD22_7x_0)</f>
        <v>0</v>
      </c>
      <c r="E115" s="1"/>
      <c r="F115" s="5">
        <f t="shared" si="38"/>
        <v>0</v>
      </c>
      <c r="G115" s="1"/>
      <c r="H115" s="1">
        <f>SUM(OSRRefH22_7x_0)</f>
        <v>200</v>
      </c>
      <c r="I115" s="1"/>
      <c r="J115" s="5">
        <f t="shared" si="39"/>
        <v>4.24378868478623E-4</v>
      </c>
      <c r="K115" s="1"/>
      <c r="L115" s="1">
        <f t="shared" si="40"/>
        <v>-200</v>
      </c>
      <c r="M115" s="1"/>
      <c r="N115" s="5">
        <f t="shared" si="41"/>
        <v>-1</v>
      </c>
      <c r="O115" s="13"/>
      <c r="P115" s="1">
        <f>SUM(OSRRefP22_7x_0)</f>
        <v>0</v>
      </c>
      <c r="Q115" s="1"/>
      <c r="R115" s="5">
        <f t="shared" si="42"/>
        <v>0</v>
      </c>
      <c r="S115" s="1"/>
      <c r="T115" s="1">
        <f>SUM(OSRRefT22_7x_0)</f>
        <v>2200</v>
      </c>
      <c r="U115" s="1"/>
      <c r="V115" s="5">
        <f t="shared" si="43"/>
        <v>5.8324743689262728E-4</v>
      </c>
      <c r="W115" s="1"/>
      <c r="X115" s="1">
        <f t="shared" si="44"/>
        <v>-2200</v>
      </c>
      <c r="Y115" s="1"/>
      <c r="Z115" s="5">
        <f t="shared" si="45"/>
        <v>-1</v>
      </c>
    </row>
    <row r="116" spans="1:26" s="24" customFormat="1" hidden="1" outlineLevel="2" x14ac:dyDescent="0.25">
      <c r="A116" s="25"/>
      <c r="B116" s="11" t="str">
        <f>CONCATENATE("          ", "6277", " - ", "EMPLOYEE APPRECIATION")</f>
        <v xml:space="preserve">          6277 - EMPLOYEE APPRECIATION</v>
      </c>
      <c r="C116" s="11"/>
      <c r="D116" s="7"/>
      <c r="E116" s="2"/>
      <c r="F116" s="6">
        <f t="shared" si="38"/>
        <v>0</v>
      </c>
      <c r="G116" s="2"/>
      <c r="H116" s="7">
        <v>200</v>
      </c>
      <c r="I116" s="2"/>
      <c r="J116" s="6">
        <f t="shared" si="39"/>
        <v>4.24378868478623E-4</v>
      </c>
      <c r="K116" s="2"/>
      <c r="L116" s="7">
        <f t="shared" si="40"/>
        <v>-200</v>
      </c>
      <c r="M116" s="2"/>
      <c r="N116" s="6">
        <f t="shared" si="41"/>
        <v>-1</v>
      </c>
      <c r="O116" s="11"/>
      <c r="P116" s="7"/>
      <c r="Q116" s="2"/>
      <c r="R116" s="6">
        <f t="shared" si="42"/>
        <v>0</v>
      </c>
      <c r="S116" s="2"/>
      <c r="T116" s="7">
        <v>2200</v>
      </c>
      <c r="U116" s="2"/>
      <c r="V116" s="6">
        <f t="shared" si="43"/>
        <v>5.8324743689262728E-4</v>
      </c>
      <c r="W116" s="2"/>
      <c r="X116" s="7">
        <f t="shared" si="44"/>
        <v>-2200</v>
      </c>
      <c r="Y116" s="2"/>
      <c r="Z116" s="6">
        <f t="shared" si="45"/>
        <v>-1</v>
      </c>
    </row>
    <row r="117" spans="1:26" s="27" customFormat="1" outlineLevel="1" collapsed="1" x14ac:dyDescent="0.25">
      <c r="A117" s="26"/>
      <c r="B117" s="13" t="str">
        <f>CONCATENATE("     ","Freight out/Postage                               ")</f>
        <v xml:space="preserve">     Freight out/Postage                               </v>
      </c>
      <c r="C117" s="13"/>
      <c r="D117" s="1">
        <f>SUM(OSRRefD22_8x_0)</f>
        <v>29.05</v>
      </c>
      <c r="E117" s="1"/>
      <c r="F117" s="5">
        <f t="shared" si="38"/>
        <v>6.753892706614247E-5</v>
      </c>
      <c r="G117" s="1"/>
      <c r="H117" s="1">
        <f>SUM(OSRRefH22_8x_0)</f>
        <v>10</v>
      </c>
      <c r="I117" s="1"/>
      <c r="J117" s="5">
        <f t="shared" si="39"/>
        <v>2.1218943423931149E-5</v>
      </c>
      <c r="K117" s="1"/>
      <c r="L117" s="1">
        <f t="shared" si="40"/>
        <v>19.05</v>
      </c>
      <c r="M117" s="1"/>
      <c r="N117" s="5">
        <f t="shared" si="41"/>
        <v>1.905</v>
      </c>
      <c r="O117" s="13"/>
      <c r="P117" s="1">
        <f>SUM(OSRRefP22_8x_0)</f>
        <v>-146.84999999999997</v>
      </c>
      <c r="Q117" s="1"/>
      <c r="R117" s="5">
        <f t="shared" si="42"/>
        <v>-6.3376201885324794E-5</v>
      </c>
      <c r="S117" s="1"/>
      <c r="T117" s="1">
        <f>SUM(OSRRefT22_8x_0)</f>
        <v>110</v>
      </c>
      <c r="U117" s="1"/>
      <c r="V117" s="5">
        <f t="shared" si="43"/>
        <v>2.9162371844631366E-5</v>
      </c>
      <c r="W117" s="1"/>
      <c r="X117" s="1">
        <f t="shared" si="44"/>
        <v>-256.84999999999997</v>
      </c>
      <c r="Y117" s="1"/>
      <c r="Z117" s="5">
        <f t="shared" si="45"/>
        <v>-2.3349999999999995</v>
      </c>
    </row>
    <row r="118" spans="1:26" s="24" customFormat="1" hidden="1" outlineLevel="2" x14ac:dyDescent="0.25">
      <c r="A118" s="25"/>
      <c r="B118" s="11" t="str">
        <f>CONCATENATE("          ", "6305", " - ", "FREIGHT OUT")</f>
        <v xml:space="preserve">          6305 - FREIGHT OUT</v>
      </c>
      <c r="C118" s="11"/>
      <c r="D118" s="7">
        <v>29.05</v>
      </c>
      <c r="E118" s="2"/>
      <c r="F118" s="6">
        <f t="shared" si="38"/>
        <v>6.753892706614247E-5</v>
      </c>
      <c r="G118" s="2"/>
      <c r="H118" s="7"/>
      <c r="I118" s="2"/>
      <c r="J118" s="6">
        <f t="shared" si="39"/>
        <v>0</v>
      </c>
      <c r="K118" s="2"/>
      <c r="L118" s="7">
        <f t="shared" si="40"/>
        <v>29.05</v>
      </c>
      <c r="M118" s="2"/>
      <c r="N118" s="6">
        <f t="shared" si="41"/>
        <v>0</v>
      </c>
      <c r="O118" s="11"/>
      <c r="P118" s="7">
        <v>142.49</v>
      </c>
      <c r="Q118" s="2"/>
      <c r="R118" s="6">
        <f t="shared" si="42"/>
        <v>6.1494552309430942E-5</v>
      </c>
      <c r="S118" s="2"/>
      <c r="T118" s="7"/>
      <c r="U118" s="2"/>
      <c r="V118" s="6">
        <f t="shared" si="43"/>
        <v>0</v>
      </c>
      <c r="W118" s="2"/>
      <c r="X118" s="7">
        <f t="shared" si="44"/>
        <v>142.49</v>
      </c>
      <c r="Y118" s="2"/>
      <c r="Z118" s="6">
        <f t="shared" si="45"/>
        <v>0</v>
      </c>
    </row>
    <row r="119" spans="1:26" s="24" customFormat="1" hidden="1" outlineLevel="2" x14ac:dyDescent="0.25">
      <c r="A119" s="25"/>
      <c r="B119" s="11" t="str">
        <f>CONCATENATE("          ", "6307", " - ", "POSTAGE")</f>
        <v xml:space="preserve">          6307 - POSTAGE</v>
      </c>
      <c r="C119" s="11"/>
      <c r="D119" s="7"/>
      <c r="E119" s="2"/>
      <c r="F119" s="6">
        <f t="shared" si="38"/>
        <v>0</v>
      </c>
      <c r="G119" s="2"/>
      <c r="H119" s="7">
        <v>10</v>
      </c>
      <c r="I119" s="2"/>
      <c r="J119" s="6">
        <f t="shared" si="39"/>
        <v>2.1218943423931149E-5</v>
      </c>
      <c r="K119" s="2"/>
      <c r="L119" s="7">
        <f t="shared" si="40"/>
        <v>-10</v>
      </c>
      <c r="M119" s="2"/>
      <c r="N119" s="6">
        <f t="shared" si="41"/>
        <v>-1</v>
      </c>
      <c r="O119" s="11"/>
      <c r="P119" s="7">
        <v>-289.33999999999997</v>
      </c>
      <c r="Q119" s="2"/>
      <c r="R119" s="6">
        <f t="shared" si="42"/>
        <v>-1.2487075419475574E-4</v>
      </c>
      <c r="S119" s="2"/>
      <c r="T119" s="7">
        <v>110</v>
      </c>
      <c r="U119" s="2"/>
      <c r="V119" s="6">
        <f t="shared" si="43"/>
        <v>2.9162371844631366E-5</v>
      </c>
      <c r="W119" s="2"/>
      <c r="X119" s="7">
        <f t="shared" si="44"/>
        <v>-399.34</v>
      </c>
      <c r="Y119" s="2"/>
      <c r="Z119" s="6">
        <f t="shared" si="45"/>
        <v>-3.630363636363636</v>
      </c>
    </row>
    <row r="120" spans="1:26" s="27" customFormat="1" outlineLevel="1" collapsed="1" x14ac:dyDescent="0.25">
      <c r="A120" s="26"/>
      <c r="B120" s="13" t="str">
        <f>CONCATENATE("     ","General                                           ")</f>
        <v xml:space="preserve">     General                                           </v>
      </c>
      <c r="C120" s="13"/>
      <c r="D120" s="1">
        <f>SUM(OSRRefD22_9x_0)</f>
        <v>0</v>
      </c>
      <c r="E120" s="1"/>
      <c r="F120" s="5">
        <f t="shared" ref="F120:F122" si="46">IF(D$12=0,0,D120/D$12)</f>
        <v>0</v>
      </c>
      <c r="G120" s="1"/>
      <c r="H120" s="1">
        <f>SUM(OSRRefH22_9x_0)</f>
        <v>0</v>
      </c>
      <c r="I120" s="1"/>
      <c r="J120" s="5">
        <f t="shared" ref="J120:J122" si="47">IF(H$12=0,0,H120/H$12)</f>
        <v>0</v>
      </c>
      <c r="K120" s="1"/>
      <c r="L120" s="1">
        <f t="shared" ref="L120:L122" si="48">+D120-H120</f>
        <v>0</v>
      </c>
      <c r="M120" s="1"/>
      <c r="N120" s="5">
        <f t="shared" ref="N120:N122" si="49">IF(H120=0,0,L120/H120)</f>
        <v>0</v>
      </c>
      <c r="O120" s="13"/>
      <c r="P120" s="1">
        <f>SUM(OSRRefP22_9x_0)</f>
        <v>1380.29</v>
      </c>
      <c r="Q120" s="1"/>
      <c r="R120" s="5">
        <f t="shared" ref="R120:R122" si="50">IF(P$12=0,0,P120/P$12)</f>
        <v>5.9569314062168867E-4</v>
      </c>
      <c r="S120" s="1"/>
      <c r="T120" s="1">
        <f>SUM(OSRRefT22_9x_0)</f>
        <v>2500</v>
      </c>
      <c r="U120" s="1"/>
      <c r="V120" s="5">
        <f t="shared" ref="V120:V122" si="51">IF(T$12=0,0,T120/T$12)</f>
        <v>6.6278117828707649E-4</v>
      </c>
      <c r="W120" s="1"/>
      <c r="X120" s="1">
        <f t="shared" ref="X120:X122" si="52">+P120-T120</f>
        <v>-1119.71</v>
      </c>
      <c r="Y120" s="1"/>
      <c r="Z120" s="5">
        <f t="shared" ref="Z120:Z122" si="53">IF(T120=0,0,X120/T120)</f>
        <v>-0.447884</v>
      </c>
    </row>
    <row r="121" spans="1:26" s="24" customFormat="1" hidden="1" outlineLevel="2" x14ac:dyDescent="0.25">
      <c r="A121" s="25"/>
      <c r="B121" s="11" t="str">
        <f>CONCATENATE("          ", "6276", " - ", "PROPERTY TAX")</f>
        <v xml:space="preserve">          6276 - PROPERTY TAX</v>
      </c>
      <c r="C121" s="11"/>
      <c r="D121" s="7"/>
      <c r="E121" s="2"/>
      <c r="F121" s="6">
        <f t="shared" si="46"/>
        <v>0</v>
      </c>
      <c r="G121" s="2"/>
      <c r="H121" s="7"/>
      <c r="I121" s="2"/>
      <c r="J121" s="6">
        <f t="shared" si="47"/>
        <v>0</v>
      </c>
      <c r="K121" s="2"/>
      <c r="L121" s="7">
        <f t="shared" si="48"/>
        <v>0</v>
      </c>
      <c r="M121" s="2"/>
      <c r="N121" s="6">
        <f t="shared" si="49"/>
        <v>0</v>
      </c>
      <c r="O121" s="11"/>
      <c r="P121" s="7"/>
      <c r="Q121" s="2"/>
      <c r="R121" s="6">
        <f t="shared" si="50"/>
        <v>0</v>
      </c>
      <c r="S121" s="2"/>
      <c r="T121" s="7">
        <v>150</v>
      </c>
      <c r="U121" s="2"/>
      <c r="V121" s="6">
        <f t="shared" si="51"/>
        <v>3.9766870697224591E-5</v>
      </c>
      <c r="W121" s="2"/>
      <c r="X121" s="7">
        <f t="shared" si="52"/>
        <v>-150</v>
      </c>
      <c r="Y121" s="2"/>
      <c r="Z121" s="6">
        <f t="shared" si="53"/>
        <v>-1</v>
      </c>
    </row>
    <row r="122" spans="1:26" s="24" customFormat="1" hidden="1" outlineLevel="2" x14ac:dyDescent="0.25">
      <c r="A122" s="25"/>
      <c r="B122" s="11" t="str">
        <f>CONCATENATE("          ", "6279", " - ", "GENERAL EXPENSE")</f>
        <v xml:space="preserve">          6279 - GENERAL EXPENSE</v>
      </c>
      <c r="C122" s="11"/>
      <c r="D122" s="7"/>
      <c r="E122" s="2"/>
      <c r="F122" s="6">
        <f t="shared" si="46"/>
        <v>0</v>
      </c>
      <c r="G122" s="2"/>
      <c r="H122" s="7">
        <v>0</v>
      </c>
      <c r="I122" s="2"/>
      <c r="J122" s="6">
        <f t="shared" si="47"/>
        <v>0</v>
      </c>
      <c r="K122" s="2"/>
      <c r="L122" s="7">
        <f t="shared" si="48"/>
        <v>0</v>
      </c>
      <c r="M122" s="2"/>
      <c r="N122" s="6">
        <f t="shared" si="49"/>
        <v>0</v>
      </c>
      <c r="O122" s="11"/>
      <c r="P122" s="7">
        <v>1380.29</v>
      </c>
      <c r="Q122" s="2"/>
      <c r="R122" s="6">
        <f t="shared" si="50"/>
        <v>5.9569314062168867E-4</v>
      </c>
      <c r="S122" s="2"/>
      <c r="T122" s="7">
        <v>2350</v>
      </c>
      <c r="U122" s="2"/>
      <c r="V122" s="6">
        <f t="shared" si="51"/>
        <v>6.2301430758985189E-4</v>
      </c>
      <c r="W122" s="2"/>
      <c r="X122" s="7">
        <f t="shared" si="52"/>
        <v>-969.71</v>
      </c>
      <c r="Y122" s="2"/>
      <c r="Z122" s="6">
        <f t="shared" si="53"/>
        <v>-0.4126425531914894</v>
      </c>
    </row>
    <row r="123" spans="1:26" s="27" customFormat="1" outlineLevel="1" collapsed="1" x14ac:dyDescent="0.25">
      <c r="A123" s="26"/>
      <c r="B123" s="13" t="str">
        <f>CONCATENATE("     ","Insurance                                         ")</f>
        <v xml:space="preserve">     Insurance                                         </v>
      </c>
      <c r="C123" s="13"/>
      <c r="D123" s="1">
        <f>SUM(OSRRefD22_10x_0)</f>
        <v>161.18</v>
      </c>
      <c r="E123" s="1"/>
      <c r="F123" s="5">
        <f t="shared" ref="F123:F127" si="54">IF(D$12=0,0,D123/D$12)</f>
        <v>3.7473061151534746E-4</v>
      </c>
      <c r="G123" s="1"/>
      <c r="H123" s="1">
        <f>SUM(OSRRefH22_10x_0)</f>
        <v>176</v>
      </c>
      <c r="I123" s="1"/>
      <c r="J123" s="5">
        <f t="shared" ref="J123:J127" si="55">IF(H$12=0,0,H123/H$12)</f>
        <v>3.7345340426118821E-4</v>
      </c>
      <c r="K123" s="1"/>
      <c r="L123" s="1">
        <f t="shared" ref="L123:L127" si="56">+D123-H123</f>
        <v>-14.819999999999993</v>
      </c>
      <c r="M123" s="1"/>
      <c r="N123" s="5">
        <f t="shared" ref="N123:N127" si="57">IF(H123=0,0,L123/H123)</f>
        <v>-8.4204545454545421E-2</v>
      </c>
      <c r="O123" s="13"/>
      <c r="P123" s="1">
        <f>SUM(OSRRefP22_10x_0)</f>
        <v>1772.98</v>
      </c>
      <c r="Q123" s="1"/>
      <c r="R123" s="5">
        <f t="shared" ref="R123:R127" si="58">IF(P$12=0,0,P123/P$12)</f>
        <v>7.6516675804319501E-4</v>
      </c>
      <c r="S123" s="1"/>
      <c r="T123" s="1">
        <f>SUM(OSRRefT22_10x_0)</f>
        <v>1936</v>
      </c>
      <c r="U123" s="1"/>
      <c r="V123" s="5">
        <f t="shared" ref="V123:V127" si="59">IF(T$12=0,0,T123/T$12)</f>
        <v>5.1325774446551206E-4</v>
      </c>
      <c r="W123" s="1"/>
      <c r="X123" s="1">
        <f t="shared" ref="X123:X127" si="60">+P123-T123</f>
        <v>-163.01999999999998</v>
      </c>
      <c r="Y123" s="1"/>
      <c r="Z123" s="5">
        <f t="shared" ref="Z123:Z127" si="61">IF(T123=0,0,X123/T123)</f>
        <v>-8.4204545454545449E-2</v>
      </c>
    </row>
    <row r="124" spans="1:26" s="24" customFormat="1" hidden="1" outlineLevel="2" x14ac:dyDescent="0.25">
      <c r="A124" s="25"/>
      <c r="B124" s="11" t="str">
        <f>CONCATENATE("          ", "6314", " - ", "LIABILITY INSURANCE")</f>
        <v xml:space="preserve">          6314 - LIABILITY INSURANCE</v>
      </c>
      <c r="C124" s="11"/>
      <c r="D124" s="7">
        <v>161.18</v>
      </c>
      <c r="E124" s="2"/>
      <c r="F124" s="6">
        <f t="shared" si="54"/>
        <v>3.7473061151534746E-4</v>
      </c>
      <c r="G124" s="2"/>
      <c r="H124" s="7">
        <v>176</v>
      </c>
      <c r="I124" s="2"/>
      <c r="J124" s="6">
        <f t="shared" si="55"/>
        <v>3.7345340426118821E-4</v>
      </c>
      <c r="K124" s="2"/>
      <c r="L124" s="7">
        <f t="shared" si="56"/>
        <v>-14.819999999999993</v>
      </c>
      <c r="M124" s="2"/>
      <c r="N124" s="6">
        <f t="shared" si="57"/>
        <v>-8.4204545454545421E-2</v>
      </c>
      <c r="O124" s="11"/>
      <c r="P124" s="7">
        <v>1772.98</v>
      </c>
      <c r="Q124" s="2"/>
      <c r="R124" s="6">
        <f t="shared" si="58"/>
        <v>7.6516675804319501E-4</v>
      </c>
      <c r="S124" s="2"/>
      <c r="T124" s="7">
        <v>1936</v>
      </c>
      <c r="U124" s="2"/>
      <c r="V124" s="6">
        <f t="shared" si="59"/>
        <v>5.1325774446551206E-4</v>
      </c>
      <c r="W124" s="2"/>
      <c r="X124" s="7">
        <f t="shared" si="60"/>
        <v>-163.01999999999998</v>
      </c>
      <c r="Y124" s="2"/>
      <c r="Z124" s="6">
        <f t="shared" si="61"/>
        <v>-8.4204545454545449E-2</v>
      </c>
    </row>
    <row r="125" spans="1:26" s="27" customFormat="1" outlineLevel="1" collapsed="1" x14ac:dyDescent="0.25">
      <c r="A125" s="26"/>
      <c r="B125" s="13" t="str">
        <f>CONCATENATE("     ","Inventory Adjustment                              ")</f>
        <v xml:space="preserve">     Inventory Adjustment                              </v>
      </c>
      <c r="C125" s="13"/>
      <c r="D125" s="1">
        <f>SUM(OSRRefD22_11x_0)</f>
        <v>1100</v>
      </c>
      <c r="E125" s="1"/>
      <c r="F125" s="5">
        <f t="shared" si="54"/>
        <v>2.5574120403702829E-3</v>
      </c>
      <c r="G125" s="1"/>
      <c r="H125" s="1">
        <f>SUM(OSRRefH22_11x_0)</f>
        <v>1100</v>
      </c>
      <c r="I125" s="1"/>
      <c r="J125" s="5">
        <f t="shared" si="55"/>
        <v>2.3340837766324262E-3</v>
      </c>
      <c r="K125" s="1"/>
      <c r="L125" s="1">
        <f t="shared" si="56"/>
        <v>0</v>
      </c>
      <c r="M125" s="1"/>
      <c r="N125" s="5">
        <f t="shared" si="57"/>
        <v>0</v>
      </c>
      <c r="O125" s="13"/>
      <c r="P125" s="1">
        <f>SUM(OSRRefP22_11x_0)</f>
        <v>12100</v>
      </c>
      <c r="Q125" s="1"/>
      <c r="R125" s="5">
        <f t="shared" si="58"/>
        <v>5.2220091441091609E-3</v>
      </c>
      <c r="S125" s="1"/>
      <c r="T125" s="1">
        <f>SUM(OSRRefT22_11x_0)</f>
        <v>12100</v>
      </c>
      <c r="U125" s="1"/>
      <c r="V125" s="5">
        <f t="shared" si="59"/>
        <v>3.2078609029094502E-3</v>
      </c>
      <c r="W125" s="1"/>
      <c r="X125" s="1">
        <f t="shared" si="60"/>
        <v>0</v>
      </c>
      <c r="Y125" s="1"/>
      <c r="Z125" s="5">
        <f t="shared" si="61"/>
        <v>0</v>
      </c>
    </row>
    <row r="126" spans="1:26" s="24" customFormat="1" hidden="1" outlineLevel="2" x14ac:dyDescent="0.25">
      <c r="A126" s="25"/>
      <c r="B126" s="11" t="str">
        <f>CONCATENATE("          ", "6408", " - ", "INVENTORY ADJUSTMENT")</f>
        <v xml:space="preserve">          6408 - INVENTORY ADJUSTMENT</v>
      </c>
      <c r="C126" s="11"/>
      <c r="D126" s="7">
        <v>1100</v>
      </c>
      <c r="E126" s="2"/>
      <c r="F126" s="6">
        <f t="shared" si="54"/>
        <v>2.5574120403702829E-3</v>
      </c>
      <c r="G126" s="2"/>
      <c r="H126" s="7">
        <v>1100</v>
      </c>
      <c r="I126" s="2"/>
      <c r="J126" s="6">
        <f t="shared" si="55"/>
        <v>2.3340837766324262E-3</v>
      </c>
      <c r="K126" s="2"/>
      <c r="L126" s="7">
        <f t="shared" si="56"/>
        <v>0</v>
      </c>
      <c r="M126" s="2"/>
      <c r="N126" s="6">
        <f t="shared" si="57"/>
        <v>0</v>
      </c>
      <c r="O126" s="11"/>
      <c r="P126" s="7">
        <v>12100</v>
      </c>
      <c r="Q126" s="2"/>
      <c r="R126" s="6">
        <f t="shared" si="58"/>
        <v>5.2220091441091609E-3</v>
      </c>
      <c r="S126" s="2"/>
      <c r="T126" s="7">
        <v>12100</v>
      </c>
      <c r="U126" s="2"/>
      <c r="V126" s="6">
        <f t="shared" si="59"/>
        <v>3.2078609029094502E-3</v>
      </c>
      <c r="W126" s="2"/>
      <c r="X126" s="7">
        <f t="shared" si="60"/>
        <v>0</v>
      </c>
      <c r="Y126" s="2"/>
      <c r="Z126" s="6">
        <f t="shared" si="61"/>
        <v>0</v>
      </c>
    </row>
    <row r="127" spans="1:26" s="24" customFormat="1" hidden="1" outlineLevel="2" x14ac:dyDescent="0.25">
      <c r="A127" s="25"/>
      <c r="B127" s="11" t="str">
        <f>CONCATENATE("          ", "7741", " - ", "INV. SHRINKAGE-LOGO GIFTS")</f>
        <v xml:space="preserve">          7741 - INV. SHRINKAGE-LOGO GIFTS</v>
      </c>
      <c r="C127" s="11"/>
      <c r="D127" s="7"/>
      <c r="E127" s="2"/>
      <c r="F127" s="6">
        <f t="shared" si="54"/>
        <v>0</v>
      </c>
      <c r="G127" s="2"/>
      <c r="H127" s="7"/>
      <c r="I127" s="2"/>
      <c r="J127" s="6">
        <f t="shared" si="55"/>
        <v>0</v>
      </c>
      <c r="K127" s="2"/>
      <c r="L127" s="7">
        <f t="shared" si="56"/>
        <v>0</v>
      </c>
      <c r="M127" s="2"/>
      <c r="N127" s="6">
        <f t="shared" si="57"/>
        <v>0</v>
      </c>
      <c r="O127" s="11"/>
      <c r="P127" s="7">
        <v>0</v>
      </c>
      <c r="Q127" s="2"/>
      <c r="R127" s="6">
        <f t="shared" si="58"/>
        <v>0</v>
      </c>
      <c r="S127" s="2"/>
      <c r="T127" s="7"/>
      <c r="U127" s="2"/>
      <c r="V127" s="6">
        <f t="shared" si="59"/>
        <v>0</v>
      </c>
      <c r="W127" s="2"/>
      <c r="X127" s="7">
        <f t="shared" si="60"/>
        <v>0</v>
      </c>
      <c r="Y127" s="2"/>
      <c r="Z127" s="6">
        <f t="shared" si="61"/>
        <v>0</v>
      </c>
    </row>
    <row r="128" spans="1:26" s="27" customFormat="1" outlineLevel="1" collapsed="1" x14ac:dyDescent="0.25">
      <c r="A128" s="26"/>
      <c r="B128" s="13" t="str">
        <f>CONCATENATE("     ","Professional Services                             ")</f>
        <v xml:space="preserve">     Professional Services                             </v>
      </c>
      <c r="C128" s="13"/>
      <c r="D128" s="1">
        <f>SUM(OSRRefD22_12x_0)</f>
        <v>0</v>
      </c>
      <c r="E128" s="1"/>
      <c r="F128" s="5">
        <f t="shared" ref="F128:F135" si="62">IF(D$12=0,0,D128/D$12)</f>
        <v>0</v>
      </c>
      <c r="G128" s="1"/>
      <c r="H128" s="1">
        <f>SUM(OSRRefH22_12x_0)</f>
        <v>0</v>
      </c>
      <c r="I128" s="1"/>
      <c r="J128" s="5">
        <f t="shared" ref="J128:J135" si="63">IF(H$12=0,0,H128/H$12)</f>
        <v>0</v>
      </c>
      <c r="K128" s="1"/>
      <c r="L128" s="1">
        <f t="shared" ref="L128:L135" si="64">+D128-H128</f>
        <v>0</v>
      </c>
      <c r="M128" s="1"/>
      <c r="N128" s="5">
        <f t="shared" ref="N128:N135" si="65">IF(H128=0,0,L128/H128)</f>
        <v>0</v>
      </c>
      <c r="O128" s="13"/>
      <c r="P128" s="1">
        <f>SUM(OSRRefP22_12x_0)</f>
        <v>0</v>
      </c>
      <c r="Q128" s="1"/>
      <c r="R128" s="5">
        <f t="shared" ref="R128:R135" si="66">IF(P$12=0,0,P128/P$12)</f>
        <v>0</v>
      </c>
      <c r="S128" s="1"/>
      <c r="T128" s="1">
        <f>SUM(OSRRefT22_12x_0)</f>
        <v>6500</v>
      </c>
      <c r="U128" s="1"/>
      <c r="V128" s="5">
        <f t="shared" ref="V128:V135" si="67">IF(T$12=0,0,T128/T$12)</f>
        <v>1.723231063546399E-3</v>
      </c>
      <c r="W128" s="1"/>
      <c r="X128" s="1">
        <f t="shared" ref="X128:X135" si="68">+P128-T128</f>
        <v>-6500</v>
      </c>
      <c r="Y128" s="1"/>
      <c r="Z128" s="5">
        <f t="shared" ref="Z128:Z135" si="69">IF(T128=0,0,X128/T128)</f>
        <v>-1</v>
      </c>
    </row>
    <row r="129" spans="1:26" s="24" customFormat="1" hidden="1" outlineLevel="2" x14ac:dyDescent="0.25">
      <c r="A129" s="25"/>
      <c r="B129" s="11" t="str">
        <f>CONCATENATE("          ", "6336", " - ", "PROFESSIONAL SERVICES")</f>
        <v xml:space="preserve">          6336 - PROFESSIONAL SERVICES</v>
      </c>
      <c r="C129" s="11"/>
      <c r="D129" s="7"/>
      <c r="E129" s="2"/>
      <c r="F129" s="6">
        <f t="shared" si="62"/>
        <v>0</v>
      </c>
      <c r="G129" s="2"/>
      <c r="H129" s="7">
        <v>0</v>
      </c>
      <c r="I129" s="2"/>
      <c r="J129" s="6">
        <f t="shared" si="63"/>
        <v>0</v>
      </c>
      <c r="K129" s="2"/>
      <c r="L129" s="7">
        <f t="shared" si="64"/>
        <v>0</v>
      </c>
      <c r="M129" s="2"/>
      <c r="N129" s="6">
        <f t="shared" si="65"/>
        <v>0</v>
      </c>
      <c r="O129" s="11"/>
      <c r="P129" s="7"/>
      <c r="Q129" s="2"/>
      <c r="R129" s="6">
        <f t="shared" si="66"/>
        <v>0</v>
      </c>
      <c r="S129" s="2"/>
      <c r="T129" s="7">
        <v>6500</v>
      </c>
      <c r="U129" s="2"/>
      <c r="V129" s="6">
        <f t="shared" si="67"/>
        <v>1.723231063546399E-3</v>
      </c>
      <c r="W129" s="2"/>
      <c r="X129" s="7">
        <f t="shared" si="68"/>
        <v>-6500</v>
      </c>
      <c r="Y129" s="2"/>
      <c r="Z129" s="6">
        <f t="shared" si="69"/>
        <v>-1</v>
      </c>
    </row>
    <row r="130" spans="1:26" s="27" customFormat="1" outlineLevel="1" collapsed="1" x14ac:dyDescent="0.25">
      <c r="A130" s="26"/>
      <c r="B130" s="13" t="str">
        <f>CONCATENATE("     ","Rent                                              ")</f>
        <v xml:space="preserve">     Rent                                              </v>
      </c>
      <c r="C130" s="13"/>
      <c r="D130" s="1">
        <f>SUM(OSRRefD22_13x_0)</f>
        <v>6900</v>
      </c>
      <c r="E130" s="1"/>
      <c r="F130" s="5">
        <f t="shared" si="62"/>
        <v>1.6041948253231773E-2</v>
      </c>
      <c r="G130" s="1"/>
      <c r="H130" s="1">
        <f>SUM(OSRRefH22_13x_0)</f>
        <v>6900</v>
      </c>
      <c r="I130" s="1"/>
      <c r="J130" s="5">
        <f t="shared" si="63"/>
        <v>1.4641070962512492E-2</v>
      </c>
      <c r="K130" s="1"/>
      <c r="L130" s="1">
        <f t="shared" si="64"/>
        <v>0</v>
      </c>
      <c r="M130" s="1"/>
      <c r="N130" s="5">
        <f t="shared" si="65"/>
        <v>0</v>
      </c>
      <c r="O130" s="13"/>
      <c r="P130" s="1">
        <f>SUM(OSRRefP22_13x_0)</f>
        <v>75900</v>
      </c>
      <c r="Q130" s="1"/>
      <c r="R130" s="5">
        <f t="shared" si="66"/>
        <v>3.2756239176684736E-2</v>
      </c>
      <c r="S130" s="1"/>
      <c r="T130" s="1">
        <f>SUM(OSRRefT22_13x_0)</f>
        <v>75901</v>
      </c>
      <c r="U130" s="1"/>
      <c r="V130" s="5">
        <f t="shared" si="67"/>
        <v>2.0122301685266956E-2</v>
      </c>
      <c r="W130" s="1"/>
      <c r="X130" s="1">
        <f t="shared" si="68"/>
        <v>-1</v>
      </c>
      <c r="Y130" s="1"/>
      <c r="Z130" s="5">
        <f t="shared" si="69"/>
        <v>-1.3175056982121448E-5</v>
      </c>
    </row>
    <row r="131" spans="1:26" s="24" customFormat="1" hidden="1" outlineLevel="2" x14ac:dyDescent="0.25">
      <c r="A131" s="25"/>
      <c r="B131" s="11" t="str">
        <f>CONCATENATE("          ", "6273", " - ", "RENT")</f>
        <v xml:space="preserve">          6273 - RENT</v>
      </c>
      <c r="C131" s="11"/>
      <c r="D131" s="7">
        <v>6900</v>
      </c>
      <c r="E131" s="2"/>
      <c r="F131" s="6">
        <f t="shared" si="62"/>
        <v>1.6041948253231773E-2</v>
      </c>
      <c r="G131" s="2"/>
      <c r="H131" s="7">
        <v>6900</v>
      </c>
      <c r="I131" s="2"/>
      <c r="J131" s="6">
        <f t="shared" si="63"/>
        <v>1.4641070962512492E-2</v>
      </c>
      <c r="K131" s="2"/>
      <c r="L131" s="7">
        <f t="shared" si="64"/>
        <v>0</v>
      </c>
      <c r="M131" s="2"/>
      <c r="N131" s="6">
        <f t="shared" si="65"/>
        <v>0</v>
      </c>
      <c r="O131" s="11"/>
      <c r="P131" s="7">
        <v>75900</v>
      </c>
      <c r="Q131" s="2"/>
      <c r="R131" s="6">
        <f t="shared" si="66"/>
        <v>3.2756239176684736E-2</v>
      </c>
      <c r="S131" s="2"/>
      <c r="T131" s="7">
        <v>75901</v>
      </c>
      <c r="U131" s="2"/>
      <c r="V131" s="6">
        <f t="shared" si="67"/>
        <v>2.0122301685266956E-2</v>
      </c>
      <c r="W131" s="2"/>
      <c r="X131" s="7">
        <f t="shared" si="68"/>
        <v>-1</v>
      </c>
      <c r="Y131" s="2"/>
      <c r="Z131" s="6">
        <f t="shared" si="69"/>
        <v>-1.3175056982121448E-5</v>
      </c>
    </row>
    <row r="132" spans="1:26" s="27" customFormat="1" outlineLevel="1" collapsed="1" x14ac:dyDescent="0.25">
      <c r="A132" s="26"/>
      <c r="B132" s="13" t="str">
        <f>CONCATENATE("     ","Repair and Maintenance                            ")</f>
        <v xml:space="preserve">     Repair and Maintenance                            </v>
      </c>
      <c r="C132" s="13"/>
      <c r="D132" s="1">
        <f>SUM(OSRRefD22_14x_0)</f>
        <v>0</v>
      </c>
      <c r="E132" s="1"/>
      <c r="F132" s="5">
        <f t="shared" si="62"/>
        <v>0</v>
      </c>
      <c r="G132" s="1"/>
      <c r="H132" s="1">
        <f>SUM(OSRRefH22_14x_0)</f>
        <v>150</v>
      </c>
      <c r="I132" s="1"/>
      <c r="J132" s="5">
        <f t="shared" si="63"/>
        <v>3.1828415135896725E-4</v>
      </c>
      <c r="K132" s="1"/>
      <c r="L132" s="1">
        <f t="shared" si="64"/>
        <v>-150</v>
      </c>
      <c r="M132" s="1"/>
      <c r="N132" s="5">
        <f t="shared" si="65"/>
        <v>-1</v>
      </c>
      <c r="O132" s="13"/>
      <c r="P132" s="1">
        <f>SUM(OSRRefP22_14x_0)</f>
        <v>309.70999999999998</v>
      </c>
      <c r="Q132" s="1"/>
      <c r="R132" s="5">
        <f t="shared" si="66"/>
        <v>1.3366185553901223E-4</v>
      </c>
      <c r="S132" s="1"/>
      <c r="T132" s="1">
        <f>SUM(OSRRefT22_14x_0)</f>
        <v>2500</v>
      </c>
      <c r="U132" s="1"/>
      <c r="V132" s="5">
        <f t="shared" si="67"/>
        <v>6.6278117828707649E-4</v>
      </c>
      <c r="W132" s="1"/>
      <c r="X132" s="1">
        <f t="shared" si="68"/>
        <v>-2190.29</v>
      </c>
      <c r="Y132" s="1"/>
      <c r="Z132" s="5">
        <f t="shared" si="69"/>
        <v>-0.87611600000000001</v>
      </c>
    </row>
    <row r="133" spans="1:26" s="24" customFormat="1" hidden="1" outlineLevel="2" x14ac:dyDescent="0.25">
      <c r="A133" s="25"/>
      <c r="B133" s="11" t="str">
        <f>CONCATENATE("          ", "6372", " - ", "COMPUTER HARDWARE MAINTENANCE")</f>
        <v xml:space="preserve">          6372 - COMPUTER HARDWARE MAINTENANCE</v>
      </c>
      <c r="C133" s="11"/>
      <c r="D133" s="7"/>
      <c r="E133" s="2"/>
      <c r="F133" s="6">
        <f t="shared" si="62"/>
        <v>0</v>
      </c>
      <c r="G133" s="2"/>
      <c r="H133" s="7"/>
      <c r="I133" s="2"/>
      <c r="J133" s="6">
        <f t="shared" si="63"/>
        <v>0</v>
      </c>
      <c r="K133" s="2"/>
      <c r="L133" s="7">
        <f t="shared" si="64"/>
        <v>0</v>
      </c>
      <c r="M133" s="2"/>
      <c r="N133" s="6">
        <f t="shared" si="65"/>
        <v>0</v>
      </c>
      <c r="O133" s="11"/>
      <c r="P133" s="7">
        <v>-0.52</v>
      </c>
      <c r="Q133" s="2"/>
      <c r="R133" s="6">
        <f t="shared" si="66"/>
        <v>-2.244169218956003E-7</v>
      </c>
      <c r="S133" s="2"/>
      <c r="T133" s="7"/>
      <c r="U133" s="2"/>
      <c r="V133" s="6">
        <f t="shared" si="67"/>
        <v>0</v>
      </c>
      <c r="W133" s="2"/>
      <c r="X133" s="7">
        <f t="shared" si="68"/>
        <v>-0.52</v>
      </c>
      <c r="Y133" s="2"/>
      <c r="Z133" s="6">
        <f t="shared" si="69"/>
        <v>0</v>
      </c>
    </row>
    <row r="134" spans="1:26" s="24" customFormat="1" hidden="1" outlineLevel="2" x14ac:dyDescent="0.25">
      <c r="A134" s="25"/>
      <c r="B134" s="11" t="str">
        <f>CONCATENATE("          ", "6373", " - ", "MAINTENANCE CONTRACTS")</f>
        <v xml:space="preserve">          6373 - MAINTENANCE CONTRACTS</v>
      </c>
      <c r="C134" s="11"/>
      <c r="D134" s="7"/>
      <c r="E134" s="2"/>
      <c r="F134" s="6">
        <f t="shared" si="62"/>
        <v>0</v>
      </c>
      <c r="G134" s="2"/>
      <c r="H134" s="7"/>
      <c r="I134" s="2"/>
      <c r="J134" s="6">
        <f t="shared" si="63"/>
        <v>0</v>
      </c>
      <c r="K134" s="2"/>
      <c r="L134" s="7">
        <f t="shared" si="64"/>
        <v>0</v>
      </c>
      <c r="M134" s="2"/>
      <c r="N134" s="6">
        <f t="shared" si="65"/>
        <v>0</v>
      </c>
      <c r="O134" s="11"/>
      <c r="P134" s="7">
        <v>144.66999999999999</v>
      </c>
      <c r="Q134" s="2"/>
      <c r="R134" s="6">
        <f t="shared" si="66"/>
        <v>6.2435377097377868E-5</v>
      </c>
      <c r="S134" s="2"/>
      <c r="T134" s="7"/>
      <c r="U134" s="2"/>
      <c r="V134" s="6">
        <f t="shared" si="67"/>
        <v>0</v>
      </c>
      <c r="W134" s="2"/>
      <c r="X134" s="7">
        <f t="shared" si="68"/>
        <v>144.66999999999999</v>
      </c>
      <c r="Y134" s="2"/>
      <c r="Z134" s="6">
        <f t="shared" si="69"/>
        <v>0</v>
      </c>
    </row>
    <row r="135" spans="1:26" s="24" customFormat="1" hidden="1" outlineLevel="2" x14ac:dyDescent="0.25">
      <c r="A135" s="25"/>
      <c r="B135" s="11" t="str">
        <f>CONCATENATE("          ", "6375", " - ", "OUTSIDE REPAIRS &amp; MAINTENANCE")</f>
        <v xml:space="preserve">          6375 - OUTSIDE REPAIRS &amp; MAINTENANCE</v>
      </c>
      <c r="C135" s="11"/>
      <c r="D135" s="7"/>
      <c r="E135" s="2"/>
      <c r="F135" s="6">
        <f t="shared" si="62"/>
        <v>0</v>
      </c>
      <c r="G135" s="2"/>
      <c r="H135" s="7">
        <v>150</v>
      </c>
      <c r="I135" s="2"/>
      <c r="J135" s="6">
        <f t="shared" si="63"/>
        <v>3.1828415135896725E-4</v>
      </c>
      <c r="K135" s="2"/>
      <c r="L135" s="7">
        <f t="shared" si="64"/>
        <v>-150</v>
      </c>
      <c r="M135" s="2"/>
      <c r="N135" s="6">
        <f t="shared" si="65"/>
        <v>-1</v>
      </c>
      <c r="O135" s="11"/>
      <c r="P135" s="7">
        <v>165.56</v>
      </c>
      <c r="Q135" s="2"/>
      <c r="R135" s="6">
        <f t="shared" si="66"/>
        <v>7.145089536352997E-5</v>
      </c>
      <c r="S135" s="2"/>
      <c r="T135" s="7">
        <v>2500</v>
      </c>
      <c r="U135" s="2"/>
      <c r="V135" s="6">
        <f t="shared" si="67"/>
        <v>6.6278117828707649E-4</v>
      </c>
      <c r="W135" s="2"/>
      <c r="X135" s="7">
        <f t="shared" si="68"/>
        <v>-2334.44</v>
      </c>
      <c r="Y135" s="2"/>
      <c r="Z135" s="6">
        <f t="shared" si="69"/>
        <v>-0.93377600000000005</v>
      </c>
    </row>
    <row r="136" spans="1:26" s="27" customFormat="1" outlineLevel="1" collapsed="1" x14ac:dyDescent="0.25">
      <c r="A136" s="26"/>
      <c r="B136" s="13" t="str">
        <f>CONCATENATE("     ","Royalty &amp; Commissions                             ")</f>
        <v xml:space="preserve">     Royalty &amp; Commissions                             </v>
      </c>
      <c r="C136" s="13"/>
      <c r="D136" s="1">
        <f>SUM(OSRRefD22_15x_0)</f>
        <v>0</v>
      </c>
      <c r="E136" s="1"/>
      <c r="F136" s="5">
        <f t="shared" ref="F136:F139" si="70">IF(D$12=0,0,D136/D$12)</f>
        <v>0</v>
      </c>
      <c r="G136" s="1"/>
      <c r="H136" s="1">
        <f>SUM(OSRRefH22_15x_0)</f>
        <v>6271</v>
      </c>
      <c r="I136" s="1"/>
      <c r="J136" s="5">
        <f t="shared" ref="J136:J139" si="71">IF(H$12=0,0,H136/H$12)</f>
        <v>1.3306399421147223E-2</v>
      </c>
      <c r="K136" s="1"/>
      <c r="L136" s="1">
        <f t="shared" ref="L136:L139" si="72">+D136-H136</f>
        <v>-6271</v>
      </c>
      <c r="M136" s="1"/>
      <c r="N136" s="5">
        <f t="shared" ref="N136:N139" si="73">IF(H136=0,0,L136/H136)</f>
        <v>-1</v>
      </c>
      <c r="O136" s="13"/>
      <c r="P136" s="1">
        <f>SUM(OSRRefP22_15x_0)</f>
        <v>35159.06</v>
      </c>
      <c r="Q136" s="1"/>
      <c r="R136" s="5">
        <f t="shared" ref="R136:R139" si="74">IF(P$12=0,0,P136/P$12)</f>
        <v>1.5173630811428316E-2</v>
      </c>
      <c r="S136" s="1"/>
      <c r="T136" s="1">
        <f>SUM(OSRRefT22_15x_0)</f>
        <v>68981</v>
      </c>
      <c r="U136" s="1"/>
      <c r="V136" s="5">
        <f t="shared" ref="V136:V139" si="75">IF(T$12=0,0,T136/T$12)</f>
        <v>1.8287723383768328E-2</v>
      </c>
      <c r="W136" s="1"/>
      <c r="X136" s="1">
        <f t="shared" ref="X136:X139" si="76">+P136-T136</f>
        <v>-33821.94</v>
      </c>
      <c r="Y136" s="1"/>
      <c r="Z136" s="5">
        <f t="shared" ref="Z136:Z139" si="77">IF(T136=0,0,X136/T136)</f>
        <v>-0.49030805584146364</v>
      </c>
    </row>
    <row r="137" spans="1:26" s="24" customFormat="1" hidden="1" outlineLevel="2" x14ac:dyDescent="0.25">
      <c r="A137" s="25"/>
      <c r="B137" s="11" t="str">
        <f>CONCATENATE("          ", "6252", " - ", "ROYALTY DUE CSTV")</f>
        <v xml:space="preserve">          6252 - ROYALTY DUE CSTV</v>
      </c>
      <c r="C137" s="11"/>
      <c r="D137" s="7"/>
      <c r="E137" s="2"/>
      <c r="F137" s="6">
        <f t="shared" si="70"/>
        <v>0</v>
      </c>
      <c r="G137" s="2"/>
      <c r="H137" s="7">
        <v>1085</v>
      </c>
      <c r="I137" s="2"/>
      <c r="J137" s="6">
        <f t="shared" si="71"/>
        <v>2.3022553614965298E-3</v>
      </c>
      <c r="K137" s="2"/>
      <c r="L137" s="7">
        <f t="shared" si="72"/>
        <v>-1085</v>
      </c>
      <c r="M137" s="2"/>
      <c r="N137" s="6">
        <f t="shared" si="73"/>
        <v>-1</v>
      </c>
      <c r="O137" s="11"/>
      <c r="P137" s="7"/>
      <c r="Q137" s="2"/>
      <c r="R137" s="6">
        <f t="shared" si="74"/>
        <v>0</v>
      </c>
      <c r="S137" s="2"/>
      <c r="T137" s="7">
        <v>11935</v>
      </c>
      <c r="U137" s="2"/>
      <c r="V137" s="6">
        <f t="shared" si="75"/>
        <v>3.1641173451425033E-3</v>
      </c>
      <c r="W137" s="2"/>
      <c r="X137" s="7">
        <f t="shared" si="76"/>
        <v>-11935</v>
      </c>
      <c r="Y137" s="2"/>
      <c r="Z137" s="6">
        <f t="shared" si="77"/>
        <v>-1</v>
      </c>
    </row>
    <row r="138" spans="1:26" s="24" customFormat="1" hidden="1" outlineLevel="2" x14ac:dyDescent="0.25">
      <c r="A138" s="25"/>
      <c r="B138" s="11" t="str">
        <f>CONCATENATE("          ", "6253", " - ", "ROYALTY DUE ATHLETICS-LRG")</f>
        <v xml:space="preserve">          6253 - ROYALTY DUE ATHLETICS-LRG</v>
      </c>
      <c r="C138" s="11"/>
      <c r="D138" s="7"/>
      <c r="E138" s="2"/>
      <c r="F138" s="6">
        <f t="shared" si="70"/>
        <v>0</v>
      </c>
      <c r="G138" s="2"/>
      <c r="H138" s="7">
        <v>4037</v>
      </c>
      <c r="I138" s="2"/>
      <c r="J138" s="6">
        <f t="shared" si="71"/>
        <v>8.566087460241005E-3</v>
      </c>
      <c r="K138" s="2"/>
      <c r="L138" s="7">
        <f t="shared" si="72"/>
        <v>-4037</v>
      </c>
      <c r="M138" s="2"/>
      <c r="N138" s="6">
        <f t="shared" si="73"/>
        <v>-1</v>
      </c>
      <c r="O138" s="11"/>
      <c r="P138" s="7">
        <v>35159.06</v>
      </c>
      <c r="Q138" s="2"/>
      <c r="R138" s="6">
        <f t="shared" si="74"/>
        <v>1.5173630811428316E-2</v>
      </c>
      <c r="S138" s="2"/>
      <c r="T138" s="7">
        <v>44407</v>
      </c>
      <c r="U138" s="2"/>
      <c r="V138" s="6">
        <f t="shared" si="75"/>
        <v>1.1772849513677682E-2</v>
      </c>
      <c r="W138" s="2"/>
      <c r="X138" s="7">
        <f t="shared" si="76"/>
        <v>-9247.9400000000023</v>
      </c>
      <c r="Y138" s="2"/>
      <c r="Z138" s="6">
        <f t="shared" si="77"/>
        <v>-0.20825410408268971</v>
      </c>
    </row>
    <row r="139" spans="1:26" s="24" customFormat="1" hidden="1" outlineLevel="2" x14ac:dyDescent="0.25">
      <c r="A139" s="25"/>
      <c r="B139" s="11" t="str">
        <f>CONCATENATE("          ", "6254", " - ", "ROYALTY &amp; COMMISSIONS")</f>
        <v xml:space="preserve">          6254 - ROYALTY &amp; COMMISSIONS</v>
      </c>
      <c r="C139" s="11"/>
      <c r="D139" s="7"/>
      <c r="E139" s="2"/>
      <c r="F139" s="6">
        <f t="shared" si="70"/>
        <v>0</v>
      </c>
      <c r="G139" s="2"/>
      <c r="H139" s="7">
        <v>1149</v>
      </c>
      <c r="I139" s="2"/>
      <c r="J139" s="6">
        <f t="shared" si="71"/>
        <v>2.4380565994096891E-3</v>
      </c>
      <c r="K139" s="2"/>
      <c r="L139" s="7">
        <f t="shared" si="72"/>
        <v>-1149</v>
      </c>
      <c r="M139" s="2"/>
      <c r="N139" s="6">
        <f t="shared" si="73"/>
        <v>-1</v>
      </c>
      <c r="O139" s="11"/>
      <c r="P139" s="7"/>
      <c r="Q139" s="2"/>
      <c r="R139" s="6">
        <f t="shared" si="74"/>
        <v>0</v>
      </c>
      <c r="S139" s="2"/>
      <c r="T139" s="7">
        <v>12639</v>
      </c>
      <c r="U139" s="2"/>
      <c r="V139" s="6">
        <f t="shared" si="75"/>
        <v>3.3507565249481439E-3</v>
      </c>
      <c r="W139" s="2"/>
      <c r="X139" s="7">
        <f t="shared" si="76"/>
        <v>-12639</v>
      </c>
      <c r="Y139" s="2"/>
      <c r="Z139" s="6">
        <f t="shared" si="77"/>
        <v>-1</v>
      </c>
    </row>
    <row r="140" spans="1:26" s="27" customFormat="1" outlineLevel="1" collapsed="1" x14ac:dyDescent="0.25">
      <c r="A140" s="26"/>
      <c r="B140" s="13" t="str">
        <f>CONCATENATE("     ","Services                                          ")</f>
        <v xml:space="preserve">     Services                                          </v>
      </c>
      <c r="C140" s="13"/>
      <c r="D140" s="1">
        <f>SUM(OSRRefD22_16x_0)</f>
        <v>155.59</v>
      </c>
      <c r="E140" s="1"/>
      <c r="F140" s="5">
        <f t="shared" ref="F140:F143" si="78">IF(D$12=0,0,D140/D$12)</f>
        <v>3.6173430851019298E-4</v>
      </c>
      <c r="G140" s="1"/>
      <c r="H140" s="1">
        <f>SUM(OSRRefH22_16x_0)</f>
        <v>155</v>
      </c>
      <c r="I140" s="1"/>
      <c r="J140" s="5">
        <f t="shared" ref="J140:J143" si="79">IF(H$12=0,0,H140/H$12)</f>
        <v>3.2889362307093282E-4</v>
      </c>
      <c r="K140" s="1"/>
      <c r="L140" s="1">
        <f t="shared" ref="L140:L143" si="80">+D140-H140</f>
        <v>0.59000000000000341</v>
      </c>
      <c r="M140" s="1"/>
      <c r="N140" s="5">
        <f t="shared" ref="N140:N143" si="81">IF(H140=0,0,L140/H140)</f>
        <v>3.8064516129032479E-3</v>
      </c>
      <c r="O140" s="13"/>
      <c r="P140" s="1">
        <f>SUM(OSRRefP22_16x_0)</f>
        <v>918.51999999999987</v>
      </c>
      <c r="Q140" s="1"/>
      <c r="R140" s="5">
        <f t="shared" ref="R140:R143" si="82">IF(P$12=0,0,P140/P$12)</f>
        <v>3.9640659826835914E-4</v>
      </c>
      <c r="S140" s="1"/>
      <c r="T140" s="1">
        <f>SUM(OSRRefT22_16x_0)</f>
        <v>2295</v>
      </c>
      <c r="U140" s="1"/>
      <c r="V140" s="5">
        <f t="shared" ref="V140:V143" si="83">IF(T$12=0,0,T140/T$12)</f>
        <v>6.084331216675362E-4</v>
      </c>
      <c r="W140" s="1"/>
      <c r="X140" s="1">
        <f t="shared" ref="X140:X143" si="84">+P140-T140</f>
        <v>-1376.48</v>
      </c>
      <c r="Y140" s="1"/>
      <c r="Z140" s="5">
        <f t="shared" ref="Z140:Z143" si="85">IF(T140=0,0,X140/T140)</f>
        <v>-0.59977342047930282</v>
      </c>
    </row>
    <row r="141" spans="1:26" s="24" customFormat="1" hidden="1" outlineLevel="2" x14ac:dyDescent="0.25">
      <c r="A141" s="25"/>
      <c r="B141" s="11" t="str">
        <f>CONCATENATE("          ", "6283", " - ", "PLANT SERVICE")</f>
        <v xml:space="preserve">          6283 - PLANT SERVICE</v>
      </c>
      <c r="C141" s="11"/>
      <c r="D141" s="7"/>
      <c r="E141" s="2"/>
      <c r="F141" s="6">
        <f t="shared" si="78"/>
        <v>0</v>
      </c>
      <c r="G141" s="2"/>
      <c r="H141" s="7">
        <v>0</v>
      </c>
      <c r="I141" s="2"/>
      <c r="J141" s="6">
        <f t="shared" si="79"/>
        <v>0</v>
      </c>
      <c r="K141" s="2"/>
      <c r="L141" s="7">
        <f t="shared" si="80"/>
        <v>0</v>
      </c>
      <c r="M141" s="2"/>
      <c r="N141" s="6">
        <f t="shared" si="81"/>
        <v>0</v>
      </c>
      <c r="O141" s="11"/>
      <c r="P141" s="7">
        <v>41.31</v>
      </c>
      <c r="Q141" s="2"/>
      <c r="R141" s="6">
        <f t="shared" si="82"/>
        <v>1.7828198160590861E-5</v>
      </c>
      <c r="S141" s="2"/>
      <c r="T141" s="7">
        <v>0</v>
      </c>
      <c r="U141" s="2"/>
      <c r="V141" s="6">
        <f t="shared" si="83"/>
        <v>0</v>
      </c>
      <c r="W141" s="2"/>
      <c r="X141" s="7">
        <f t="shared" si="84"/>
        <v>41.31</v>
      </c>
      <c r="Y141" s="2"/>
      <c r="Z141" s="6">
        <f t="shared" si="85"/>
        <v>0</v>
      </c>
    </row>
    <row r="142" spans="1:26" s="24" customFormat="1" hidden="1" outlineLevel="2" x14ac:dyDescent="0.25">
      <c r="A142" s="25"/>
      <c r="B142" s="11" t="str">
        <f>CONCATENATE("          ", "6284", " - ", "TRASH REMOVAL EXPENSE")</f>
        <v xml:space="preserve">          6284 - TRASH REMOVAL EXPENSE</v>
      </c>
      <c r="C142" s="11"/>
      <c r="D142" s="7">
        <v>142.57</v>
      </c>
      <c r="E142" s="2"/>
      <c r="F142" s="6">
        <f t="shared" si="78"/>
        <v>3.3146384963235562E-4</v>
      </c>
      <c r="G142" s="2"/>
      <c r="H142" s="7">
        <v>55</v>
      </c>
      <c r="I142" s="2"/>
      <c r="J142" s="6">
        <f t="shared" si="79"/>
        <v>1.1670418883162132E-4</v>
      </c>
      <c r="K142" s="2"/>
      <c r="L142" s="7">
        <f t="shared" si="80"/>
        <v>87.57</v>
      </c>
      <c r="M142" s="2"/>
      <c r="N142" s="6">
        <f t="shared" si="81"/>
        <v>1.5921818181818181</v>
      </c>
      <c r="O142" s="11"/>
      <c r="P142" s="7">
        <v>1583.29</v>
      </c>
      <c r="Q142" s="2"/>
      <c r="R142" s="6">
        <f t="shared" si="82"/>
        <v>6.8330205436170188E-4</v>
      </c>
      <c r="S142" s="2"/>
      <c r="T142" s="7">
        <v>770</v>
      </c>
      <c r="U142" s="2"/>
      <c r="V142" s="6">
        <f t="shared" si="83"/>
        <v>2.0413660291241956E-4</v>
      </c>
      <c r="W142" s="2"/>
      <c r="X142" s="7">
        <f t="shared" si="84"/>
        <v>813.29</v>
      </c>
      <c r="Y142" s="2"/>
      <c r="Z142" s="6">
        <f t="shared" si="85"/>
        <v>1.0562207792207792</v>
      </c>
    </row>
    <row r="143" spans="1:26" s="24" customFormat="1" hidden="1" outlineLevel="2" x14ac:dyDescent="0.25">
      <c r="A143" s="25"/>
      <c r="B143" s="11" t="str">
        <f>CONCATENATE("          ", "6285", " - ", "JANITORIAL SERVICES")</f>
        <v xml:space="preserve">          6285 - JANITORIAL SERVICES</v>
      </c>
      <c r="C143" s="11"/>
      <c r="D143" s="7">
        <v>13.02</v>
      </c>
      <c r="E143" s="2"/>
      <c r="F143" s="6">
        <f t="shared" si="78"/>
        <v>3.0270458877837346E-5</v>
      </c>
      <c r="G143" s="2"/>
      <c r="H143" s="7">
        <v>100</v>
      </c>
      <c r="I143" s="2"/>
      <c r="J143" s="6">
        <f t="shared" si="79"/>
        <v>2.121894342393115E-4</v>
      </c>
      <c r="K143" s="2"/>
      <c r="L143" s="7">
        <f t="shared" si="80"/>
        <v>-86.98</v>
      </c>
      <c r="M143" s="2"/>
      <c r="N143" s="6">
        <f t="shared" si="81"/>
        <v>-0.86980000000000002</v>
      </c>
      <c r="O143" s="11"/>
      <c r="P143" s="7">
        <v>-706.08</v>
      </c>
      <c r="Q143" s="2"/>
      <c r="R143" s="6">
        <f t="shared" si="82"/>
        <v>-3.047236542539336E-4</v>
      </c>
      <c r="S143" s="2"/>
      <c r="T143" s="7">
        <v>1525</v>
      </c>
      <c r="U143" s="2"/>
      <c r="V143" s="6">
        <f t="shared" si="83"/>
        <v>4.0429651875511667E-4</v>
      </c>
      <c r="W143" s="2"/>
      <c r="X143" s="7">
        <f t="shared" si="84"/>
        <v>-2231.08</v>
      </c>
      <c r="Y143" s="2"/>
      <c r="Z143" s="6">
        <f t="shared" si="85"/>
        <v>-1.4630032786885245</v>
      </c>
    </row>
    <row r="144" spans="1:26" s="27" customFormat="1" outlineLevel="1" collapsed="1" x14ac:dyDescent="0.25">
      <c r="A144" s="26"/>
      <c r="B144" s="13" t="str">
        <f>CONCATENATE("     ","Subscriptions &amp; Dues                              ")</f>
        <v xml:space="preserve">     Subscriptions &amp; Dues                              </v>
      </c>
      <c r="C144" s="13"/>
      <c r="D144" s="1">
        <f>SUM(OSRRefD22_17x_0)</f>
        <v>25.15</v>
      </c>
      <c r="E144" s="1"/>
      <c r="F144" s="5">
        <f t="shared" ref="F144:F146" si="86">IF(D$12=0,0,D144/D$12)</f>
        <v>5.8471738923011459E-5</v>
      </c>
      <c r="G144" s="1"/>
      <c r="H144" s="1">
        <f>SUM(OSRRefH22_17x_0)</f>
        <v>0</v>
      </c>
      <c r="I144" s="1"/>
      <c r="J144" s="5">
        <f t="shared" ref="J144:J146" si="87">IF(H$12=0,0,H144/H$12)</f>
        <v>0</v>
      </c>
      <c r="K144" s="1"/>
      <c r="L144" s="1">
        <f t="shared" ref="L144:L146" si="88">+D144-H144</f>
        <v>25.15</v>
      </c>
      <c r="M144" s="1"/>
      <c r="N144" s="5">
        <f t="shared" ref="N144:N146" si="89">IF(H144=0,0,L144/H144)</f>
        <v>0</v>
      </c>
      <c r="O144" s="13"/>
      <c r="P144" s="1">
        <f>SUM(OSRRefP22_17x_0)</f>
        <v>2047.7199999999998</v>
      </c>
      <c r="Q144" s="1"/>
      <c r="R144" s="5">
        <f t="shared" ref="R144:R146" si="90">IF(P$12=0,0,P144/P$12)</f>
        <v>8.8373657558472808E-4</v>
      </c>
      <c r="S144" s="1"/>
      <c r="T144" s="1">
        <f>SUM(OSRRefT22_17x_0)</f>
        <v>1395</v>
      </c>
      <c r="U144" s="1"/>
      <c r="V144" s="5">
        <f t="shared" ref="V144:V146" si="91">IF(T$12=0,0,T144/T$12)</f>
        <v>3.6983189748418868E-4</v>
      </c>
      <c r="W144" s="1"/>
      <c r="X144" s="1">
        <f t="shared" ref="X144:X146" si="92">+P144-T144</f>
        <v>652.7199999999998</v>
      </c>
      <c r="Y144" s="1"/>
      <c r="Z144" s="5">
        <f t="shared" ref="Z144:Z146" si="93">IF(T144=0,0,X144/T144)</f>
        <v>0.46789964157706077</v>
      </c>
    </row>
    <row r="145" spans="1:26" s="24" customFormat="1" hidden="1" outlineLevel="2" x14ac:dyDescent="0.25">
      <c r="A145" s="25"/>
      <c r="B145" s="11" t="str">
        <f>CONCATENATE("          ", "6258", " - ", "MEMBERSHIP DUES")</f>
        <v xml:space="preserve">          6258 - MEMBERSHIP DUES</v>
      </c>
      <c r="C145" s="11"/>
      <c r="D145" s="7">
        <v>25.15</v>
      </c>
      <c r="E145" s="2"/>
      <c r="F145" s="6">
        <f t="shared" si="86"/>
        <v>5.8471738923011459E-5</v>
      </c>
      <c r="G145" s="2"/>
      <c r="H145" s="7">
        <v>0</v>
      </c>
      <c r="I145" s="2"/>
      <c r="J145" s="6">
        <f t="shared" si="87"/>
        <v>0</v>
      </c>
      <c r="K145" s="2"/>
      <c r="L145" s="7">
        <f t="shared" si="88"/>
        <v>25.15</v>
      </c>
      <c r="M145" s="2"/>
      <c r="N145" s="6">
        <f t="shared" si="89"/>
        <v>0</v>
      </c>
      <c r="O145" s="11"/>
      <c r="P145" s="7">
        <v>-342.88</v>
      </c>
      <c r="Q145" s="2"/>
      <c r="R145" s="6">
        <f t="shared" si="90"/>
        <v>-1.4797706572992967E-4</v>
      </c>
      <c r="S145" s="2"/>
      <c r="T145" s="7">
        <v>1395</v>
      </c>
      <c r="U145" s="2"/>
      <c r="V145" s="6">
        <f t="shared" si="91"/>
        <v>3.6983189748418868E-4</v>
      </c>
      <c r="W145" s="2"/>
      <c r="X145" s="7">
        <f t="shared" si="92"/>
        <v>-1737.88</v>
      </c>
      <c r="Y145" s="2"/>
      <c r="Z145" s="6">
        <f t="shared" si="93"/>
        <v>-1.2457921146953406</v>
      </c>
    </row>
    <row r="146" spans="1:26" s="24" customFormat="1" hidden="1" outlineLevel="2" x14ac:dyDescent="0.25">
      <c r="A146" s="25"/>
      <c r="B146" s="11" t="str">
        <f>CONCATENATE("          ", "6275", " - ", "SUBSCRIPTIONS")</f>
        <v xml:space="preserve">          6275 - SUBSCRIPTIONS</v>
      </c>
      <c r="C146" s="11"/>
      <c r="D146" s="7"/>
      <c r="E146" s="2"/>
      <c r="F146" s="6">
        <f t="shared" si="86"/>
        <v>0</v>
      </c>
      <c r="G146" s="2"/>
      <c r="H146" s="7">
        <v>0</v>
      </c>
      <c r="I146" s="2"/>
      <c r="J146" s="6">
        <f t="shared" si="87"/>
        <v>0</v>
      </c>
      <c r="K146" s="2"/>
      <c r="L146" s="7">
        <f t="shared" si="88"/>
        <v>0</v>
      </c>
      <c r="M146" s="2"/>
      <c r="N146" s="6">
        <f t="shared" si="89"/>
        <v>0</v>
      </c>
      <c r="O146" s="11"/>
      <c r="P146" s="7">
        <v>2390.6</v>
      </c>
      <c r="Q146" s="2"/>
      <c r="R146" s="6">
        <f t="shared" si="90"/>
        <v>1.0317136413146577E-3</v>
      </c>
      <c r="S146" s="2"/>
      <c r="T146" s="7">
        <v>0</v>
      </c>
      <c r="U146" s="2"/>
      <c r="V146" s="6">
        <f t="shared" si="91"/>
        <v>0</v>
      </c>
      <c r="W146" s="2"/>
      <c r="X146" s="7">
        <f t="shared" si="92"/>
        <v>2390.6</v>
      </c>
      <c r="Y146" s="2"/>
      <c r="Z146" s="6">
        <f t="shared" si="93"/>
        <v>0</v>
      </c>
    </row>
    <row r="147" spans="1:26" s="27" customFormat="1" outlineLevel="1" collapsed="1" x14ac:dyDescent="0.25">
      <c r="A147" s="26"/>
      <c r="B147" s="13" t="str">
        <f>CONCATENATE("     ","Supplies                                          ")</f>
        <v xml:space="preserve">     Supplies                                          </v>
      </c>
      <c r="C147" s="13"/>
      <c r="D147" s="1">
        <f>SUM(OSRRefD22_18x_0)</f>
        <v>51.7</v>
      </c>
      <c r="E147" s="1"/>
      <c r="F147" s="5">
        <f t="shared" ref="F147:F155" si="94">IF(D$12=0,0,D147/D$12)</f>
        <v>1.2019836589740329E-4</v>
      </c>
      <c r="G147" s="1"/>
      <c r="H147" s="1">
        <f>SUM(OSRRefH22_18x_0)</f>
        <v>620</v>
      </c>
      <c r="I147" s="1"/>
      <c r="J147" s="5">
        <f t="shared" ref="J147:J155" si="95">IF(H$12=0,0,H147/H$12)</f>
        <v>1.3155744922837313E-3</v>
      </c>
      <c r="K147" s="1"/>
      <c r="L147" s="1">
        <f t="shared" ref="L147:L155" si="96">+D147-H147</f>
        <v>-568.29999999999995</v>
      </c>
      <c r="M147" s="1"/>
      <c r="N147" s="5">
        <f t="shared" ref="N147:N155" si="97">IF(H147=0,0,L147/H147)</f>
        <v>-0.91661290322580635</v>
      </c>
      <c r="O147" s="13"/>
      <c r="P147" s="1">
        <f>SUM(OSRRefP22_18x_0)</f>
        <v>4640.7700000000004</v>
      </c>
      <c r="Q147" s="1"/>
      <c r="R147" s="5">
        <f t="shared" ref="R147:R155" si="98">IF(P$12=0,0,P147/P$12)</f>
        <v>2.0028217665873944E-3</v>
      </c>
      <c r="S147" s="1"/>
      <c r="T147" s="1">
        <f>SUM(OSRRefT22_18x_0)</f>
        <v>6900</v>
      </c>
      <c r="U147" s="1"/>
      <c r="V147" s="5">
        <f t="shared" ref="V147:V155" si="99">IF(T$12=0,0,T147/T$12)</f>
        <v>1.8292760520723312E-3</v>
      </c>
      <c r="W147" s="1"/>
      <c r="X147" s="1">
        <f t="shared" ref="X147:X155" si="100">+P147-T147</f>
        <v>-2259.2299999999996</v>
      </c>
      <c r="Y147" s="1"/>
      <c r="Z147" s="5">
        <f t="shared" ref="Z147:Z155" si="101">IF(T147=0,0,X147/T147)</f>
        <v>-0.32742463768115937</v>
      </c>
    </row>
    <row r="148" spans="1:26" s="24" customFormat="1" hidden="1" outlineLevel="2" x14ac:dyDescent="0.25">
      <c r="A148" s="25"/>
      <c r="B148" s="11" t="str">
        <f>CONCATENATE("          ", "6234", " - ", "EXPENDABLE SUPPLIES &amp; EQUIPMEN")</f>
        <v xml:space="preserve">          6234 - EXPENDABLE SUPPLIES &amp; EQUIPMEN</v>
      </c>
      <c r="C148" s="11"/>
      <c r="D148" s="7"/>
      <c r="E148" s="2"/>
      <c r="F148" s="6">
        <f t="shared" si="94"/>
        <v>0</v>
      </c>
      <c r="G148" s="2"/>
      <c r="H148" s="7">
        <v>50</v>
      </c>
      <c r="I148" s="2"/>
      <c r="J148" s="6">
        <f t="shared" si="95"/>
        <v>1.0609471711965575E-4</v>
      </c>
      <c r="K148" s="2"/>
      <c r="L148" s="7">
        <f t="shared" si="96"/>
        <v>-50</v>
      </c>
      <c r="M148" s="2"/>
      <c r="N148" s="6">
        <f t="shared" si="97"/>
        <v>-1</v>
      </c>
      <c r="O148" s="11"/>
      <c r="P148" s="7">
        <v>449.5</v>
      </c>
      <c r="Q148" s="2"/>
      <c r="R148" s="6">
        <f t="shared" si="98"/>
        <v>1.9399116613860065E-4</v>
      </c>
      <c r="S148" s="2"/>
      <c r="T148" s="7">
        <v>550</v>
      </c>
      <c r="U148" s="2"/>
      <c r="V148" s="6">
        <f t="shared" si="99"/>
        <v>1.4581185922315682E-4</v>
      </c>
      <c r="W148" s="2"/>
      <c r="X148" s="7">
        <f t="shared" si="100"/>
        <v>-100.5</v>
      </c>
      <c r="Y148" s="2"/>
      <c r="Z148" s="6">
        <f t="shared" si="101"/>
        <v>-0.18272727272727274</v>
      </c>
    </row>
    <row r="149" spans="1:26" s="24" customFormat="1" hidden="1" outlineLevel="2" x14ac:dyDescent="0.25">
      <c r="A149" s="25"/>
      <c r="B149" s="11" t="str">
        <f>CONCATENATE("          ", "6235", " - ", "COVID-19 EXPENSES")</f>
        <v xml:space="preserve">          6235 - COVID-19 EXPENSES</v>
      </c>
      <c r="C149" s="11"/>
      <c r="D149" s="7"/>
      <c r="E149" s="2"/>
      <c r="F149" s="6">
        <f t="shared" si="94"/>
        <v>0</v>
      </c>
      <c r="G149" s="2"/>
      <c r="H149" s="7">
        <v>200</v>
      </c>
      <c r="I149" s="2"/>
      <c r="J149" s="6">
        <f t="shared" si="95"/>
        <v>4.24378868478623E-4</v>
      </c>
      <c r="K149" s="2"/>
      <c r="L149" s="7">
        <f t="shared" si="96"/>
        <v>-200</v>
      </c>
      <c r="M149" s="2"/>
      <c r="N149" s="6">
        <f t="shared" si="97"/>
        <v>-1</v>
      </c>
      <c r="O149" s="11"/>
      <c r="P149" s="7">
        <v>1292.1300000000001</v>
      </c>
      <c r="Q149" s="2"/>
      <c r="R149" s="6">
        <f t="shared" si="98"/>
        <v>5.5764584094031159E-4</v>
      </c>
      <c r="S149" s="2"/>
      <c r="T149" s="7">
        <v>2200</v>
      </c>
      <c r="U149" s="2"/>
      <c r="V149" s="6">
        <f t="shared" si="99"/>
        <v>5.8324743689262728E-4</v>
      </c>
      <c r="W149" s="2"/>
      <c r="X149" s="7">
        <f t="shared" si="100"/>
        <v>-907.86999999999989</v>
      </c>
      <c r="Y149" s="2"/>
      <c r="Z149" s="6">
        <f t="shared" si="101"/>
        <v>-0.41266818181818177</v>
      </c>
    </row>
    <row r="150" spans="1:26" s="24" customFormat="1" hidden="1" outlineLevel="2" x14ac:dyDescent="0.25">
      <c r="A150" s="25"/>
      <c r="B150" s="11" t="str">
        <f>CONCATENATE("          ", "6237", " - ", "JANITORIAL SUPPLIES")</f>
        <v xml:space="preserve">          6237 - JANITORIAL SUPPLIES</v>
      </c>
      <c r="C150" s="11"/>
      <c r="D150" s="7"/>
      <c r="E150" s="2"/>
      <c r="F150" s="6">
        <f t="shared" si="94"/>
        <v>0</v>
      </c>
      <c r="G150" s="2"/>
      <c r="H150" s="7">
        <v>70</v>
      </c>
      <c r="I150" s="2"/>
      <c r="J150" s="6">
        <f t="shared" si="95"/>
        <v>1.4853260396751805E-4</v>
      </c>
      <c r="K150" s="2"/>
      <c r="L150" s="7">
        <f t="shared" si="96"/>
        <v>-70</v>
      </c>
      <c r="M150" s="2"/>
      <c r="N150" s="6">
        <f t="shared" si="97"/>
        <v>-1</v>
      </c>
      <c r="O150" s="11"/>
      <c r="P150" s="7">
        <v>191.74</v>
      </c>
      <c r="Q150" s="2"/>
      <c r="R150" s="6">
        <f t="shared" si="98"/>
        <v>8.2749424238966158E-5</v>
      </c>
      <c r="S150" s="2"/>
      <c r="T150" s="7">
        <v>750</v>
      </c>
      <c r="U150" s="2"/>
      <c r="V150" s="6">
        <f t="shared" si="99"/>
        <v>1.9883435348612294E-4</v>
      </c>
      <c r="W150" s="2"/>
      <c r="X150" s="7">
        <f t="shared" si="100"/>
        <v>-558.26</v>
      </c>
      <c r="Y150" s="2"/>
      <c r="Z150" s="6">
        <f t="shared" si="101"/>
        <v>-0.7443466666666666</v>
      </c>
    </row>
    <row r="151" spans="1:26" s="24" customFormat="1" hidden="1" outlineLevel="2" x14ac:dyDescent="0.25">
      <c r="A151" s="25"/>
      <c r="B151" s="11" t="str">
        <f>CONCATENATE("          ", "6241", " - ", "OFFICE EXPENSE")</f>
        <v xml:space="preserve">          6241 - OFFICE EXPENSE</v>
      </c>
      <c r="C151" s="11"/>
      <c r="D151" s="7">
        <v>51.7</v>
      </c>
      <c r="E151" s="2"/>
      <c r="F151" s="6">
        <f t="shared" si="94"/>
        <v>1.2019836589740329E-4</v>
      </c>
      <c r="G151" s="2"/>
      <c r="H151" s="7">
        <v>125</v>
      </c>
      <c r="I151" s="2"/>
      <c r="J151" s="6">
        <f t="shared" si="95"/>
        <v>2.6523679279913935E-4</v>
      </c>
      <c r="K151" s="2"/>
      <c r="L151" s="7">
        <f t="shared" si="96"/>
        <v>-73.3</v>
      </c>
      <c r="M151" s="2"/>
      <c r="N151" s="6">
        <f t="shared" si="97"/>
        <v>-0.58640000000000003</v>
      </c>
      <c r="O151" s="11"/>
      <c r="P151" s="7">
        <v>1597.17</v>
      </c>
      <c r="Q151" s="2"/>
      <c r="R151" s="6">
        <f t="shared" si="98"/>
        <v>6.8929225989229983E-4</v>
      </c>
      <c r="S151" s="2"/>
      <c r="T151" s="7">
        <v>1375</v>
      </c>
      <c r="U151" s="2"/>
      <c r="V151" s="6">
        <f t="shared" si="99"/>
        <v>3.6452964805789206E-4</v>
      </c>
      <c r="W151" s="2"/>
      <c r="X151" s="7">
        <f t="shared" si="100"/>
        <v>222.17000000000007</v>
      </c>
      <c r="Y151" s="2"/>
      <c r="Z151" s="6">
        <f t="shared" si="101"/>
        <v>0.16157818181818187</v>
      </c>
    </row>
    <row r="152" spans="1:26" s="24" customFormat="1" hidden="1" outlineLevel="2" x14ac:dyDescent="0.25">
      <c r="A152" s="25"/>
      <c r="B152" s="11" t="str">
        <f>CONCATENATE("          ", "6243", " - ", "PAPER SUPPLIES")</f>
        <v xml:space="preserve">          6243 - PAPER SUPPLIES</v>
      </c>
      <c r="C152" s="11"/>
      <c r="D152" s="7"/>
      <c r="E152" s="2"/>
      <c r="F152" s="6">
        <f t="shared" si="94"/>
        <v>0</v>
      </c>
      <c r="G152" s="2"/>
      <c r="H152" s="7">
        <v>50</v>
      </c>
      <c r="I152" s="2"/>
      <c r="J152" s="6">
        <f t="shared" si="95"/>
        <v>1.0609471711965575E-4</v>
      </c>
      <c r="K152" s="2"/>
      <c r="L152" s="7">
        <f t="shared" si="96"/>
        <v>-50</v>
      </c>
      <c r="M152" s="2"/>
      <c r="N152" s="6">
        <f t="shared" si="97"/>
        <v>-1</v>
      </c>
      <c r="O152" s="11"/>
      <c r="P152" s="7"/>
      <c r="Q152" s="2"/>
      <c r="R152" s="6">
        <f t="shared" si="98"/>
        <v>0</v>
      </c>
      <c r="S152" s="2"/>
      <c r="T152" s="7">
        <v>550</v>
      </c>
      <c r="U152" s="2"/>
      <c r="V152" s="6">
        <f t="shared" si="99"/>
        <v>1.4581185922315682E-4</v>
      </c>
      <c r="W152" s="2"/>
      <c r="X152" s="7">
        <f t="shared" si="100"/>
        <v>-550</v>
      </c>
      <c r="Y152" s="2"/>
      <c r="Z152" s="6">
        <f t="shared" si="101"/>
        <v>-1</v>
      </c>
    </row>
    <row r="153" spans="1:26" s="24" customFormat="1" hidden="1" outlineLevel="2" x14ac:dyDescent="0.25">
      <c r="A153" s="25"/>
      <c r="B153" s="11" t="str">
        <f>CONCATENATE("          ", "6244", " - ", "SAFETY SUPPLY EXPENSE")</f>
        <v xml:space="preserve">          6244 - SAFETY SUPPLY EXPENSE</v>
      </c>
      <c r="C153" s="11"/>
      <c r="D153" s="7"/>
      <c r="E153" s="2"/>
      <c r="F153" s="6">
        <f t="shared" si="94"/>
        <v>0</v>
      </c>
      <c r="G153" s="2"/>
      <c r="H153" s="7">
        <v>0</v>
      </c>
      <c r="I153" s="2"/>
      <c r="J153" s="6">
        <f t="shared" si="95"/>
        <v>0</v>
      </c>
      <c r="K153" s="2"/>
      <c r="L153" s="7">
        <f t="shared" si="96"/>
        <v>0</v>
      </c>
      <c r="M153" s="2"/>
      <c r="N153" s="6">
        <f t="shared" si="97"/>
        <v>0</v>
      </c>
      <c r="O153" s="11"/>
      <c r="P153" s="7"/>
      <c r="Q153" s="2"/>
      <c r="R153" s="6">
        <f t="shared" si="98"/>
        <v>0</v>
      </c>
      <c r="S153" s="2"/>
      <c r="T153" s="7">
        <v>100</v>
      </c>
      <c r="U153" s="2"/>
      <c r="V153" s="6">
        <f t="shared" si="99"/>
        <v>2.6511247131483061E-5</v>
      </c>
      <c r="W153" s="2"/>
      <c r="X153" s="7">
        <f t="shared" si="100"/>
        <v>-100</v>
      </c>
      <c r="Y153" s="2"/>
      <c r="Z153" s="6">
        <f t="shared" si="101"/>
        <v>-1</v>
      </c>
    </row>
    <row r="154" spans="1:26" s="24" customFormat="1" hidden="1" outlineLevel="2" x14ac:dyDescent="0.25">
      <c r="A154" s="25"/>
      <c r="B154" s="11" t="str">
        <f>CONCATENATE("          ", "6245", " - ", "PRINTING")</f>
        <v xml:space="preserve">          6245 - PRINTING</v>
      </c>
      <c r="C154" s="11"/>
      <c r="D154" s="7"/>
      <c r="E154" s="2"/>
      <c r="F154" s="6">
        <f t="shared" si="94"/>
        <v>0</v>
      </c>
      <c r="G154" s="2"/>
      <c r="H154" s="7">
        <v>50</v>
      </c>
      <c r="I154" s="2"/>
      <c r="J154" s="6">
        <f t="shared" si="95"/>
        <v>1.0609471711965575E-4</v>
      </c>
      <c r="K154" s="2"/>
      <c r="L154" s="7">
        <f t="shared" si="96"/>
        <v>-50</v>
      </c>
      <c r="M154" s="2"/>
      <c r="N154" s="6">
        <f t="shared" si="97"/>
        <v>-1</v>
      </c>
      <c r="O154" s="11"/>
      <c r="P154" s="7"/>
      <c r="Q154" s="2"/>
      <c r="R154" s="6">
        <f t="shared" si="98"/>
        <v>0</v>
      </c>
      <c r="S154" s="2"/>
      <c r="T154" s="7">
        <v>550</v>
      </c>
      <c r="U154" s="2"/>
      <c r="V154" s="6">
        <f t="shared" si="99"/>
        <v>1.4581185922315682E-4</v>
      </c>
      <c r="W154" s="2"/>
      <c r="X154" s="7">
        <f t="shared" si="100"/>
        <v>-550</v>
      </c>
      <c r="Y154" s="2"/>
      <c r="Z154" s="6">
        <f t="shared" si="101"/>
        <v>-1</v>
      </c>
    </row>
    <row r="155" spans="1:26" s="24" customFormat="1" hidden="1" outlineLevel="2" x14ac:dyDescent="0.25">
      <c r="A155" s="25"/>
      <c r="B155" s="11" t="str">
        <f>CONCATENATE("          ", "6247", " - ", "STORE SUPPLIES")</f>
        <v xml:space="preserve">          6247 - STORE SUPPLIES</v>
      </c>
      <c r="C155" s="11"/>
      <c r="D155" s="7"/>
      <c r="E155" s="2"/>
      <c r="F155" s="6">
        <f t="shared" si="94"/>
        <v>0</v>
      </c>
      <c r="G155" s="2"/>
      <c r="H155" s="7">
        <v>75</v>
      </c>
      <c r="I155" s="2"/>
      <c r="J155" s="6">
        <f t="shared" si="95"/>
        <v>1.5914207567948362E-4</v>
      </c>
      <c r="K155" s="2"/>
      <c r="L155" s="7">
        <f t="shared" si="96"/>
        <v>-75</v>
      </c>
      <c r="M155" s="2"/>
      <c r="N155" s="6">
        <f t="shared" si="97"/>
        <v>-1</v>
      </c>
      <c r="O155" s="11"/>
      <c r="P155" s="7">
        <v>1110.23</v>
      </c>
      <c r="Q155" s="2"/>
      <c r="R155" s="6">
        <f t="shared" si="98"/>
        <v>4.7914307537721599E-4</v>
      </c>
      <c r="S155" s="2"/>
      <c r="T155" s="7">
        <v>825</v>
      </c>
      <c r="U155" s="2"/>
      <c r="V155" s="6">
        <f t="shared" si="99"/>
        <v>2.1871778883473524E-4</v>
      </c>
      <c r="W155" s="2"/>
      <c r="X155" s="7">
        <f t="shared" si="100"/>
        <v>285.23</v>
      </c>
      <c r="Y155" s="2"/>
      <c r="Z155" s="6">
        <f t="shared" si="101"/>
        <v>0.34573333333333334</v>
      </c>
    </row>
    <row r="156" spans="1:26" s="27" customFormat="1" outlineLevel="1" collapsed="1" x14ac:dyDescent="0.25">
      <c r="A156" s="26"/>
      <c r="B156" s="13" t="str">
        <f>CONCATENATE("     ","Telephone/Data Lines                              ")</f>
        <v xml:space="preserve">     Telephone/Data Lines                              </v>
      </c>
      <c r="C156" s="13"/>
      <c r="D156" s="1">
        <f>SUM(OSRRefD22_19x_0)</f>
        <v>496.7</v>
      </c>
      <c r="E156" s="1"/>
      <c r="F156" s="5">
        <f t="shared" ref="F156:F158" si="102">IF(D$12=0,0,D156/D$12)</f>
        <v>1.1547877822290177E-3</v>
      </c>
      <c r="G156" s="1"/>
      <c r="H156" s="1">
        <f>SUM(OSRRefH22_19x_0)</f>
        <v>830</v>
      </c>
      <c r="I156" s="1"/>
      <c r="J156" s="5">
        <f t="shared" ref="J156:J158" si="103">IF(H$12=0,0,H156/H$12)</f>
        <v>1.7611723041862854E-3</v>
      </c>
      <c r="K156" s="1"/>
      <c r="L156" s="1">
        <f t="shared" ref="L156:L158" si="104">+D156-H156</f>
        <v>-333.3</v>
      </c>
      <c r="M156" s="1"/>
      <c r="N156" s="5">
        <f t="shared" ref="N156:N158" si="105">IF(H156=0,0,L156/H156)</f>
        <v>-0.40156626506024096</v>
      </c>
      <c r="O156" s="13"/>
      <c r="P156" s="1">
        <f>SUM(OSRRefP22_19x_0)</f>
        <v>6255.43</v>
      </c>
      <c r="Q156" s="1"/>
      <c r="R156" s="5">
        <f t="shared" ref="R156:R158" si="106">IF(P$12=0,0,P156/P$12)</f>
        <v>2.6996622033334519E-3</v>
      </c>
      <c r="S156" s="1"/>
      <c r="T156" s="1">
        <f>SUM(OSRRefT22_19x_0)</f>
        <v>9130</v>
      </c>
      <c r="U156" s="1"/>
      <c r="V156" s="5">
        <f t="shared" ref="V156:V158" si="107">IF(T$12=0,0,T156/T$12)</f>
        <v>2.4204768631044035E-3</v>
      </c>
      <c r="W156" s="1"/>
      <c r="X156" s="1">
        <f t="shared" ref="X156:X158" si="108">+P156-T156</f>
        <v>-2874.5699999999997</v>
      </c>
      <c r="Y156" s="1"/>
      <c r="Z156" s="5">
        <f t="shared" ref="Z156:Z158" si="109">IF(T156=0,0,X156/T156)</f>
        <v>-0.31484884994523543</v>
      </c>
    </row>
    <row r="157" spans="1:26" s="24" customFormat="1" hidden="1" outlineLevel="2" x14ac:dyDescent="0.25">
      <c r="A157" s="25"/>
      <c r="B157" s="11" t="str">
        <f>CONCATENATE("          ", "6303", " - ", "DATA PHONE LINES")</f>
        <v xml:space="preserve">          6303 - DATA PHONE LINES</v>
      </c>
      <c r="C157" s="11"/>
      <c r="D157" s="7"/>
      <c r="E157" s="2"/>
      <c r="F157" s="6">
        <f t="shared" si="102"/>
        <v>0</v>
      </c>
      <c r="G157" s="2"/>
      <c r="H157" s="7">
        <v>230</v>
      </c>
      <c r="I157" s="2"/>
      <c r="J157" s="6">
        <f t="shared" si="103"/>
        <v>4.8803569875041641E-4</v>
      </c>
      <c r="K157" s="2"/>
      <c r="L157" s="7">
        <f t="shared" si="104"/>
        <v>-230</v>
      </c>
      <c r="M157" s="2"/>
      <c r="N157" s="6">
        <f t="shared" si="105"/>
        <v>-1</v>
      </c>
      <c r="O157" s="11"/>
      <c r="P157" s="7"/>
      <c r="Q157" s="2"/>
      <c r="R157" s="6">
        <f t="shared" si="106"/>
        <v>0</v>
      </c>
      <c r="S157" s="2"/>
      <c r="T157" s="7">
        <v>2530</v>
      </c>
      <c r="U157" s="2"/>
      <c r="V157" s="6">
        <f t="shared" si="107"/>
        <v>6.7073455242652139E-4</v>
      </c>
      <c r="W157" s="2"/>
      <c r="X157" s="7">
        <f t="shared" si="108"/>
        <v>-2530</v>
      </c>
      <c r="Y157" s="2"/>
      <c r="Z157" s="6">
        <f t="shared" si="109"/>
        <v>-1</v>
      </c>
    </row>
    <row r="158" spans="1:26" s="24" customFormat="1" hidden="1" outlineLevel="2" x14ac:dyDescent="0.25">
      <c r="A158" s="25"/>
      <c r="B158" s="11" t="str">
        <f>CONCATENATE("          ", "6309", " - ", "TELEPHONE")</f>
        <v xml:space="preserve">          6309 - TELEPHONE</v>
      </c>
      <c r="C158" s="11"/>
      <c r="D158" s="7">
        <v>496.7</v>
      </c>
      <c r="E158" s="2"/>
      <c r="F158" s="6">
        <f t="shared" si="102"/>
        <v>1.1547877822290177E-3</v>
      </c>
      <c r="G158" s="2"/>
      <c r="H158" s="7">
        <v>600</v>
      </c>
      <c r="I158" s="2"/>
      <c r="J158" s="6">
        <f t="shared" si="103"/>
        <v>1.273136605435869E-3</v>
      </c>
      <c r="K158" s="2"/>
      <c r="L158" s="7">
        <f t="shared" si="104"/>
        <v>-103.30000000000001</v>
      </c>
      <c r="M158" s="2"/>
      <c r="N158" s="6">
        <f t="shared" si="105"/>
        <v>-0.17216666666666669</v>
      </c>
      <c r="O158" s="11"/>
      <c r="P158" s="7">
        <v>6255.43</v>
      </c>
      <c r="Q158" s="2"/>
      <c r="R158" s="6">
        <f t="shared" si="106"/>
        <v>2.6996622033334519E-3</v>
      </c>
      <c r="S158" s="2"/>
      <c r="T158" s="7">
        <v>6600</v>
      </c>
      <c r="U158" s="2"/>
      <c r="V158" s="6">
        <f t="shared" si="107"/>
        <v>1.749742310677882E-3</v>
      </c>
      <c r="W158" s="2"/>
      <c r="X158" s="7">
        <f t="shared" si="108"/>
        <v>-344.56999999999971</v>
      </c>
      <c r="Y158" s="2"/>
      <c r="Z158" s="6">
        <f t="shared" si="109"/>
        <v>-5.2207575757575717E-2</v>
      </c>
    </row>
    <row r="159" spans="1:26" s="27" customFormat="1" outlineLevel="1" collapsed="1" x14ac:dyDescent="0.25">
      <c r="A159" s="26"/>
      <c r="B159" s="13" t="str">
        <f>CONCATENATE("     ","Training                                          ")</f>
        <v xml:space="preserve">     Training                                          </v>
      </c>
      <c r="C159" s="13"/>
      <c r="D159" s="1">
        <f>SUM(OSRRefD22_20x_0)</f>
        <v>0</v>
      </c>
      <c r="E159" s="1"/>
      <c r="F159" s="5">
        <f t="shared" ref="F159:F163" si="110">IF(D$12=0,0,D159/D$12)</f>
        <v>0</v>
      </c>
      <c r="G159" s="1"/>
      <c r="H159" s="1">
        <f>SUM(OSRRefH22_20x_0)</f>
        <v>0</v>
      </c>
      <c r="I159" s="1"/>
      <c r="J159" s="5">
        <f t="shared" ref="J159:J163" si="111">IF(H$12=0,0,H159/H$12)</f>
        <v>0</v>
      </c>
      <c r="K159" s="1"/>
      <c r="L159" s="1">
        <f t="shared" ref="L159:L163" si="112">+D159-H159</f>
        <v>0</v>
      </c>
      <c r="M159" s="1"/>
      <c r="N159" s="5">
        <f t="shared" ref="N159:N163" si="113">IF(H159=0,0,L159/H159)</f>
        <v>0</v>
      </c>
      <c r="O159" s="13"/>
      <c r="P159" s="1">
        <f>SUM(OSRRefP22_20x_0)</f>
        <v>0</v>
      </c>
      <c r="Q159" s="1"/>
      <c r="R159" s="5">
        <f t="shared" ref="R159:R163" si="114">IF(P$12=0,0,P159/P$12)</f>
        <v>0</v>
      </c>
      <c r="S159" s="1"/>
      <c r="T159" s="1">
        <f>SUM(OSRRefT22_20x_0)</f>
        <v>3600</v>
      </c>
      <c r="U159" s="1"/>
      <c r="V159" s="5">
        <f t="shared" ref="V159:V163" si="115">IF(T$12=0,0,T159/T$12)</f>
        <v>9.5440489673339019E-4</v>
      </c>
      <c r="W159" s="1"/>
      <c r="X159" s="1">
        <f t="shared" ref="X159:X163" si="116">+P159-T159</f>
        <v>-3600</v>
      </c>
      <c r="Y159" s="1"/>
      <c r="Z159" s="5">
        <f t="shared" ref="Z159:Z163" si="117">IF(T159=0,0,X159/T159)</f>
        <v>-1</v>
      </c>
    </row>
    <row r="160" spans="1:26" s="24" customFormat="1" hidden="1" outlineLevel="2" x14ac:dyDescent="0.25">
      <c r="A160" s="25"/>
      <c r="B160" s="11" t="str">
        <f>CONCATENATE("          ", "6376", " - ", "TRAINING")</f>
        <v xml:space="preserve">          6376 - TRAINING</v>
      </c>
      <c r="C160" s="11"/>
      <c r="D160" s="7"/>
      <c r="E160" s="2"/>
      <c r="F160" s="6">
        <f t="shared" si="110"/>
        <v>0</v>
      </c>
      <c r="G160" s="2"/>
      <c r="H160" s="7">
        <v>0</v>
      </c>
      <c r="I160" s="2"/>
      <c r="J160" s="6">
        <f t="shared" si="111"/>
        <v>0</v>
      </c>
      <c r="K160" s="2"/>
      <c r="L160" s="7">
        <f t="shared" si="112"/>
        <v>0</v>
      </c>
      <c r="M160" s="2"/>
      <c r="N160" s="6">
        <f t="shared" si="113"/>
        <v>0</v>
      </c>
      <c r="O160" s="11"/>
      <c r="P160" s="7"/>
      <c r="Q160" s="2"/>
      <c r="R160" s="6">
        <f t="shared" si="114"/>
        <v>0</v>
      </c>
      <c r="S160" s="2"/>
      <c r="T160" s="7">
        <v>3600</v>
      </c>
      <c r="U160" s="2"/>
      <c r="V160" s="6">
        <f t="shared" si="115"/>
        <v>9.5440489673339019E-4</v>
      </c>
      <c r="W160" s="2"/>
      <c r="X160" s="7">
        <f t="shared" si="116"/>
        <v>-3600</v>
      </c>
      <c r="Y160" s="2"/>
      <c r="Z160" s="6">
        <f t="shared" si="117"/>
        <v>-1</v>
      </c>
    </row>
    <row r="161" spans="1:26" s="27" customFormat="1" outlineLevel="1" collapsed="1" x14ac:dyDescent="0.25">
      <c r="A161" s="26"/>
      <c r="B161" s="13" t="str">
        <f>CONCATENATE("     ","Travel                                            ")</f>
        <v xml:space="preserve">     Travel                                            </v>
      </c>
      <c r="C161" s="13"/>
      <c r="D161" s="1">
        <f>SUM(OSRRefD22_21x_0)</f>
        <v>0</v>
      </c>
      <c r="E161" s="1"/>
      <c r="F161" s="5">
        <f t="shared" si="110"/>
        <v>0</v>
      </c>
      <c r="G161" s="1"/>
      <c r="H161" s="1">
        <f>SUM(OSRRefH22_21x_0)</f>
        <v>50</v>
      </c>
      <c r="I161" s="1"/>
      <c r="J161" s="5">
        <f t="shared" si="111"/>
        <v>1.0609471711965575E-4</v>
      </c>
      <c r="K161" s="1"/>
      <c r="L161" s="1">
        <f t="shared" si="112"/>
        <v>-50</v>
      </c>
      <c r="M161" s="1"/>
      <c r="N161" s="5">
        <f t="shared" si="113"/>
        <v>-1</v>
      </c>
      <c r="O161" s="13"/>
      <c r="P161" s="1">
        <f>SUM(OSRRefP22_21x_0)</f>
        <v>613.35</v>
      </c>
      <c r="Q161" s="1"/>
      <c r="R161" s="5">
        <f t="shared" si="114"/>
        <v>2.6470407508589702E-4</v>
      </c>
      <c r="S161" s="1"/>
      <c r="T161" s="1">
        <f>SUM(OSRRefT22_21x_0)</f>
        <v>750</v>
      </c>
      <c r="U161" s="1"/>
      <c r="V161" s="5">
        <f t="shared" si="115"/>
        <v>1.9883435348612294E-4</v>
      </c>
      <c r="W161" s="1"/>
      <c r="X161" s="1">
        <f t="shared" si="116"/>
        <v>-136.64999999999998</v>
      </c>
      <c r="Y161" s="1"/>
      <c r="Z161" s="5">
        <f t="shared" si="117"/>
        <v>-0.18219999999999997</v>
      </c>
    </row>
    <row r="162" spans="1:26" s="24" customFormat="1" hidden="1" outlineLevel="2" x14ac:dyDescent="0.25">
      <c r="A162" s="25"/>
      <c r="B162" s="11" t="str">
        <f>CONCATENATE("          ", "6294", " - ", "TRAVEL OPERATIONAL")</f>
        <v xml:space="preserve">          6294 - TRAVEL OPERATIONAL</v>
      </c>
      <c r="C162" s="11"/>
      <c r="D162" s="7"/>
      <c r="E162" s="2"/>
      <c r="F162" s="6">
        <f t="shared" si="110"/>
        <v>0</v>
      </c>
      <c r="G162" s="2"/>
      <c r="H162" s="7">
        <v>25</v>
      </c>
      <c r="I162" s="2"/>
      <c r="J162" s="6">
        <f t="shared" si="111"/>
        <v>5.3047358559827875E-5</v>
      </c>
      <c r="K162" s="2"/>
      <c r="L162" s="7">
        <f t="shared" si="112"/>
        <v>-25</v>
      </c>
      <c r="M162" s="2"/>
      <c r="N162" s="6">
        <f t="shared" si="113"/>
        <v>-1</v>
      </c>
      <c r="O162" s="11"/>
      <c r="P162" s="7">
        <v>613.35</v>
      </c>
      <c r="Q162" s="2"/>
      <c r="R162" s="6">
        <f t="shared" si="114"/>
        <v>2.6470407508589702E-4</v>
      </c>
      <c r="S162" s="2"/>
      <c r="T162" s="7">
        <v>275</v>
      </c>
      <c r="U162" s="2"/>
      <c r="V162" s="6">
        <f t="shared" si="115"/>
        <v>7.290592961157841E-5</v>
      </c>
      <c r="W162" s="2"/>
      <c r="X162" s="7">
        <f t="shared" si="116"/>
        <v>338.35</v>
      </c>
      <c r="Y162" s="2"/>
      <c r="Z162" s="6">
        <f t="shared" si="117"/>
        <v>1.2303636363636365</v>
      </c>
    </row>
    <row r="163" spans="1:26" s="24" customFormat="1" hidden="1" outlineLevel="2" x14ac:dyDescent="0.25">
      <c r="A163" s="25"/>
      <c r="B163" s="11" t="str">
        <f>CONCATENATE("          ", "6298", " - ", "VEHICLE MILEAGE")</f>
        <v xml:space="preserve">          6298 - VEHICLE MILEAGE</v>
      </c>
      <c r="C163" s="11"/>
      <c r="D163" s="7"/>
      <c r="E163" s="2"/>
      <c r="F163" s="6">
        <f t="shared" si="110"/>
        <v>0</v>
      </c>
      <c r="G163" s="2"/>
      <c r="H163" s="7">
        <v>25</v>
      </c>
      <c r="I163" s="2"/>
      <c r="J163" s="6">
        <f t="shared" si="111"/>
        <v>5.3047358559827875E-5</v>
      </c>
      <c r="K163" s="2"/>
      <c r="L163" s="7">
        <f t="shared" si="112"/>
        <v>-25</v>
      </c>
      <c r="M163" s="2"/>
      <c r="N163" s="6">
        <f t="shared" si="113"/>
        <v>-1</v>
      </c>
      <c r="O163" s="11"/>
      <c r="P163" s="7"/>
      <c r="Q163" s="2"/>
      <c r="R163" s="6">
        <f t="shared" si="114"/>
        <v>0</v>
      </c>
      <c r="S163" s="2"/>
      <c r="T163" s="7">
        <v>475</v>
      </c>
      <c r="U163" s="2"/>
      <c r="V163" s="6">
        <f t="shared" si="115"/>
        <v>1.2592842387454455E-4</v>
      </c>
      <c r="W163" s="2"/>
      <c r="X163" s="7">
        <f t="shared" si="116"/>
        <v>-475</v>
      </c>
      <c r="Y163" s="2"/>
      <c r="Z163" s="6">
        <f t="shared" si="117"/>
        <v>-1</v>
      </c>
    </row>
    <row r="164" spans="1:26" s="27" customFormat="1" outlineLevel="1" collapsed="1" x14ac:dyDescent="0.25">
      <c r="A164" s="26"/>
      <c r="B164" s="13" t="str">
        <f>CONCATENATE("     ","Utilities                                         ")</f>
        <v xml:space="preserve">     Utilities                                         </v>
      </c>
      <c r="C164" s="13"/>
      <c r="D164" s="1">
        <f>SUM(OSRRefD22_22x_0)</f>
        <v>29.9</v>
      </c>
      <c r="E164" s="1"/>
      <c r="F164" s="5">
        <f t="shared" ref="F164:F165" si="118">IF(D$12=0,0,D164/D$12)</f>
        <v>6.9515109097337678E-5</v>
      </c>
      <c r="G164" s="1"/>
      <c r="H164" s="1">
        <f>SUM(OSRRefH22_22x_0)</f>
        <v>105</v>
      </c>
      <c r="I164" s="1"/>
      <c r="J164" s="5">
        <f t="shared" ref="J164:J165" si="119">IF(H$12=0,0,H164/H$12)</f>
        <v>2.2279890595127707E-4</v>
      </c>
      <c r="K164" s="1"/>
      <c r="L164" s="1">
        <f t="shared" ref="L164:L165" si="120">+D164-H164</f>
        <v>-75.099999999999994</v>
      </c>
      <c r="M164" s="1"/>
      <c r="N164" s="5">
        <f t="shared" ref="N164:N165" si="121">IF(H164=0,0,L164/H164)</f>
        <v>-0.71523809523809523</v>
      </c>
      <c r="O164" s="13"/>
      <c r="P164" s="1">
        <f>SUM(OSRRefP22_22x_0)</f>
        <v>294.43</v>
      </c>
      <c r="Q164" s="1"/>
      <c r="R164" s="5">
        <f t="shared" ref="R164:R165" si="122">IF(P$12=0,0,P164/P$12)</f>
        <v>1.2706745060331076E-4</v>
      </c>
      <c r="S164" s="1"/>
      <c r="T164" s="1">
        <f>SUM(OSRRefT22_22x_0)</f>
        <v>4135</v>
      </c>
      <c r="U164" s="1"/>
      <c r="V164" s="5">
        <f t="shared" ref="V164:V165" si="123">IF(T$12=0,0,T164/T$12)</f>
        <v>1.0962400688868245E-3</v>
      </c>
      <c r="W164" s="1"/>
      <c r="X164" s="1">
        <f t="shared" ref="X164:X165" si="124">+P164-T164</f>
        <v>-3840.57</v>
      </c>
      <c r="Y164" s="1"/>
      <c r="Z164" s="5">
        <f t="shared" ref="Z164:Z165" si="125">IF(T164=0,0,X164/T164)</f>
        <v>-0.92879564691656591</v>
      </c>
    </row>
    <row r="165" spans="1:26" s="24" customFormat="1" hidden="1" outlineLevel="2" x14ac:dyDescent="0.25">
      <c r="A165" s="25"/>
      <c r="B165" s="11" t="str">
        <f>CONCATENATE("          ", "6274", " - ", "UTILITIES")</f>
        <v xml:space="preserve">          6274 - UTILITIES</v>
      </c>
      <c r="C165" s="11"/>
      <c r="D165" s="7">
        <v>29.9</v>
      </c>
      <c r="E165" s="2"/>
      <c r="F165" s="6">
        <f t="shared" si="118"/>
        <v>6.9515109097337678E-5</v>
      </c>
      <c r="G165" s="2"/>
      <c r="H165" s="7">
        <v>105</v>
      </c>
      <c r="I165" s="2"/>
      <c r="J165" s="6">
        <f t="shared" si="119"/>
        <v>2.2279890595127707E-4</v>
      </c>
      <c r="K165" s="2"/>
      <c r="L165" s="7">
        <f t="shared" si="120"/>
        <v>-75.099999999999994</v>
      </c>
      <c r="M165" s="2"/>
      <c r="N165" s="6">
        <f t="shared" si="121"/>
        <v>-0.71523809523809523</v>
      </c>
      <c r="O165" s="11"/>
      <c r="P165" s="7">
        <v>294.43</v>
      </c>
      <c r="Q165" s="2"/>
      <c r="R165" s="6">
        <f t="shared" si="122"/>
        <v>1.2706745060331076E-4</v>
      </c>
      <c r="S165" s="2"/>
      <c r="T165" s="7">
        <v>4135</v>
      </c>
      <c r="U165" s="2"/>
      <c r="V165" s="6">
        <f t="shared" si="123"/>
        <v>1.0962400688868245E-3</v>
      </c>
      <c r="W165" s="2"/>
      <c r="X165" s="7">
        <f t="shared" si="124"/>
        <v>-3840.57</v>
      </c>
      <c r="Y165" s="2"/>
      <c r="Z165" s="6">
        <f t="shared" si="125"/>
        <v>-0.92879564691656591</v>
      </c>
    </row>
    <row r="166" spans="1:26" s="56" customFormat="1" x14ac:dyDescent="0.25">
      <c r="A166" s="36"/>
      <c r="B166" s="36"/>
      <c r="C166" s="36"/>
      <c r="D166" s="1"/>
      <c r="E166" s="1"/>
      <c r="F166" s="5"/>
      <c r="G166" s="1"/>
      <c r="H166" s="1"/>
      <c r="I166" s="1"/>
      <c r="J166" s="5"/>
      <c r="K166" s="1"/>
      <c r="L166" s="1"/>
      <c r="M166" s="1"/>
      <c r="N166" s="5"/>
      <c r="O166" s="36"/>
      <c r="P166" s="1"/>
      <c r="Q166" s="1"/>
      <c r="R166" s="5"/>
      <c r="S166" s="1"/>
      <c r="T166" s="1"/>
      <c r="U166" s="1"/>
      <c r="V166" s="5"/>
      <c r="W166" s="1"/>
      <c r="X166" s="1"/>
      <c r="Y166" s="1"/>
      <c r="Z166" s="5"/>
    </row>
    <row r="167" spans="1:26" s="23" customFormat="1" collapsed="1" x14ac:dyDescent="0.25">
      <c r="A167" s="10"/>
      <c r="B167" s="29" t="s">
        <v>293</v>
      </c>
      <c r="C167" s="10"/>
      <c r="D167" s="4">
        <f>SUM(OSRRefD25x_0)</f>
        <v>1862</v>
      </c>
      <c r="E167" s="4"/>
      <c r="F167" s="12">
        <f t="shared" ref="F167:F171" si="126">IF(D$12=0,0,D167/D$12)</f>
        <v>4.3290011083358783E-3</v>
      </c>
      <c r="G167" s="4"/>
      <c r="H167" s="4">
        <f>SUM(OSRRefH25x_0)</f>
        <v>8075</v>
      </c>
      <c r="I167" s="4"/>
      <c r="J167" s="12">
        <f t="shared" ref="J167:J171" si="127">IF(H$12=0,0,H167/H$12)</f>
        <v>1.7134296814824403E-2</v>
      </c>
      <c r="K167" s="4"/>
      <c r="L167" s="4">
        <f t="shared" ref="L167:L171" si="128">+D167-H167</f>
        <v>-6213</v>
      </c>
      <c r="M167" s="4"/>
      <c r="N167" s="12">
        <f t="shared" ref="N167:N171" si="129">IF(H167=0,0,L167/H167)</f>
        <v>-0.76941176470588235</v>
      </c>
      <c r="O167" s="10"/>
      <c r="P167" s="4">
        <f>SUM(OSRRefP25x_0)</f>
        <v>412686.77999999997</v>
      </c>
      <c r="Q167" s="4"/>
      <c r="R167" s="12">
        <f t="shared" ref="R167:R171" si="130">IF(P$12=0,0,P167/P$12)</f>
        <v>0.17810364783578225</v>
      </c>
      <c r="S167" s="4"/>
      <c r="T167" s="4">
        <f>SUM(OSRRefT25x_0)</f>
        <v>436065</v>
      </c>
      <c r="U167" s="4"/>
      <c r="V167" s="12">
        <f t="shared" ref="V167:V171" si="131">IF(T$12=0,0,T167/T$12)</f>
        <v>0.11560626980390161</v>
      </c>
      <c r="W167" s="4"/>
      <c r="X167" s="4">
        <f t="shared" ref="X167:X171" si="132">+P167-T167</f>
        <v>-23378.22000000003</v>
      </c>
      <c r="Y167" s="4"/>
      <c r="Z167" s="12">
        <f t="shared" ref="Z167:Z171" si="133">IF(T167=0,0,X167/T167)</f>
        <v>-5.36117780606103E-2</v>
      </c>
    </row>
    <row r="168" spans="1:26" s="24" customFormat="1" hidden="1" outlineLevel="1" x14ac:dyDescent="0.25">
      <c r="A168" s="44"/>
      <c r="B168" s="11" t="str">
        <f>CONCATENATE("          ", "4098", " - ", "TAXABLE SALES-GRAD RENTALS")</f>
        <v xml:space="preserve">          4098 - TAXABLE SALES-GRAD RENTALS</v>
      </c>
      <c r="C168" s="11"/>
      <c r="D168" s="2">
        <f t="shared" ref="D168:D170" si="134">0</f>
        <v>0</v>
      </c>
      <c r="E168" s="2"/>
      <c r="F168" s="19">
        <f t="shared" si="126"/>
        <v>0</v>
      </c>
      <c r="G168" s="2"/>
      <c r="H168" s="2"/>
      <c r="I168" s="2"/>
      <c r="J168" s="19">
        <f t="shared" si="127"/>
        <v>0</v>
      </c>
      <c r="K168" s="2"/>
      <c r="L168" s="2">
        <f t="shared" si="128"/>
        <v>0</v>
      </c>
      <c r="M168" s="2"/>
      <c r="N168" s="19">
        <f t="shared" si="129"/>
        <v>0</v>
      </c>
      <c r="O168" s="11"/>
      <c r="P168" s="2">
        <f>--49.95</f>
        <v>49.95</v>
      </c>
      <c r="Q168" s="2"/>
      <c r="R168" s="19">
        <f t="shared" si="130"/>
        <v>2.1556971632086991E-5</v>
      </c>
      <c r="S168" s="2"/>
      <c r="T168" s="2"/>
      <c r="U168" s="2"/>
      <c r="V168" s="19">
        <f t="shared" si="131"/>
        <v>0</v>
      </c>
      <c r="W168" s="2"/>
      <c r="X168" s="2">
        <f t="shared" si="132"/>
        <v>49.95</v>
      </c>
      <c r="Y168" s="2"/>
      <c r="Z168" s="19">
        <f t="shared" si="133"/>
        <v>0</v>
      </c>
    </row>
    <row r="169" spans="1:26" s="24" customFormat="1" hidden="1" outlineLevel="1" x14ac:dyDescent="0.25">
      <c r="A169" s="44"/>
      <c r="B169" s="11" t="str">
        <f>CONCATENATE("          ", "9150", " - ", "MISC. INCOME")</f>
        <v xml:space="preserve">          9150 - MISC. INCOME</v>
      </c>
      <c r="C169" s="11"/>
      <c r="D169" s="2">
        <f t="shared" si="134"/>
        <v>0</v>
      </c>
      <c r="E169" s="2"/>
      <c r="F169" s="19">
        <f t="shared" si="126"/>
        <v>0</v>
      </c>
      <c r="G169" s="2"/>
      <c r="H169" s="2">
        <v>8075</v>
      </c>
      <c r="I169" s="2"/>
      <c r="J169" s="19">
        <f t="shared" si="127"/>
        <v>1.7134296814824403E-2</v>
      </c>
      <c r="K169" s="2"/>
      <c r="L169" s="2">
        <f t="shared" si="128"/>
        <v>-8075</v>
      </c>
      <c r="M169" s="2"/>
      <c r="N169" s="19">
        <f t="shared" si="129"/>
        <v>-1</v>
      </c>
      <c r="O169" s="11"/>
      <c r="P169" s="2">
        <f>--64296.27</f>
        <v>64296.27</v>
      </c>
      <c r="Q169" s="2"/>
      <c r="R169" s="19">
        <f t="shared" si="130"/>
        <v>2.7748405774554667E-2</v>
      </c>
      <c r="S169" s="2"/>
      <c r="T169" s="2">
        <v>88825</v>
      </c>
      <c r="U169" s="2"/>
      <c r="V169" s="19">
        <f t="shared" si="131"/>
        <v>2.3548615264539829E-2</v>
      </c>
      <c r="W169" s="2"/>
      <c r="X169" s="2">
        <f t="shared" si="132"/>
        <v>-24528.730000000003</v>
      </c>
      <c r="Y169" s="2"/>
      <c r="Z169" s="19">
        <f t="shared" si="133"/>
        <v>-0.27614669293554744</v>
      </c>
    </row>
    <row r="170" spans="1:26" s="24" customFormat="1" hidden="1" outlineLevel="1" x14ac:dyDescent="0.25">
      <c r="A170" s="44"/>
      <c r="B170" s="11" t="str">
        <f>CONCATENATE("          ", "9151", " - ", "MISC. INCOME")</f>
        <v xml:space="preserve">          9151 - MISC. INCOME</v>
      </c>
      <c r="C170" s="11"/>
      <c r="D170" s="2">
        <f t="shared" si="134"/>
        <v>0</v>
      </c>
      <c r="E170" s="2"/>
      <c r="F170" s="19">
        <f t="shared" si="126"/>
        <v>0</v>
      </c>
      <c r="G170" s="2"/>
      <c r="H170" s="2"/>
      <c r="I170" s="2"/>
      <c r="J170" s="19">
        <f t="shared" si="127"/>
        <v>0</v>
      </c>
      <c r="K170" s="2"/>
      <c r="L170" s="2">
        <f t="shared" si="128"/>
        <v>0</v>
      </c>
      <c r="M170" s="2"/>
      <c r="N170" s="19">
        <f t="shared" si="129"/>
        <v>0</v>
      </c>
      <c r="O170" s="11"/>
      <c r="P170" s="2">
        <f>0</f>
        <v>0</v>
      </c>
      <c r="Q170" s="2"/>
      <c r="R170" s="19">
        <f t="shared" si="130"/>
        <v>0</v>
      </c>
      <c r="S170" s="2"/>
      <c r="T170" s="2">
        <v>347240</v>
      </c>
      <c r="U170" s="2"/>
      <c r="V170" s="19">
        <f t="shared" si="131"/>
        <v>9.205765453936178E-2</v>
      </c>
      <c r="W170" s="2"/>
      <c r="X170" s="2">
        <f t="shared" si="132"/>
        <v>-347240</v>
      </c>
      <c r="Y170" s="2"/>
      <c r="Z170" s="19">
        <f t="shared" si="133"/>
        <v>-1</v>
      </c>
    </row>
    <row r="171" spans="1:26" s="24" customFormat="1" hidden="1" outlineLevel="1" x14ac:dyDescent="0.25">
      <c r="A171" s="44"/>
      <c r="B171" s="11" t="str">
        <f>CONCATENATE("          ", "9163", " - ", "MISC. INCOME")</f>
        <v xml:space="preserve">          9163 - MISC. INCOME</v>
      </c>
      <c r="C171" s="11"/>
      <c r="D171" s="2">
        <f>--1862</f>
        <v>1862</v>
      </c>
      <c r="E171" s="2"/>
      <c r="F171" s="19">
        <f t="shared" si="126"/>
        <v>4.3290011083358783E-3</v>
      </c>
      <c r="G171" s="2"/>
      <c r="H171" s="2"/>
      <c r="I171" s="2"/>
      <c r="J171" s="19">
        <f t="shared" si="127"/>
        <v>0</v>
      </c>
      <c r="K171" s="2"/>
      <c r="L171" s="2">
        <f t="shared" si="128"/>
        <v>1862</v>
      </c>
      <c r="M171" s="2"/>
      <c r="N171" s="19">
        <f t="shared" si="129"/>
        <v>0</v>
      </c>
      <c r="O171" s="11"/>
      <c r="P171" s="2">
        <f>--348340.56</f>
        <v>348340.56</v>
      </c>
      <c r="Q171" s="2"/>
      <c r="R171" s="19">
        <f t="shared" si="130"/>
        <v>0.15033368508959552</v>
      </c>
      <c r="S171" s="2"/>
      <c r="T171" s="2"/>
      <c r="U171" s="2"/>
      <c r="V171" s="19">
        <f t="shared" si="131"/>
        <v>0</v>
      </c>
      <c r="W171" s="2"/>
      <c r="X171" s="2">
        <f t="shared" si="132"/>
        <v>348340.56</v>
      </c>
      <c r="Y171" s="2"/>
      <c r="Z171" s="19">
        <f t="shared" si="133"/>
        <v>0</v>
      </c>
    </row>
    <row r="172" spans="1:26" x14ac:dyDescent="0.25">
      <c r="A172" s="9"/>
      <c r="B172" s="10"/>
      <c r="C172" s="10"/>
      <c r="D172" s="3"/>
      <c r="E172" s="3"/>
      <c r="F172" s="8"/>
      <c r="G172" s="3"/>
      <c r="H172" s="3"/>
      <c r="I172" s="3"/>
      <c r="J172" s="8"/>
      <c r="K172" s="3"/>
      <c r="L172" s="3"/>
      <c r="M172" s="3"/>
      <c r="N172" s="8"/>
      <c r="O172" s="10"/>
      <c r="P172" s="3"/>
      <c r="Q172" s="3"/>
      <c r="R172" s="8"/>
      <c r="S172" s="3"/>
      <c r="T172" s="3"/>
      <c r="U172" s="3"/>
      <c r="V172" s="8"/>
      <c r="W172" s="3"/>
      <c r="X172" s="3"/>
      <c r="Y172" s="3"/>
      <c r="Z172" s="8"/>
    </row>
    <row r="173" spans="1:26" s="23" customFormat="1" x14ac:dyDescent="0.25">
      <c r="A173" s="10"/>
      <c r="B173" s="28" t="s">
        <v>277</v>
      </c>
      <c r="C173" s="28"/>
      <c r="D173" s="20">
        <f>+D80-D82+D167</f>
        <v>171447.89000000013</v>
      </c>
      <c r="E173" s="14"/>
      <c r="F173" s="21">
        <f>IF(D$12=0,0,D173/D$12)</f>
        <v>0.39860263471098195</v>
      </c>
      <c r="G173" s="14"/>
      <c r="H173" s="20">
        <f>+H80-H82+H167</f>
        <v>129579.72669807696</v>
      </c>
      <c r="I173" s="14"/>
      <c r="J173" s="21">
        <f>IF(H$12=0,0,H173/H$12)</f>
        <v>0.27495448896949559</v>
      </c>
      <c r="K173" s="15"/>
      <c r="L173" s="20">
        <f>+D173-H173</f>
        <v>41868.163301923167</v>
      </c>
      <c r="M173" s="15"/>
      <c r="N173" s="21">
        <f>IF(H173=0,0,L173/H173)</f>
        <v>0.32310735922044903</v>
      </c>
      <c r="O173" s="29"/>
      <c r="P173" s="20">
        <f>+P80-P82+P167</f>
        <v>753833.17000000062</v>
      </c>
      <c r="Q173" s="14"/>
      <c r="R173" s="21">
        <f>IF(P$12=0,0,P173/P$12)</f>
        <v>0.32533253775808252</v>
      </c>
      <c r="S173" s="14"/>
      <c r="T173" s="20">
        <f>+T80-T82+T167</f>
        <v>1062322.7075519236</v>
      </c>
      <c r="U173" s="14"/>
      <c r="V173" s="21">
        <f>IF(T$12=0,0,T173/T$12)</f>
        <v>0.28163499833295252</v>
      </c>
      <c r="W173" s="15"/>
      <c r="X173" s="20">
        <f>+P173-T173</f>
        <v>-308489.53755192296</v>
      </c>
      <c r="Y173" s="15"/>
      <c r="Z173" s="21">
        <f>IF(T173=0,0,X173/T173)</f>
        <v>-0.29039154991125404</v>
      </c>
    </row>
    <row r="174" spans="1:26" x14ac:dyDescent="0.25">
      <c r="A174" s="9"/>
      <c r="B174" s="10"/>
      <c r="C174" s="9"/>
      <c r="D174" s="3"/>
      <c r="E174" s="3"/>
      <c r="F174" s="8"/>
      <c r="G174" s="3"/>
      <c r="H174" s="3"/>
      <c r="I174" s="3"/>
      <c r="J174" s="8"/>
      <c r="K174" s="3"/>
      <c r="L174" s="3"/>
      <c r="M174" s="3"/>
      <c r="N174" s="8"/>
      <c r="P174" s="3"/>
      <c r="Q174" s="3"/>
      <c r="R174" s="8"/>
      <c r="S174" s="3"/>
      <c r="T174" s="3"/>
      <c r="U174" s="3"/>
      <c r="V174" s="8"/>
      <c r="W174" s="3"/>
      <c r="X174" s="3"/>
      <c r="Y174" s="3"/>
      <c r="Z174" s="8"/>
    </row>
    <row r="175" spans="1:26" s="23" customFormat="1" x14ac:dyDescent="0.25">
      <c r="A175" s="52"/>
      <c r="B175" s="10" t="s">
        <v>128</v>
      </c>
      <c r="C175" s="10"/>
      <c r="D175" s="4">
        <v>100378.98</v>
      </c>
      <c r="E175" s="4"/>
      <c r="F175" s="12">
        <f>IF(D$12=0,0,D175/D$12)</f>
        <v>0.23337310186553437</v>
      </c>
      <c r="G175" s="4"/>
      <c r="H175" s="4">
        <v>98453</v>
      </c>
      <c r="I175" s="4"/>
      <c r="J175" s="12">
        <f>IF(H$12=0,0,H175/H$12)</f>
        <v>0.20890686369162934</v>
      </c>
      <c r="K175" s="4"/>
      <c r="L175" s="4">
        <f>+D175-H175</f>
        <v>1925.9799999999959</v>
      </c>
      <c r="M175" s="4"/>
      <c r="N175" s="12">
        <f>IF(H175=0,0,L175/H175)</f>
        <v>1.9562430804546289E-2</v>
      </c>
      <c r="O175" s="10"/>
      <c r="P175" s="4">
        <v>495145.68</v>
      </c>
      <c r="Q175" s="4"/>
      <c r="R175" s="12">
        <f>IF(P$12=0,0,P175/P$12)</f>
        <v>0.21369051806827671</v>
      </c>
      <c r="S175" s="4"/>
      <c r="T175" s="4">
        <v>696367</v>
      </c>
      <c r="U175" s="4"/>
      <c r="V175" s="12">
        <f>IF(T$12=0,0,T175/T$12)</f>
        <v>0.18461557631209463</v>
      </c>
      <c r="W175" s="4"/>
      <c r="X175" s="4">
        <f>+P175-T175</f>
        <v>-201221.32</v>
      </c>
      <c r="Y175" s="4"/>
      <c r="Z175" s="12">
        <f>IF(T175=0,0,X175/T175)</f>
        <v>-0.28895872435080927</v>
      </c>
    </row>
    <row r="176" spans="1:26" x14ac:dyDescent="0.25">
      <c r="A176" s="9"/>
      <c r="B176" s="10"/>
      <c r="C176" s="10"/>
      <c r="D176" s="3"/>
      <c r="E176" s="3"/>
      <c r="F176" s="8"/>
      <c r="G176" s="3"/>
      <c r="H176" s="3"/>
      <c r="I176" s="3"/>
      <c r="J176" s="8"/>
      <c r="K176" s="3"/>
      <c r="L176" s="3"/>
      <c r="M176" s="3"/>
      <c r="N176" s="8"/>
      <c r="O176" s="10"/>
      <c r="P176" s="3"/>
      <c r="Q176" s="3"/>
      <c r="R176" s="8"/>
      <c r="S176" s="3"/>
      <c r="T176" s="3"/>
      <c r="U176" s="3"/>
      <c r="V176" s="8"/>
      <c r="W176" s="3"/>
      <c r="X176" s="3"/>
      <c r="Y176" s="3"/>
      <c r="Z176" s="8"/>
    </row>
    <row r="177" spans="1:26" s="23" customFormat="1" ht="15.75" thickBot="1" x14ac:dyDescent="0.3">
      <c r="A177" s="10"/>
      <c r="B177" s="28" t="s">
        <v>126</v>
      </c>
      <c r="C177" s="28"/>
      <c r="D177" s="35">
        <f>+D173-D175</f>
        <v>71068.910000000134</v>
      </c>
      <c r="E177" s="14"/>
      <c r="F177" s="34">
        <f>IF(D$12=0,0,D177/D$12)</f>
        <v>0.16522953284544759</v>
      </c>
      <c r="G177" s="14"/>
      <c r="H177" s="35">
        <f>+H173-H175</f>
        <v>31126.726698076964</v>
      </c>
      <c r="I177" s="14"/>
      <c r="J177" s="34">
        <f>IF(H$12=0,0,H177/H$12)</f>
        <v>6.6047625277866229E-2</v>
      </c>
      <c r="K177" s="15"/>
      <c r="L177" s="35">
        <f>D177-H177</f>
        <v>39942.183301923171</v>
      </c>
      <c r="M177" s="15"/>
      <c r="N177" s="34">
        <f>IF(H177=0,0,L177/H177)</f>
        <v>1.2832118098814045</v>
      </c>
      <c r="O177" s="29"/>
      <c r="P177" s="35">
        <f>+P173-P175</f>
        <v>258687.49000000063</v>
      </c>
      <c r="Q177" s="14"/>
      <c r="R177" s="34">
        <f>IF(P$12=0,0,P177/P$12)</f>
        <v>0.11164201968980582</v>
      </c>
      <c r="S177" s="14"/>
      <c r="T177" s="35">
        <f>+T173-T175</f>
        <v>365955.70755192358</v>
      </c>
      <c r="U177" s="14"/>
      <c r="V177" s="34">
        <f>IF(T$12=0,0,T177/T$12)</f>
        <v>9.7019422020857879E-2</v>
      </c>
      <c r="W177" s="15"/>
      <c r="X177" s="35">
        <f>P177-T177</f>
        <v>-107268.21755192295</v>
      </c>
      <c r="Y177" s="15"/>
      <c r="Z177" s="34">
        <f>IF(T177=0,0,X177/T177)</f>
        <v>-0.29311803406346165</v>
      </c>
    </row>
    <row r="178" spans="1:26" ht="15.75" thickTop="1" x14ac:dyDescent="0.25">
      <c r="A178" s="9"/>
      <c r="B178" s="9"/>
      <c r="C178" s="9"/>
      <c r="D178" s="3"/>
      <c r="E178" s="3"/>
      <c r="F178" s="8"/>
      <c r="G178" s="3"/>
      <c r="H178" s="3"/>
      <c r="I178" s="3"/>
      <c r="J178" s="8"/>
      <c r="K178" s="3"/>
      <c r="L178" s="3"/>
      <c r="M178" s="3"/>
      <c r="N178" s="8"/>
      <c r="P178" s="3"/>
      <c r="Q178" s="3"/>
      <c r="R178" s="8"/>
      <c r="S178" s="3"/>
      <c r="T178" s="3"/>
      <c r="U178" s="3"/>
      <c r="V178" s="8"/>
      <c r="W178" s="3"/>
      <c r="X178" s="3"/>
      <c r="Y178" s="3"/>
      <c r="Z178" s="8"/>
    </row>
    <row r="179" spans="1:26" x14ac:dyDescent="0.25">
      <c r="A179" s="9"/>
      <c r="B179" s="9"/>
      <c r="C179" s="9"/>
      <c r="D179" s="3"/>
      <c r="E179" s="3"/>
      <c r="F179" s="8"/>
      <c r="G179" s="3"/>
      <c r="H179" s="3"/>
      <c r="I179" s="3"/>
      <c r="J179" s="8"/>
      <c r="K179" s="3"/>
      <c r="L179" s="3"/>
      <c r="M179" s="3"/>
      <c r="N179" s="8"/>
      <c r="P179" s="3"/>
      <c r="Q179" s="3"/>
      <c r="R179" s="8"/>
      <c r="S179" s="3"/>
      <c r="T179" s="3"/>
      <c r="U179" s="3"/>
      <c r="V179" s="8"/>
      <c r="W179" s="3"/>
      <c r="X179" s="3"/>
      <c r="Y179" s="3"/>
      <c r="Z179" s="8"/>
    </row>
    <row r="180" spans="1:26" s="23" customFormat="1" ht="15.75" thickBot="1" x14ac:dyDescent="0.3">
      <c r="A180" s="10"/>
      <c r="B180" s="28" t="s">
        <v>294</v>
      </c>
      <c r="C180" s="28"/>
      <c r="D180" s="33">
        <f>SUM(D177:D179)</f>
        <v>71068.910000000134</v>
      </c>
      <c r="E180" s="14"/>
      <c r="F180" s="32">
        <f>IF(D$12=0,0,D180/D$12)</f>
        <v>0.16522953284544759</v>
      </c>
      <c r="G180" s="14"/>
      <c r="H180" s="33">
        <f>SUM(H177:H179)</f>
        <v>31126.726698076964</v>
      </c>
      <c r="I180" s="14"/>
      <c r="J180" s="32">
        <f>IF(H$12=0,0,H180/H$12)</f>
        <v>6.6047625277866229E-2</v>
      </c>
      <c r="K180" s="15"/>
      <c r="L180" s="33">
        <f>+D180-H180</f>
        <v>39942.183301923171</v>
      </c>
      <c r="M180" s="15"/>
      <c r="N180" s="32">
        <f>IF(H180=0,0,L180/H180)</f>
        <v>1.2832118098814045</v>
      </c>
      <c r="O180" s="29"/>
      <c r="P180" s="33">
        <f>SUM(P177:P179)</f>
        <v>258687.49000000063</v>
      </c>
      <c r="Q180" s="14"/>
      <c r="R180" s="32">
        <f>IF(P$12=0,0,P180/P$12)</f>
        <v>0.11164201968980582</v>
      </c>
      <c r="S180" s="14"/>
      <c r="T180" s="33">
        <f>SUM(T177:T179)</f>
        <v>365955.70755192358</v>
      </c>
      <c r="U180" s="14"/>
      <c r="V180" s="32">
        <f>IF(T$12=0,0,T180/T$12)</f>
        <v>9.7019422020857879E-2</v>
      </c>
      <c r="W180" s="15"/>
      <c r="X180" s="33">
        <f>+P180-T180</f>
        <v>-107268.21755192295</v>
      </c>
      <c r="Y180" s="15"/>
      <c r="Z180" s="32">
        <f>IF(T180=0,0,X180/T180)</f>
        <v>-0.29311803406346165</v>
      </c>
    </row>
    <row r="181" spans="1:26" ht="15.75" thickTop="1" x14ac:dyDescent="0.25">
      <c r="A181" s="9"/>
      <c r="C181" s="9"/>
      <c r="D181" s="18"/>
      <c r="E181" s="18"/>
      <c r="G181" s="18"/>
      <c r="H181" s="18"/>
      <c r="I181" s="18"/>
      <c r="J181" s="42"/>
      <c r="K181" s="18"/>
      <c r="L181" s="18"/>
      <c r="M181" s="18"/>
      <c r="P181" s="18"/>
      <c r="Q181" s="18"/>
      <c r="R181" s="42"/>
      <c r="S181" s="18"/>
      <c r="T181" s="18"/>
      <c r="U181" s="18"/>
      <c r="V181" s="42"/>
      <c r="W181" s="18"/>
      <c r="X181" s="18"/>
    </row>
    <row r="182" spans="1:26" x14ac:dyDescent="0.25">
      <c r="A182" s="9"/>
      <c r="B182" s="60">
        <v>44356.891826157407</v>
      </c>
      <c r="D182" s="18"/>
      <c r="E182" s="18"/>
      <c r="G182" s="18"/>
      <c r="H182" s="18"/>
      <c r="I182" s="18"/>
      <c r="J182" s="42"/>
      <c r="K182" s="18"/>
      <c r="L182" s="18"/>
      <c r="M182" s="18"/>
      <c r="P182" s="18"/>
      <c r="Q182" s="18"/>
      <c r="R182" s="42"/>
      <c r="S182" s="18"/>
      <c r="T182" s="18"/>
      <c r="U182" s="18"/>
      <c r="V182" s="42"/>
      <c r="W182" s="18"/>
      <c r="X182" s="18"/>
    </row>
    <row r="183" spans="1:26" x14ac:dyDescent="0.25">
      <c r="A183" s="9"/>
      <c r="B183" s="55" t="s">
        <v>56</v>
      </c>
      <c r="D183" s="18"/>
      <c r="E183" s="18"/>
      <c r="G183" s="18"/>
      <c r="H183" s="18"/>
      <c r="I183" s="18"/>
      <c r="J183" s="42"/>
      <c r="K183" s="18"/>
      <c r="L183" s="18"/>
      <c r="M183" s="18"/>
      <c r="P183" s="18"/>
      <c r="Q183" s="18"/>
      <c r="R183" s="42"/>
      <c r="S183" s="18"/>
      <c r="T183" s="18"/>
      <c r="U183" s="18"/>
      <c r="V183" s="42"/>
      <c r="W183" s="18"/>
      <c r="X183" s="18"/>
    </row>
    <row r="184" spans="1:26" x14ac:dyDescent="0.25">
      <c r="A184" s="9"/>
      <c r="B184" s="63"/>
      <c r="D184" s="18"/>
      <c r="E184" s="18"/>
      <c r="G184" s="18"/>
      <c r="H184" s="18"/>
      <c r="I184" s="18"/>
      <c r="J184" s="42"/>
      <c r="K184" s="18"/>
      <c r="L184" s="18"/>
      <c r="M184" s="18"/>
      <c r="P184" s="18"/>
      <c r="Q184" s="18"/>
      <c r="R184" s="42"/>
      <c r="S184" s="18"/>
      <c r="T184" s="18"/>
      <c r="U184" s="18"/>
      <c r="V184" s="42"/>
      <c r="W184" s="18"/>
      <c r="X184" s="18"/>
    </row>
    <row r="185" spans="1:26" x14ac:dyDescent="0.25">
      <c r="D185" s="18"/>
      <c r="E185" s="18"/>
      <c r="G185" s="18"/>
      <c r="H185" s="18"/>
      <c r="I185" s="18"/>
      <c r="J185" s="42"/>
      <c r="K185" s="18"/>
      <c r="L185" s="18"/>
      <c r="M185" s="18"/>
      <c r="P185" s="18"/>
      <c r="Q185" s="18"/>
      <c r="R185" s="42"/>
      <c r="S185" s="18"/>
      <c r="T185" s="18"/>
      <c r="U185" s="18"/>
      <c r="V185" s="42"/>
      <c r="W185" s="18"/>
      <c r="X185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6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","315", " - ", "Beach Shop")</f>
        <v>Department 315 - Beach Shop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395418.14</v>
      </c>
      <c r="E12" s="4"/>
      <c r="F12" s="12"/>
      <c r="G12" s="4"/>
      <c r="H12" s="4">
        <f>SUM(OSRRefH13x_0)</f>
        <v>413063</v>
      </c>
      <c r="I12" s="4"/>
      <c r="J12" s="12"/>
      <c r="K12" s="4"/>
      <c r="L12" s="4">
        <f t="shared" ref="L12:L51" si="0">+D12-H12</f>
        <v>-17644.859999999986</v>
      </c>
      <c r="M12" s="4"/>
      <c r="N12" s="12">
        <f t="shared" ref="N12:N51" si="1">IF(H12=0,0,L12/H12)</f>
        <v>-4.2717115791053632E-2</v>
      </c>
      <c r="O12" s="10"/>
      <c r="P12" s="4">
        <f>SUM(OSRRefP13x_0)</f>
        <v>2031106.8100000005</v>
      </c>
      <c r="Q12" s="4"/>
      <c r="R12" s="12"/>
      <c r="S12" s="4"/>
      <c r="T12" s="4">
        <f>SUM(OSRRefT13x_0)</f>
        <v>3241365</v>
      </c>
      <c r="U12" s="4"/>
      <c r="V12" s="12"/>
      <c r="W12" s="4"/>
      <c r="X12" s="4">
        <f t="shared" ref="X12:X51" si="2">+P12-T12</f>
        <v>-1210258.1899999995</v>
      </c>
      <c r="Y12" s="4"/>
      <c r="Z12" s="12">
        <f t="shared" ref="Z12:Z51" si="3">IF(T12=0,0,X12/T12)</f>
        <v>-0.37337917513146451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-10285.7</f>
        <v>-10285.700000000001</v>
      </c>
      <c r="E13" s="2"/>
      <c r="F13" s="19"/>
      <c r="G13" s="2"/>
      <c r="H13" s="2">
        <v>413063</v>
      </c>
      <c r="I13" s="2"/>
      <c r="J13" s="19"/>
      <c r="K13" s="2"/>
      <c r="L13" s="2">
        <f t="shared" si="0"/>
        <v>-423348.7</v>
      </c>
      <c r="M13" s="2"/>
      <c r="N13" s="19">
        <f t="shared" si="1"/>
        <v>-1.0249010441506501</v>
      </c>
      <c r="O13" s="11"/>
      <c r="P13" s="2">
        <f>-127703.96</f>
        <v>-127703.96</v>
      </c>
      <c r="Q13" s="2"/>
      <c r="R13" s="19"/>
      <c r="S13" s="2"/>
      <c r="T13" s="2">
        <v>3241365</v>
      </c>
      <c r="U13" s="2"/>
      <c r="V13" s="19"/>
      <c r="W13" s="2"/>
      <c r="X13" s="2">
        <f t="shared" si="2"/>
        <v>-3369068.96</v>
      </c>
      <c r="Y13" s="2"/>
      <c r="Z13" s="19">
        <f t="shared" si="3"/>
        <v>-1.0393982041516461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--221.99</f>
        <v>221.99</v>
      </c>
      <c r="Q14" s="2"/>
      <c r="R14" s="19"/>
      <c r="S14" s="2"/>
      <c r="T14" s="2"/>
      <c r="U14" s="2"/>
      <c r="V14" s="19"/>
      <c r="W14" s="2"/>
      <c r="X14" s="2">
        <f t="shared" si="2"/>
        <v>221.99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--6013.61</f>
        <v>6013.61</v>
      </c>
      <c r="E15" s="2"/>
      <c r="F15" s="19"/>
      <c r="G15" s="2"/>
      <c r="H15" s="2"/>
      <c r="I15" s="2"/>
      <c r="J15" s="19"/>
      <c r="K15" s="2"/>
      <c r="L15" s="2">
        <f t="shared" si="0"/>
        <v>6013.61</v>
      </c>
      <c r="M15" s="2"/>
      <c r="N15" s="19">
        <f t="shared" si="1"/>
        <v>0</v>
      </c>
      <c r="O15" s="11"/>
      <c r="P15" s="2">
        <f>--61680.34</f>
        <v>61680.34</v>
      </c>
      <c r="Q15" s="2"/>
      <c r="R15" s="19"/>
      <c r="S15" s="2"/>
      <c r="T15" s="2"/>
      <c r="U15" s="2"/>
      <c r="V15" s="19"/>
      <c r="W15" s="2"/>
      <c r="X15" s="2">
        <f t="shared" si="2"/>
        <v>61680.34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--1495.15</f>
        <v>1495.15</v>
      </c>
      <c r="E16" s="2"/>
      <c r="F16" s="19"/>
      <c r="G16" s="2"/>
      <c r="H16" s="2"/>
      <c r="I16" s="2"/>
      <c r="J16" s="19"/>
      <c r="K16" s="2"/>
      <c r="L16" s="2">
        <f t="shared" si="0"/>
        <v>1495.15</v>
      </c>
      <c r="M16" s="2"/>
      <c r="N16" s="19">
        <f t="shared" si="1"/>
        <v>0</v>
      </c>
      <c r="O16" s="11"/>
      <c r="P16" s="2">
        <f>--35887.03</f>
        <v>35887.03</v>
      </c>
      <c r="Q16" s="2"/>
      <c r="R16" s="19"/>
      <c r="S16" s="2"/>
      <c r="T16" s="2"/>
      <c r="U16" s="2"/>
      <c r="V16" s="19"/>
      <c r="W16" s="2"/>
      <c r="X16" s="2">
        <f t="shared" si="2"/>
        <v>35887.03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--490.12</f>
        <v>490.12</v>
      </c>
      <c r="E17" s="2"/>
      <c r="F17" s="19"/>
      <c r="G17" s="2"/>
      <c r="H17" s="2"/>
      <c r="I17" s="2"/>
      <c r="J17" s="19"/>
      <c r="K17" s="2"/>
      <c r="L17" s="2">
        <f t="shared" si="0"/>
        <v>490.12</v>
      </c>
      <c r="M17" s="2"/>
      <c r="N17" s="19">
        <f t="shared" si="1"/>
        <v>0</v>
      </c>
      <c r="O17" s="11"/>
      <c r="P17" s="2">
        <f>--4326.16</f>
        <v>4326.16</v>
      </c>
      <c r="Q17" s="2"/>
      <c r="R17" s="19"/>
      <c r="S17" s="2"/>
      <c r="T17" s="2"/>
      <c r="U17" s="2"/>
      <c r="V17" s="19"/>
      <c r="W17" s="2"/>
      <c r="X17" s="2">
        <f t="shared" si="2"/>
        <v>4326.16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/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--157116.65</f>
        <v>157116.65</v>
      </c>
      <c r="E19" s="2"/>
      <c r="F19" s="19"/>
      <c r="G19" s="2"/>
      <c r="H19" s="2"/>
      <c r="I19" s="2"/>
      <c r="J19" s="19"/>
      <c r="K19" s="2"/>
      <c r="L19" s="2">
        <f t="shared" si="0"/>
        <v>157116.65</v>
      </c>
      <c r="M19" s="2"/>
      <c r="N19" s="19">
        <f t="shared" si="1"/>
        <v>0</v>
      </c>
      <c r="O19" s="11"/>
      <c r="P19" s="2">
        <f>--858577.8</f>
        <v>858577.8</v>
      </c>
      <c r="Q19" s="2"/>
      <c r="R19" s="19"/>
      <c r="S19" s="2"/>
      <c r="T19" s="2"/>
      <c r="U19" s="2"/>
      <c r="V19" s="19"/>
      <c r="W19" s="2"/>
      <c r="X19" s="2">
        <f t="shared" si="2"/>
        <v>858577.8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--186288</f>
        <v>186288</v>
      </c>
      <c r="E20" s="2"/>
      <c r="F20" s="19"/>
      <c r="G20" s="2"/>
      <c r="H20" s="2"/>
      <c r="I20" s="2"/>
      <c r="J20" s="19"/>
      <c r="K20" s="2"/>
      <c r="L20" s="2">
        <f t="shared" si="0"/>
        <v>186288</v>
      </c>
      <c r="M20" s="2"/>
      <c r="N20" s="19">
        <f t="shared" si="1"/>
        <v>0</v>
      </c>
      <c r="O20" s="11"/>
      <c r="P20" s="2">
        <f>--502311.48</f>
        <v>502311.48</v>
      </c>
      <c r="Q20" s="2"/>
      <c r="R20" s="19"/>
      <c r="S20" s="2"/>
      <c r="T20" s="2"/>
      <c r="U20" s="2"/>
      <c r="V20" s="19"/>
      <c r="W20" s="2"/>
      <c r="X20" s="2">
        <f t="shared" si="2"/>
        <v>502311.48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--6323.77</f>
        <v>6323.77</v>
      </c>
      <c r="E21" s="2"/>
      <c r="F21" s="19"/>
      <c r="G21" s="2"/>
      <c r="H21" s="2"/>
      <c r="I21" s="2"/>
      <c r="J21" s="19"/>
      <c r="K21" s="2"/>
      <c r="L21" s="2">
        <f t="shared" si="0"/>
        <v>6323.77</v>
      </c>
      <c r="M21" s="2"/>
      <c r="N21" s="19">
        <f t="shared" si="1"/>
        <v>0</v>
      </c>
      <c r="O21" s="11"/>
      <c r="P21" s="2">
        <f>--80711.2</f>
        <v>80711.199999999997</v>
      </c>
      <c r="Q21" s="2"/>
      <c r="R21" s="19"/>
      <c r="S21" s="2"/>
      <c r="T21" s="2"/>
      <c r="U21" s="2"/>
      <c r="V21" s="19"/>
      <c r="W21" s="2"/>
      <c r="X21" s="2">
        <f t="shared" si="2"/>
        <v>80711.199999999997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--7105.94</f>
        <v>7105.94</v>
      </c>
      <c r="E22" s="2"/>
      <c r="F22" s="19"/>
      <c r="G22" s="2"/>
      <c r="H22" s="2"/>
      <c r="I22" s="2"/>
      <c r="J22" s="19"/>
      <c r="K22" s="2"/>
      <c r="L22" s="2">
        <f t="shared" si="0"/>
        <v>7105.94</v>
      </c>
      <c r="M22" s="2"/>
      <c r="N22" s="19">
        <f t="shared" si="1"/>
        <v>0</v>
      </c>
      <c r="O22" s="11"/>
      <c r="P22" s="2">
        <f>--132965.39</f>
        <v>132965.39000000001</v>
      </c>
      <c r="Q22" s="2"/>
      <c r="R22" s="19"/>
      <c r="S22" s="2"/>
      <c r="T22" s="2"/>
      <c r="U22" s="2"/>
      <c r="V22" s="19"/>
      <c r="W22" s="2"/>
      <c r="X22" s="2">
        <f t="shared" si="2"/>
        <v>132965.39000000001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--4850.33</f>
        <v>4850.33</v>
      </c>
      <c r="E23" s="2"/>
      <c r="F23" s="19"/>
      <c r="G23" s="2"/>
      <c r="H23" s="2"/>
      <c r="I23" s="2"/>
      <c r="J23" s="19"/>
      <c r="K23" s="2"/>
      <c r="L23" s="2">
        <f t="shared" si="0"/>
        <v>4850.33</v>
      </c>
      <c r="M23" s="2"/>
      <c r="N23" s="19">
        <f t="shared" si="1"/>
        <v>0</v>
      </c>
      <c r="O23" s="11"/>
      <c r="P23" s="2">
        <f>--38141.31</f>
        <v>38141.31</v>
      </c>
      <c r="Q23" s="2"/>
      <c r="R23" s="19"/>
      <c r="S23" s="2"/>
      <c r="T23" s="2"/>
      <c r="U23" s="2"/>
      <c r="V23" s="19"/>
      <c r="W23" s="2"/>
      <c r="X23" s="2">
        <f t="shared" si="2"/>
        <v>38141.31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--26335.59</f>
        <v>26335.59</v>
      </c>
      <c r="E24" s="2"/>
      <c r="F24" s="19"/>
      <c r="G24" s="2"/>
      <c r="H24" s="2"/>
      <c r="I24" s="2"/>
      <c r="J24" s="19"/>
      <c r="K24" s="2"/>
      <c r="L24" s="2">
        <f t="shared" si="0"/>
        <v>26335.59</v>
      </c>
      <c r="M24" s="2"/>
      <c r="N24" s="19">
        <f t="shared" si="1"/>
        <v>0</v>
      </c>
      <c r="O24" s="11"/>
      <c r="P24" s="2">
        <f>--233251.56</f>
        <v>233251.56</v>
      </c>
      <c r="Q24" s="2"/>
      <c r="R24" s="19"/>
      <c r="S24" s="2"/>
      <c r="T24" s="2"/>
      <c r="U24" s="2"/>
      <c r="V24" s="19"/>
      <c r="W24" s="2"/>
      <c r="X24" s="2">
        <f t="shared" si="2"/>
        <v>233251.56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--52.68</f>
        <v>52.68</v>
      </c>
      <c r="Q25" s="2"/>
      <c r="R25" s="19"/>
      <c r="S25" s="2"/>
      <c r="T25" s="2"/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--548.05</f>
        <v>548.04999999999995</v>
      </c>
      <c r="E26" s="2"/>
      <c r="F26" s="19"/>
      <c r="G26" s="2"/>
      <c r="H26" s="2"/>
      <c r="I26" s="2"/>
      <c r="J26" s="19"/>
      <c r="K26" s="2"/>
      <c r="L26" s="2">
        <f t="shared" si="0"/>
        <v>548.04999999999995</v>
      </c>
      <c r="M26" s="2"/>
      <c r="N26" s="19">
        <f t="shared" si="1"/>
        <v>0</v>
      </c>
      <c r="O26" s="11"/>
      <c r="P26" s="2">
        <f>--7648.73</f>
        <v>7648.73</v>
      </c>
      <c r="Q26" s="2"/>
      <c r="R26" s="19"/>
      <c r="S26" s="2"/>
      <c r="T26" s="2"/>
      <c r="U26" s="2"/>
      <c r="V26" s="19"/>
      <c r="W26" s="2"/>
      <c r="X26" s="2">
        <f t="shared" si="2"/>
        <v>7648.73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"4128", " - ", "NON-TAXABLE SALES-ART/TECH")</f>
        <v xml:space="preserve">          4128 - NON-TAXABLE SALES-ART/TECH</v>
      </c>
      <c r="C27" s="11"/>
      <c r="D27" s="2">
        <f>--45.96</f>
        <v>45.96</v>
      </c>
      <c r="E27" s="2"/>
      <c r="F27" s="19"/>
      <c r="G27" s="2"/>
      <c r="H27" s="2"/>
      <c r="I27" s="2"/>
      <c r="J27" s="19"/>
      <c r="K27" s="2"/>
      <c r="L27" s="2">
        <f t="shared" si="0"/>
        <v>45.96</v>
      </c>
      <c r="M27" s="2"/>
      <c r="N27" s="19">
        <f t="shared" si="1"/>
        <v>0</v>
      </c>
      <c r="O27" s="11"/>
      <c r="P27" s="2">
        <f>--115.91</f>
        <v>115.91</v>
      </c>
      <c r="Q27" s="2"/>
      <c r="R27" s="19"/>
      <c r="S27" s="2"/>
      <c r="T27" s="2"/>
      <c r="U27" s="2"/>
      <c r="V27" s="19"/>
      <c r="W27" s="2"/>
      <c r="X27" s="2">
        <f t="shared" si="2"/>
        <v>115.91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>--772.78</f>
        <v>772.78</v>
      </c>
      <c r="E28" s="2"/>
      <c r="F28" s="19"/>
      <c r="G28" s="2"/>
      <c r="H28" s="2"/>
      <c r="I28" s="2"/>
      <c r="J28" s="19"/>
      <c r="K28" s="2"/>
      <c r="L28" s="2">
        <f t="shared" si="0"/>
        <v>772.78</v>
      </c>
      <c r="M28" s="2"/>
      <c r="N28" s="19">
        <f t="shared" si="1"/>
        <v>0</v>
      </c>
      <c r="O28" s="11"/>
      <c r="P28" s="2">
        <f>--10245.98</f>
        <v>10245.98</v>
      </c>
      <c r="Q28" s="2"/>
      <c r="R28" s="19"/>
      <c r="S28" s="2"/>
      <c r="T28" s="2"/>
      <c r="U28" s="2"/>
      <c r="V28" s="19"/>
      <c r="W28" s="2"/>
      <c r="X28" s="2">
        <f t="shared" si="2"/>
        <v>10245.98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4"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--22.49</f>
        <v>22.49</v>
      </c>
      <c r="Q29" s="2"/>
      <c r="R29" s="19"/>
      <c r="S29" s="2"/>
      <c r="T29" s="2"/>
      <c r="U29" s="2"/>
      <c r="V29" s="19"/>
      <c r="W29" s="2"/>
      <c r="X29" s="2">
        <f t="shared" si="2"/>
        <v>22.49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--80.71</f>
        <v>80.709999999999994</v>
      </c>
      <c r="Q30" s="2"/>
      <c r="R30" s="19"/>
      <c r="S30" s="2"/>
      <c r="T30" s="2"/>
      <c r="U30" s="2"/>
      <c r="V30" s="19"/>
      <c r="W30" s="2"/>
      <c r="X30" s="2">
        <f t="shared" si="2"/>
        <v>80.709999999999994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--45.53</f>
        <v>45.53</v>
      </c>
      <c r="Q31" s="2"/>
      <c r="R31" s="19"/>
      <c r="S31" s="2"/>
      <c r="T31" s="2"/>
      <c r="U31" s="2"/>
      <c r="V31" s="19"/>
      <c r="W31" s="2"/>
      <c r="X31" s="2">
        <f t="shared" si="2"/>
        <v>45.53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--59.25</f>
        <v>59.25</v>
      </c>
      <c r="Q32" s="2"/>
      <c r="R32" s="19"/>
      <c r="S32" s="2"/>
      <c r="T32" s="2"/>
      <c r="U32" s="2"/>
      <c r="V32" s="19"/>
      <c r="W32" s="2"/>
      <c r="X32" s="2">
        <f t="shared" si="2"/>
        <v>59.25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--16839.53</f>
        <v>16839.53</v>
      </c>
      <c r="E33" s="2"/>
      <c r="F33" s="19"/>
      <c r="G33" s="2"/>
      <c r="H33" s="2"/>
      <c r="I33" s="2"/>
      <c r="J33" s="19"/>
      <c r="K33" s="2"/>
      <c r="L33" s="2">
        <f t="shared" si="0"/>
        <v>16839.53</v>
      </c>
      <c r="M33" s="2"/>
      <c r="N33" s="19">
        <f t="shared" si="1"/>
        <v>0</v>
      </c>
      <c r="O33" s="11"/>
      <c r="P33" s="2">
        <f>--171307.58</f>
        <v>171307.58</v>
      </c>
      <c r="Q33" s="2"/>
      <c r="R33" s="19"/>
      <c r="S33" s="2"/>
      <c r="T33" s="2"/>
      <c r="U33" s="2"/>
      <c r="V33" s="19"/>
      <c r="W33" s="2"/>
      <c r="X33" s="2">
        <f t="shared" si="2"/>
        <v>171307.58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--1882.42</f>
        <v>1882.42</v>
      </c>
      <c r="E34" s="2"/>
      <c r="F34" s="19"/>
      <c r="G34" s="2"/>
      <c r="H34" s="2"/>
      <c r="I34" s="2"/>
      <c r="J34" s="19"/>
      <c r="K34" s="2"/>
      <c r="L34" s="2">
        <f t="shared" si="0"/>
        <v>1882.42</v>
      </c>
      <c r="M34" s="2"/>
      <c r="N34" s="19">
        <f t="shared" si="1"/>
        <v>0</v>
      </c>
      <c r="O34" s="11"/>
      <c r="P34" s="2">
        <f>--37399.99</f>
        <v>37399.99</v>
      </c>
      <c r="Q34" s="2"/>
      <c r="R34" s="19"/>
      <c r="S34" s="2"/>
      <c r="T34" s="2"/>
      <c r="U34" s="2"/>
      <c r="V34" s="19"/>
      <c r="W34" s="2"/>
      <c r="X34" s="2">
        <f t="shared" si="2"/>
        <v>37399.99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--11.96</f>
        <v>11.96</v>
      </c>
      <c r="E35" s="2"/>
      <c r="F35" s="19"/>
      <c r="G35" s="2"/>
      <c r="H35" s="2"/>
      <c r="I35" s="2"/>
      <c r="J35" s="19"/>
      <c r="K35" s="2"/>
      <c r="L35" s="2">
        <f t="shared" si="0"/>
        <v>11.96</v>
      </c>
      <c r="M35" s="2"/>
      <c r="N35" s="19">
        <f t="shared" si="1"/>
        <v>0</v>
      </c>
      <c r="O35" s="11"/>
      <c r="P35" s="2">
        <f>--1467.37</f>
        <v>1467.37</v>
      </c>
      <c r="Q35" s="2"/>
      <c r="R35" s="19"/>
      <c r="S35" s="2"/>
      <c r="T35" s="2"/>
      <c r="U35" s="2"/>
      <c r="V35" s="19"/>
      <c r="W35" s="2"/>
      <c r="X35" s="2">
        <f t="shared" si="2"/>
        <v>1467.37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>--120.71</f>
        <v>120.71</v>
      </c>
      <c r="E36" s="2"/>
      <c r="F36" s="19"/>
      <c r="G36" s="2"/>
      <c r="H36" s="2"/>
      <c r="I36" s="2"/>
      <c r="J36" s="19"/>
      <c r="K36" s="2"/>
      <c r="L36" s="2">
        <f t="shared" si="0"/>
        <v>120.71</v>
      </c>
      <c r="M36" s="2"/>
      <c r="N36" s="19">
        <f t="shared" si="1"/>
        <v>0</v>
      </c>
      <c r="O36" s="11"/>
      <c r="P36" s="2">
        <f>--2552.16</f>
        <v>2552.16</v>
      </c>
      <c r="Q36" s="2"/>
      <c r="R36" s="19"/>
      <c r="S36" s="2"/>
      <c r="T36" s="2"/>
      <c r="U36" s="2"/>
      <c r="V36" s="19"/>
      <c r="W36" s="2"/>
      <c r="X36" s="2">
        <f t="shared" si="2"/>
        <v>2552.16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--164.7</f>
        <v>164.7</v>
      </c>
      <c r="E37" s="2"/>
      <c r="F37" s="19"/>
      <c r="G37" s="2"/>
      <c r="H37" s="2"/>
      <c r="I37" s="2"/>
      <c r="J37" s="19"/>
      <c r="K37" s="2"/>
      <c r="L37" s="2">
        <f t="shared" si="0"/>
        <v>164.7</v>
      </c>
      <c r="M37" s="2"/>
      <c r="N37" s="19">
        <f t="shared" si="1"/>
        <v>0</v>
      </c>
      <c r="O37" s="11"/>
      <c r="P37" s="2">
        <f>--873.8</f>
        <v>873.8</v>
      </c>
      <c r="Q37" s="2"/>
      <c r="R37" s="19"/>
      <c r="S37" s="2"/>
      <c r="T37" s="2"/>
      <c r="U37" s="2"/>
      <c r="V37" s="19"/>
      <c r="W37" s="2"/>
      <c r="X37" s="2">
        <f t="shared" si="2"/>
        <v>873.8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 t="shared" ref="D38:D39" si="5">0</f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--74059.89</f>
        <v>74059.89</v>
      </c>
      <c r="Q38" s="2"/>
      <c r="R38" s="19"/>
      <c r="S38" s="2"/>
      <c r="T38" s="2"/>
      <c r="U38" s="2"/>
      <c r="V38" s="19"/>
      <c r="W38" s="2"/>
      <c r="X38" s="2">
        <f t="shared" si="2"/>
        <v>74059.89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 t="shared" si="5"/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-6.38</f>
        <v>-6.38</v>
      </c>
      <c r="Q39" s="2"/>
      <c r="R39" s="19"/>
      <c r="S39" s="2"/>
      <c r="T39" s="2"/>
      <c r="U39" s="2"/>
      <c r="V39" s="19"/>
      <c r="W39" s="2"/>
      <c r="X39" s="2">
        <f t="shared" si="2"/>
        <v>-6.38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-137.82</f>
        <v>-137.82</v>
      </c>
      <c r="E40" s="2"/>
      <c r="F40" s="19"/>
      <c r="G40" s="2"/>
      <c r="H40" s="2"/>
      <c r="I40" s="2"/>
      <c r="J40" s="19"/>
      <c r="K40" s="2"/>
      <c r="L40" s="2">
        <f t="shared" si="0"/>
        <v>-137.82</v>
      </c>
      <c r="M40" s="2"/>
      <c r="N40" s="19">
        <f t="shared" si="1"/>
        <v>0</v>
      </c>
      <c r="O40" s="11"/>
      <c r="P40" s="2">
        <f>-1281.3</f>
        <v>-1281.3</v>
      </c>
      <c r="Q40" s="2"/>
      <c r="R40" s="19"/>
      <c r="S40" s="2"/>
      <c r="T40" s="2"/>
      <c r="U40" s="2"/>
      <c r="V40" s="19"/>
      <c r="W40" s="2"/>
      <c r="X40" s="2">
        <f t="shared" si="2"/>
        <v>-1281.3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-12751.53</f>
        <v>-12751.53</v>
      </c>
      <c r="Q41" s="2"/>
      <c r="R41" s="19"/>
      <c r="S41" s="2"/>
      <c r="T41" s="2"/>
      <c r="U41" s="2"/>
      <c r="V41" s="19"/>
      <c r="W41" s="2"/>
      <c r="X41" s="2">
        <f t="shared" si="2"/>
        <v>-12751.53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-5729.02</f>
        <v>-5729.02</v>
      </c>
      <c r="E42" s="2"/>
      <c r="F42" s="19"/>
      <c r="G42" s="2"/>
      <c r="H42" s="2"/>
      <c r="I42" s="2"/>
      <c r="J42" s="19"/>
      <c r="K42" s="2"/>
      <c r="L42" s="2">
        <f t="shared" si="0"/>
        <v>-5729.02</v>
      </c>
      <c r="M42" s="2"/>
      <c r="N42" s="19">
        <f t="shared" si="1"/>
        <v>0</v>
      </c>
      <c r="O42" s="11"/>
      <c r="P42" s="2">
        <f>-37199.06</f>
        <v>-37199.06</v>
      </c>
      <c r="Q42" s="2"/>
      <c r="R42" s="19"/>
      <c r="S42" s="2"/>
      <c r="T42" s="2"/>
      <c r="U42" s="2"/>
      <c r="V42" s="19"/>
      <c r="W42" s="2"/>
      <c r="X42" s="2">
        <f t="shared" si="2"/>
        <v>-37199.06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-4446.08</f>
        <v>-4446.08</v>
      </c>
      <c r="E43" s="2"/>
      <c r="F43" s="19"/>
      <c r="G43" s="2"/>
      <c r="H43" s="2"/>
      <c r="I43" s="2"/>
      <c r="J43" s="19"/>
      <c r="K43" s="2"/>
      <c r="L43" s="2">
        <f t="shared" si="0"/>
        <v>-4446.08</v>
      </c>
      <c r="M43" s="2"/>
      <c r="N43" s="19">
        <f t="shared" si="1"/>
        <v>0</v>
      </c>
      <c r="O43" s="11"/>
      <c r="P43" s="2">
        <f>-14687.63</f>
        <v>-14687.63</v>
      </c>
      <c r="Q43" s="2"/>
      <c r="R43" s="19"/>
      <c r="S43" s="2"/>
      <c r="T43" s="2"/>
      <c r="U43" s="2"/>
      <c r="V43" s="19"/>
      <c r="W43" s="2"/>
      <c r="X43" s="2">
        <f t="shared" si="2"/>
        <v>-14687.63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-107</f>
        <v>-107</v>
      </c>
      <c r="E44" s="2"/>
      <c r="F44" s="19"/>
      <c r="G44" s="2"/>
      <c r="H44" s="2"/>
      <c r="I44" s="2"/>
      <c r="J44" s="19"/>
      <c r="K44" s="2"/>
      <c r="L44" s="2">
        <f t="shared" si="0"/>
        <v>-107</v>
      </c>
      <c r="M44" s="2"/>
      <c r="N44" s="19">
        <f t="shared" si="1"/>
        <v>0</v>
      </c>
      <c r="O44" s="11"/>
      <c r="P44" s="2">
        <f>-2417.03</f>
        <v>-2417.0300000000002</v>
      </c>
      <c r="Q44" s="2"/>
      <c r="R44" s="19"/>
      <c r="S44" s="2"/>
      <c r="T44" s="2"/>
      <c r="U44" s="2"/>
      <c r="V44" s="19"/>
      <c r="W44" s="2"/>
      <c r="X44" s="2">
        <f t="shared" si="2"/>
        <v>-2417.0300000000002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>-76.9</f>
        <v>-76.900000000000006</v>
      </c>
      <c r="E45" s="2"/>
      <c r="F45" s="19"/>
      <c r="G45" s="2"/>
      <c r="H45" s="2"/>
      <c r="I45" s="2"/>
      <c r="J45" s="19"/>
      <c r="K45" s="2"/>
      <c r="L45" s="2">
        <f t="shared" si="0"/>
        <v>-76.900000000000006</v>
      </c>
      <c r="M45" s="2"/>
      <c r="N45" s="19">
        <f t="shared" si="1"/>
        <v>0</v>
      </c>
      <c r="O45" s="11"/>
      <c r="P45" s="2">
        <f>-6218.99</f>
        <v>-6218.99</v>
      </c>
      <c r="Q45" s="2"/>
      <c r="R45" s="19"/>
      <c r="S45" s="2"/>
      <c r="T45" s="2"/>
      <c r="U45" s="2"/>
      <c r="V45" s="19"/>
      <c r="W45" s="2"/>
      <c r="X45" s="2">
        <f t="shared" si="2"/>
        <v>-6218.99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-7.46</f>
        <v>-7.46</v>
      </c>
      <c r="E46" s="2"/>
      <c r="F46" s="19"/>
      <c r="G46" s="2"/>
      <c r="H46" s="2"/>
      <c r="I46" s="2"/>
      <c r="J46" s="19"/>
      <c r="K46" s="2"/>
      <c r="L46" s="2">
        <f t="shared" si="0"/>
        <v>-7.46</v>
      </c>
      <c r="M46" s="2"/>
      <c r="N46" s="19">
        <f t="shared" si="1"/>
        <v>0</v>
      </c>
      <c r="O46" s="11"/>
      <c r="P46" s="2">
        <f>-1208.08</f>
        <v>-1208.08</v>
      </c>
      <c r="Q46" s="2"/>
      <c r="R46" s="19"/>
      <c r="S46" s="2"/>
      <c r="T46" s="2"/>
      <c r="U46" s="2"/>
      <c r="V46" s="19"/>
      <c r="W46" s="2"/>
      <c r="X46" s="2">
        <f t="shared" si="2"/>
        <v>-1208.08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-36</f>
        <v>-36</v>
      </c>
      <c r="E47" s="2"/>
      <c r="F47" s="19"/>
      <c r="G47" s="2"/>
      <c r="H47" s="2"/>
      <c r="I47" s="2"/>
      <c r="J47" s="19"/>
      <c r="K47" s="2"/>
      <c r="L47" s="2">
        <f t="shared" si="0"/>
        <v>-36</v>
      </c>
      <c r="M47" s="2"/>
      <c r="N47" s="19">
        <f t="shared" si="1"/>
        <v>0</v>
      </c>
      <c r="O47" s="11"/>
      <c r="P47" s="2">
        <f>-15453.73</f>
        <v>-15453.73</v>
      </c>
      <c r="Q47" s="2"/>
      <c r="R47" s="19"/>
      <c r="S47" s="2"/>
      <c r="T47" s="2"/>
      <c r="U47" s="2"/>
      <c r="V47" s="19"/>
      <c r="W47" s="2"/>
      <c r="X47" s="2">
        <f t="shared" si="2"/>
        <v>-15453.73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"4327", " - ", "SALES RETURN NON TAXABLE-SCHOO")</f>
        <v xml:space="preserve">          4327 - SALES RETURN NON TAXABLE-SCHOO</v>
      </c>
      <c r="C48" s="11"/>
      <c r="D48" s="2">
        <f>-17.41</f>
        <v>-17.41</v>
      </c>
      <c r="E48" s="2"/>
      <c r="F48" s="19"/>
      <c r="G48" s="2"/>
      <c r="H48" s="2"/>
      <c r="I48" s="2"/>
      <c r="J48" s="19"/>
      <c r="K48" s="2"/>
      <c r="L48" s="2">
        <f t="shared" si="0"/>
        <v>-17.41</v>
      </c>
      <c r="M48" s="2"/>
      <c r="N48" s="19">
        <f t="shared" si="1"/>
        <v>0</v>
      </c>
      <c r="O48" s="11"/>
      <c r="P48" s="2">
        <f>-17.41</f>
        <v>-17.41</v>
      </c>
      <c r="Q48" s="2"/>
      <c r="R48" s="19"/>
      <c r="S48" s="2"/>
      <c r="T48" s="2"/>
      <c r="U48" s="2"/>
      <c r="V48" s="19"/>
      <c r="W48" s="2"/>
      <c r="X48" s="2">
        <f t="shared" si="2"/>
        <v>-17.41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"4340", " - ", "SALES RETURN NON TAXABLE-LOGO")</f>
        <v xml:space="preserve">          4340 - SALES RETURN NON TAXABLE-LOGO</v>
      </c>
      <c r="C49" s="11"/>
      <c r="D49" s="2">
        <f>-143.74</f>
        <v>-143.74</v>
      </c>
      <c r="E49" s="2"/>
      <c r="F49" s="19"/>
      <c r="G49" s="2"/>
      <c r="H49" s="2"/>
      <c r="I49" s="2"/>
      <c r="J49" s="19"/>
      <c r="K49" s="2"/>
      <c r="L49" s="2">
        <f t="shared" si="0"/>
        <v>-143.74</v>
      </c>
      <c r="M49" s="2"/>
      <c r="N49" s="19">
        <f t="shared" si="1"/>
        <v>0</v>
      </c>
      <c r="O49" s="11"/>
      <c r="P49" s="2">
        <f>-3451.26</f>
        <v>-3451.26</v>
      </c>
      <c r="Q49" s="2"/>
      <c r="R49" s="19"/>
      <c r="S49" s="2"/>
      <c r="T49" s="2"/>
      <c r="U49" s="2"/>
      <c r="V49" s="19"/>
      <c r="W49" s="2"/>
      <c r="X49" s="2">
        <f t="shared" si="2"/>
        <v>-3451.26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"4341", " - ", "SALES RETURN NON TAXABLE-LOGO")</f>
        <v xml:space="preserve">          4341 - SALES RETURN NON TAXABLE-LOGO</v>
      </c>
      <c r="C50" s="11"/>
      <c r="D50" s="2">
        <f t="shared" ref="D50:D51" si="6"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-391.24</f>
        <v>-391.24</v>
      </c>
      <c r="Q50" s="2"/>
      <c r="R50" s="19"/>
      <c r="S50" s="2"/>
      <c r="T50" s="2"/>
      <c r="U50" s="2"/>
      <c r="V50" s="19"/>
      <c r="W50" s="2"/>
      <c r="X50" s="2">
        <f t="shared" si="2"/>
        <v>-391.24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"4342", " - ", "SALES RETURN NON TAXABLE-EVERY")</f>
        <v xml:space="preserve">          4342 - SALES RETURN NON TAXABLE-EVERY</v>
      </c>
      <c r="C51" s="11"/>
      <c r="D51" s="2">
        <f t="shared" si="6"/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-118.7</f>
        <v>-118.7</v>
      </c>
      <c r="Q51" s="2"/>
      <c r="R51" s="19"/>
      <c r="S51" s="2"/>
      <c r="T51" s="2"/>
      <c r="U51" s="2"/>
      <c r="V51" s="19"/>
      <c r="W51" s="2"/>
      <c r="X51" s="2">
        <f t="shared" si="2"/>
        <v>-118.7</v>
      </c>
      <c r="Y51" s="2"/>
      <c r="Z51" s="19">
        <f t="shared" si="3"/>
        <v>0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collapsed="1" x14ac:dyDescent="0.25">
      <c r="A53" s="10"/>
      <c r="B53" s="29" t="s">
        <v>257</v>
      </c>
      <c r="C53" s="10"/>
      <c r="D53" s="4">
        <f>SUM(OSRRefD16x_0)</f>
        <v>175207</v>
      </c>
      <c r="E53" s="4"/>
      <c r="F53" s="12">
        <f t="shared" ref="F53:F77" si="7">IF(D$12=0,0,D53/D$12)</f>
        <v>0.44309297494545896</v>
      </c>
      <c r="G53" s="4"/>
      <c r="H53" s="4">
        <f>SUM(OSRRefH16x_0)</f>
        <v>191042</v>
      </c>
      <c r="I53" s="4"/>
      <c r="J53" s="12">
        <f t="shared" ref="J53:J77" si="8">IF(H$12=0,0,H53/H$12)</f>
        <v>0.46250087759010128</v>
      </c>
      <c r="K53" s="4"/>
      <c r="L53" s="4">
        <f t="shared" ref="L53:L77" si="9">+D53-H53</f>
        <v>-15835</v>
      </c>
      <c r="M53" s="4"/>
      <c r="N53" s="12">
        <f t="shared" ref="N53:N77" si="10">IF(H53=0,0,L53/H53)</f>
        <v>-8.2887532584457871E-2</v>
      </c>
      <c r="O53" s="10"/>
      <c r="P53" s="4">
        <f>SUM(OSRRefP16x_0)</f>
        <v>1090522.5399999998</v>
      </c>
      <c r="Q53" s="4"/>
      <c r="R53" s="12">
        <f t="shared" ref="R53:R77" si="11">IF(P$12=0,0,P53/P$12)</f>
        <v>0.53691048379676276</v>
      </c>
      <c r="S53" s="4"/>
      <c r="T53" s="4">
        <f>SUM(OSRRefT16x_0)</f>
        <v>1499131</v>
      </c>
      <c r="U53" s="4"/>
      <c r="V53" s="12">
        <f t="shared" ref="V53:V77" si="12">IF(T$12=0,0,T53/T$12)</f>
        <v>0.46249990358999987</v>
      </c>
      <c r="W53" s="4"/>
      <c r="X53" s="4">
        <f t="shared" ref="X53:X77" si="13">+P53-T53</f>
        <v>-408608.4600000002</v>
      </c>
      <c r="Y53" s="4"/>
      <c r="Z53" s="12">
        <f t="shared" ref="Z53:Z77" si="14">IF(T53=0,0,X53/T53)</f>
        <v>-0.27256354514715536</v>
      </c>
    </row>
    <row r="54" spans="1:26" s="24" customFormat="1" hidden="1" outlineLevel="1" x14ac:dyDescent="0.25">
      <c r="A54" s="44"/>
      <c r="B54" s="11" t="str">
        <f>CONCATENATE("          ", "5000", " - ", "PURCHASES @ COST")</f>
        <v xml:space="preserve">          5000 - PURCHASES @ COST</v>
      </c>
      <c r="C54" s="11"/>
      <c r="D54" s="2"/>
      <c r="E54" s="2"/>
      <c r="F54" s="19">
        <f t="shared" si="7"/>
        <v>0</v>
      </c>
      <c r="G54" s="2"/>
      <c r="H54" s="2">
        <v>191042</v>
      </c>
      <c r="I54" s="2"/>
      <c r="J54" s="19">
        <f t="shared" si="8"/>
        <v>0.46250087759010128</v>
      </c>
      <c r="K54" s="2"/>
      <c r="L54" s="2">
        <f t="shared" si="9"/>
        <v>-191042</v>
      </c>
      <c r="M54" s="2"/>
      <c r="N54" s="19">
        <f t="shared" si="10"/>
        <v>-1</v>
      </c>
      <c r="O54" s="11"/>
      <c r="P54" s="2"/>
      <c r="Q54" s="2"/>
      <c r="R54" s="19">
        <f t="shared" si="11"/>
        <v>0</v>
      </c>
      <c r="S54" s="2"/>
      <c r="T54" s="2">
        <v>1499131</v>
      </c>
      <c r="U54" s="2"/>
      <c r="V54" s="19">
        <f t="shared" si="12"/>
        <v>0.46249990358999987</v>
      </c>
      <c r="W54" s="2"/>
      <c r="X54" s="2">
        <f t="shared" si="13"/>
        <v>-1499131</v>
      </c>
      <c r="Y54" s="2"/>
      <c r="Z54" s="19">
        <f t="shared" si="14"/>
        <v>-1</v>
      </c>
    </row>
    <row r="55" spans="1:26" s="24" customFormat="1" hidden="1" outlineLevel="1" x14ac:dyDescent="0.2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/>
      <c r="E55" s="2"/>
      <c r="F55" s="19">
        <f t="shared" si="7"/>
        <v>0</v>
      </c>
      <c r="G55" s="2"/>
      <c r="H55" s="2"/>
      <c r="I55" s="2"/>
      <c r="J55" s="19">
        <f t="shared" si="8"/>
        <v>0</v>
      </c>
      <c r="K55" s="2"/>
      <c r="L55" s="2">
        <f t="shared" si="9"/>
        <v>0</v>
      </c>
      <c r="M55" s="2"/>
      <c r="N55" s="19">
        <f t="shared" si="10"/>
        <v>0</v>
      </c>
      <c r="O55" s="11"/>
      <c r="P55" s="2">
        <v>599.29</v>
      </c>
      <c r="Q55" s="2"/>
      <c r="R55" s="19">
        <f t="shared" si="11"/>
        <v>2.9505587645585208E-4</v>
      </c>
      <c r="S55" s="2"/>
      <c r="T55" s="2"/>
      <c r="U55" s="2"/>
      <c r="V55" s="19">
        <f t="shared" si="12"/>
        <v>0</v>
      </c>
      <c r="W55" s="2"/>
      <c r="X55" s="2">
        <f t="shared" si="13"/>
        <v>599.29</v>
      </c>
      <c r="Y55" s="2"/>
      <c r="Z55" s="19">
        <f t="shared" si="14"/>
        <v>0</v>
      </c>
    </row>
    <row r="56" spans="1:26" s="24" customFormat="1" hidden="1" outlineLevel="1" x14ac:dyDescent="0.2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/>
      <c r="E56" s="2"/>
      <c r="F56" s="19">
        <f t="shared" si="7"/>
        <v>0</v>
      </c>
      <c r="G56" s="2"/>
      <c r="H56" s="2"/>
      <c r="I56" s="2"/>
      <c r="J56" s="19">
        <f t="shared" si="8"/>
        <v>0</v>
      </c>
      <c r="K56" s="2"/>
      <c r="L56" s="2">
        <f t="shared" si="9"/>
        <v>0</v>
      </c>
      <c r="M56" s="2"/>
      <c r="N56" s="19">
        <f t="shared" si="10"/>
        <v>0</v>
      </c>
      <c r="O56" s="11"/>
      <c r="P56" s="2">
        <v>219.64</v>
      </c>
      <c r="Q56" s="2"/>
      <c r="R56" s="19">
        <f t="shared" si="11"/>
        <v>1.0813808457468562E-4</v>
      </c>
      <c r="S56" s="2"/>
      <c r="T56" s="2"/>
      <c r="U56" s="2"/>
      <c r="V56" s="19">
        <f t="shared" si="12"/>
        <v>0</v>
      </c>
      <c r="W56" s="2"/>
      <c r="X56" s="2">
        <f t="shared" si="13"/>
        <v>219.64</v>
      </c>
      <c r="Y56" s="2"/>
      <c r="Z56" s="19">
        <f t="shared" si="14"/>
        <v>0</v>
      </c>
    </row>
    <row r="57" spans="1:26" s="24" customFormat="1" hidden="1" outlineLevel="1" x14ac:dyDescent="0.2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>
        <v>0.39</v>
      </c>
      <c r="E57" s="2"/>
      <c r="F57" s="19">
        <f t="shared" si="7"/>
        <v>9.8629769489078059E-7</v>
      </c>
      <c r="G57" s="2"/>
      <c r="H57" s="2"/>
      <c r="I57" s="2"/>
      <c r="J57" s="19">
        <f t="shared" si="8"/>
        <v>0</v>
      </c>
      <c r="K57" s="2"/>
      <c r="L57" s="2">
        <f t="shared" si="9"/>
        <v>0.39</v>
      </c>
      <c r="M57" s="2"/>
      <c r="N57" s="19">
        <f t="shared" si="10"/>
        <v>0</v>
      </c>
      <c r="O57" s="11"/>
      <c r="P57" s="2">
        <v>22839.52</v>
      </c>
      <c r="Q57" s="2"/>
      <c r="R57" s="19">
        <f t="shared" si="11"/>
        <v>1.1244864074873538E-2</v>
      </c>
      <c r="S57" s="2"/>
      <c r="T57" s="2"/>
      <c r="U57" s="2"/>
      <c r="V57" s="19">
        <f t="shared" si="12"/>
        <v>0</v>
      </c>
      <c r="W57" s="2"/>
      <c r="X57" s="2">
        <f t="shared" si="13"/>
        <v>22839.52</v>
      </c>
      <c r="Y57" s="2"/>
      <c r="Z57" s="19">
        <f t="shared" si="14"/>
        <v>0</v>
      </c>
    </row>
    <row r="58" spans="1:26" s="24" customFormat="1" hidden="1" outlineLevel="1" x14ac:dyDescent="0.2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674.12</v>
      </c>
      <c r="E58" s="2"/>
      <c r="F58" s="19">
        <f t="shared" si="7"/>
        <v>1.7048282104609566E-3</v>
      </c>
      <c r="G58" s="2"/>
      <c r="H58" s="2"/>
      <c r="I58" s="2"/>
      <c r="J58" s="19">
        <f t="shared" si="8"/>
        <v>0</v>
      </c>
      <c r="K58" s="2"/>
      <c r="L58" s="2">
        <f t="shared" si="9"/>
        <v>674.12</v>
      </c>
      <c r="M58" s="2"/>
      <c r="N58" s="19">
        <f t="shared" si="10"/>
        <v>0</v>
      </c>
      <c r="O58" s="11"/>
      <c r="P58" s="2">
        <v>6238.89</v>
      </c>
      <c r="Q58" s="2"/>
      <c r="R58" s="19">
        <f t="shared" si="11"/>
        <v>3.0716700713538541E-3</v>
      </c>
      <c r="S58" s="2"/>
      <c r="T58" s="2"/>
      <c r="U58" s="2"/>
      <c r="V58" s="19">
        <f t="shared" si="12"/>
        <v>0</v>
      </c>
      <c r="W58" s="2"/>
      <c r="X58" s="2">
        <f t="shared" si="13"/>
        <v>6238.89</v>
      </c>
      <c r="Y58" s="2"/>
      <c r="Z58" s="19">
        <f t="shared" si="14"/>
        <v>0</v>
      </c>
    </row>
    <row r="59" spans="1:26" s="24" customFormat="1" hidden="1" outlineLevel="1" x14ac:dyDescent="0.25">
      <c r="A59" s="44"/>
      <c r="B59" s="11" t="str">
        <f>CONCATENATE("          ", "5031", " - ", "PURCHASES @ COST-FOOD")</f>
        <v xml:space="preserve">          5031 - PURCHASES @ COST-FOOD</v>
      </c>
      <c r="C59" s="11"/>
      <c r="D59" s="2">
        <v>280.37</v>
      </c>
      <c r="E59" s="2"/>
      <c r="F59" s="19">
        <f t="shared" si="7"/>
        <v>7.0904688388853383E-4</v>
      </c>
      <c r="G59" s="2"/>
      <c r="H59" s="2"/>
      <c r="I59" s="2"/>
      <c r="J59" s="19">
        <f t="shared" si="8"/>
        <v>0</v>
      </c>
      <c r="K59" s="2"/>
      <c r="L59" s="2">
        <f t="shared" si="9"/>
        <v>280.37</v>
      </c>
      <c r="M59" s="2"/>
      <c r="N59" s="19">
        <f t="shared" si="10"/>
        <v>0</v>
      </c>
      <c r="O59" s="11"/>
      <c r="P59" s="2">
        <v>5624.52</v>
      </c>
      <c r="Q59" s="2"/>
      <c r="R59" s="19">
        <f t="shared" si="11"/>
        <v>2.7691896715170772E-3</v>
      </c>
      <c r="S59" s="2"/>
      <c r="T59" s="2"/>
      <c r="U59" s="2"/>
      <c r="V59" s="19">
        <f t="shared" si="12"/>
        <v>0</v>
      </c>
      <c r="W59" s="2"/>
      <c r="X59" s="2">
        <f t="shared" si="13"/>
        <v>5624.52</v>
      </c>
      <c r="Y59" s="2"/>
      <c r="Z59" s="19">
        <f t="shared" si="14"/>
        <v>0</v>
      </c>
    </row>
    <row r="60" spans="1:26" s="24" customFormat="1" hidden="1" outlineLevel="1" x14ac:dyDescent="0.25">
      <c r="A60" s="44"/>
      <c r="B60" s="11" t="str">
        <f>CONCATENATE("          ", "5040", " - ", "PURCHASES @ COST-LOGO CLOTHING")</f>
        <v xml:space="preserve">          5040 - PURCHASES @ COST-LOGO CLOTHING</v>
      </c>
      <c r="C60" s="11"/>
      <c r="D60" s="2">
        <v>48288.73</v>
      </c>
      <c r="E60" s="2"/>
      <c r="F60" s="19">
        <f t="shared" si="7"/>
        <v>0.12212067458513665</v>
      </c>
      <c r="G60" s="2"/>
      <c r="H60" s="2"/>
      <c r="I60" s="2"/>
      <c r="J60" s="19">
        <f t="shared" si="8"/>
        <v>0</v>
      </c>
      <c r="K60" s="2"/>
      <c r="L60" s="2">
        <f t="shared" si="9"/>
        <v>48288.73</v>
      </c>
      <c r="M60" s="2"/>
      <c r="N60" s="19">
        <f t="shared" si="10"/>
        <v>0</v>
      </c>
      <c r="O60" s="11"/>
      <c r="P60" s="2">
        <v>327378.98</v>
      </c>
      <c r="Q60" s="2"/>
      <c r="R60" s="19">
        <f t="shared" si="11"/>
        <v>0.16118255248230884</v>
      </c>
      <c r="S60" s="2"/>
      <c r="T60" s="2"/>
      <c r="U60" s="2"/>
      <c r="V60" s="19">
        <f t="shared" si="12"/>
        <v>0</v>
      </c>
      <c r="W60" s="2"/>
      <c r="X60" s="2">
        <f t="shared" si="13"/>
        <v>327378.98</v>
      </c>
      <c r="Y60" s="2"/>
      <c r="Z60" s="19">
        <f t="shared" si="14"/>
        <v>0</v>
      </c>
    </row>
    <row r="61" spans="1:26" s="24" customFormat="1" hidden="1" outlineLevel="1" x14ac:dyDescent="0.25">
      <c r="A61" s="44"/>
      <c r="B61" s="11" t="str">
        <f>CONCATENATE("          ", "5041", " - ", "PURCHASES @ COST-LOGO GIFTS")</f>
        <v xml:space="preserve">          5041 - PURCHASES @ COST-LOGO GIFTS</v>
      </c>
      <c r="C61" s="11"/>
      <c r="D61" s="2">
        <v>22136.9</v>
      </c>
      <c r="E61" s="2"/>
      <c r="F61" s="19">
        <f t="shared" si="7"/>
        <v>5.5983521646224929E-2</v>
      </c>
      <c r="G61" s="2"/>
      <c r="H61" s="2"/>
      <c r="I61" s="2"/>
      <c r="J61" s="19">
        <f t="shared" si="8"/>
        <v>0</v>
      </c>
      <c r="K61" s="2"/>
      <c r="L61" s="2">
        <f t="shared" si="9"/>
        <v>22136.9</v>
      </c>
      <c r="M61" s="2"/>
      <c r="N61" s="19">
        <f t="shared" si="10"/>
        <v>0</v>
      </c>
      <c r="O61" s="11"/>
      <c r="P61" s="2">
        <v>106191.25</v>
      </c>
      <c r="Q61" s="2"/>
      <c r="R61" s="19">
        <f t="shared" si="11"/>
        <v>5.2282454806007947E-2</v>
      </c>
      <c r="S61" s="2"/>
      <c r="T61" s="2"/>
      <c r="U61" s="2"/>
      <c r="V61" s="19">
        <f t="shared" si="12"/>
        <v>0</v>
      </c>
      <c r="W61" s="2"/>
      <c r="X61" s="2">
        <f t="shared" si="13"/>
        <v>106191.25</v>
      </c>
      <c r="Y61" s="2"/>
      <c r="Z61" s="19">
        <f t="shared" si="14"/>
        <v>0</v>
      </c>
    </row>
    <row r="62" spans="1:26" s="24" customFormat="1" hidden="1" outlineLevel="1" x14ac:dyDescent="0.25">
      <c r="A62" s="44"/>
      <c r="B62" s="11" t="str">
        <f>CONCATENATE("          ", "5042", " - ", "PURCHASES @ COST-EVERYDAY GIFT")</f>
        <v xml:space="preserve">          5042 - PURCHASES @ COST-EVERYDAY GIFT</v>
      </c>
      <c r="C62" s="11"/>
      <c r="D62" s="2">
        <v>-0.11</v>
      </c>
      <c r="E62" s="2"/>
      <c r="F62" s="19">
        <f t="shared" si="7"/>
        <v>-2.7818652932816893E-7</v>
      </c>
      <c r="G62" s="2"/>
      <c r="H62" s="2"/>
      <c r="I62" s="2"/>
      <c r="J62" s="19">
        <f t="shared" si="8"/>
        <v>0</v>
      </c>
      <c r="K62" s="2"/>
      <c r="L62" s="2">
        <f t="shared" si="9"/>
        <v>-0.11</v>
      </c>
      <c r="M62" s="2"/>
      <c r="N62" s="19">
        <f t="shared" si="10"/>
        <v>0</v>
      </c>
      <c r="O62" s="11"/>
      <c r="P62" s="2">
        <v>10802.03</v>
      </c>
      <c r="Q62" s="2"/>
      <c r="R62" s="19">
        <f t="shared" si="11"/>
        <v>5.3182973671384607E-3</v>
      </c>
      <c r="S62" s="2"/>
      <c r="T62" s="2"/>
      <c r="U62" s="2"/>
      <c r="V62" s="19">
        <f t="shared" si="12"/>
        <v>0</v>
      </c>
      <c r="W62" s="2"/>
      <c r="X62" s="2">
        <f t="shared" si="13"/>
        <v>10802.03</v>
      </c>
      <c r="Y62" s="2"/>
      <c r="Z62" s="19">
        <f t="shared" si="14"/>
        <v>0</v>
      </c>
    </row>
    <row r="63" spans="1:26" s="24" customFormat="1" hidden="1" outlineLevel="1" x14ac:dyDescent="0.25">
      <c r="A63" s="44"/>
      <c r="B63" s="11" t="str">
        <f>CONCATENATE("          ", "5043", " - ", "PURCHASES @ COST-CARDS")</f>
        <v xml:space="preserve">          5043 - PURCHASES @ COST-CARDS</v>
      </c>
      <c r="C63" s="11"/>
      <c r="D63" s="2">
        <v>178</v>
      </c>
      <c r="E63" s="2"/>
      <c r="F63" s="19">
        <f t="shared" si="7"/>
        <v>4.5015638382194602E-4</v>
      </c>
      <c r="G63" s="2"/>
      <c r="H63" s="2"/>
      <c r="I63" s="2"/>
      <c r="J63" s="19">
        <f t="shared" si="8"/>
        <v>0</v>
      </c>
      <c r="K63" s="2"/>
      <c r="L63" s="2">
        <f t="shared" si="9"/>
        <v>178</v>
      </c>
      <c r="M63" s="2"/>
      <c r="N63" s="19">
        <f t="shared" si="10"/>
        <v>0</v>
      </c>
      <c r="O63" s="11"/>
      <c r="P63" s="2">
        <v>55583.33</v>
      </c>
      <c r="Q63" s="2"/>
      <c r="R63" s="19">
        <f t="shared" si="11"/>
        <v>2.7366030051368884E-2</v>
      </c>
      <c r="S63" s="2"/>
      <c r="T63" s="2"/>
      <c r="U63" s="2"/>
      <c r="V63" s="19">
        <f t="shared" si="12"/>
        <v>0</v>
      </c>
      <c r="W63" s="2"/>
      <c r="X63" s="2">
        <f t="shared" si="13"/>
        <v>55583.33</v>
      </c>
      <c r="Y63" s="2"/>
      <c r="Z63" s="19">
        <f t="shared" si="14"/>
        <v>0</v>
      </c>
    </row>
    <row r="64" spans="1:26" s="24" customFormat="1" hidden="1" outlineLevel="1" x14ac:dyDescent="0.25">
      <c r="A64" s="44"/>
      <c r="B64" s="11" t="str">
        <f>CONCATENATE("          ", "5044", " - ", "PURCHASES @ COST-ACCESSORIES")</f>
        <v xml:space="preserve">          5044 - PURCHASES @ COST-ACCESSORIES</v>
      </c>
      <c r="C64" s="11"/>
      <c r="D64" s="2"/>
      <c r="E64" s="2"/>
      <c r="F64" s="19">
        <f t="shared" si="7"/>
        <v>0</v>
      </c>
      <c r="G64" s="2"/>
      <c r="H64" s="2"/>
      <c r="I64" s="2"/>
      <c r="J64" s="19">
        <f t="shared" si="8"/>
        <v>0</v>
      </c>
      <c r="K64" s="2"/>
      <c r="L64" s="2">
        <f t="shared" si="9"/>
        <v>0</v>
      </c>
      <c r="M64" s="2"/>
      <c r="N64" s="19">
        <f t="shared" si="10"/>
        <v>0</v>
      </c>
      <c r="O64" s="11"/>
      <c r="P64" s="2">
        <v>2555.71</v>
      </c>
      <c r="Q64" s="2"/>
      <c r="R64" s="19">
        <f t="shared" si="11"/>
        <v>1.2582843932269615E-3</v>
      </c>
      <c r="S64" s="2"/>
      <c r="T64" s="2"/>
      <c r="U64" s="2"/>
      <c r="V64" s="19">
        <f t="shared" si="12"/>
        <v>0</v>
      </c>
      <c r="W64" s="2"/>
      <c r="X64" s="2">
        <f t="shared" si="13"/>
        <v>2555.71</v>
      </c>
      <c r="Y64" s="2"/>
      <c r="Z64" s="19">
        <f t="shared" si="14"/>
        <v>0</v>
      </c>
    </row>
    <row r="65" spans="1:26" s="24" customFormat="1" hidden="1" outlineLevel="1" x14ac:dyDescent="0.25">
      <c r="A65" s="44"/>
      <c r="B65" s="11" t="str">
        <f>CONCATENATE("          ", "5045", " - ", "PURCHASES @ COST-SPECIAL ORDER")</f>
        <v xml:space="preserve">          5045 - PURCHASES @ COST-SPECIAL ORDER</v>
      </c>
      <c r="C65" s="11"/>
      <c r="D65" s="2">
        <v>24141.17</v>
      </c>
      <c r="E65" s="2"/>
      <c r="F65" s="19">
        <f t="shared" si="7"/>
        <v>6.1052257238375554E-2</v>
      </c>
      <c r="G65" s="2"/>
      <c r="H65" s="2"/>
      <c r="I65" s="2"/>
      <c r="J65" s="19">
        <f t="shared" si="8"/>
        <v>0</v>
      </c>
      <c r="K65" s="2"/>
      <c r="L65" s="2">
        <f t="shared" si="9"/>
        <v>24141.17</v>
      </c>
      <c r="M65" s="2"/>
      <c r="N65" s="19">
        <f t="shared" si="10"/>
        <v>0</v>
      </c>
      <c r="O65" s="11"/>
      <c r="P65" s="2">
        <v>139139.24</v>
      </c>
      <c r="Q65" s="2"/>
      <c r="R65" s="19">
        <f t="shared" si="11"/>
        <v>6.8504147253585321E-2</v>
      </c>
      <c r="S65" s="2"/>
      <c r="T65" s="2"/>
      <c r="U65" s="2"/>
      <c r="V65" s="19">
        <f t="shared" si="12"/>
        <v>0</v>
      </c>
      <c r="W65" s="2"/>
      <c r="X65" s="2">
        <f t="shared" si="13"/>
        <v>139139.24</v>
      </c>
      <c r="Y65" s="2"/>
      <c r="Z65" s="19">
        <f t="shared" si="14"/>
        <v>0</v>
      </c>
    </row>
    <row r="66" spans="1:26" s="24" customFormat="1" hidden="1" outlineLevel="1" x14ac:dyDescent="0.25">
      <c r="A66" s="44"/>
      <c r="B66" s="11" t="str">
        <f>CONCATENATE("          ", "5200", " - ", "PURCHASES OFFSET")</f>
        <v xml:space="preserve">          5200 - PURCHASES OFFSET</v>
      </c>
      <c r="C66" s="11"/>
      <c r="D66" s="2">
        <v>-98978.36</v>
      </c>
      <c r="E66" s="2"/>
      <c r="F66" s="19">
        <f t="shared" si="7"/>
        <v>-0.25031314951812783</v>
      </c>
      <c r="G66" s="2"/>
      <c r="H66" s="2"/>
      <c r="I66" s="2"/>
      <c r="J66" s="19">
        <f t="shared" si="8"/>
        <v>0</v>
      </c>
      <c r="K66" s="2"/>
      <c r="L66" s="2">
        <f t="shared" si="9"/>
        <v>-98978.36</v>
      </c>
      <c r="M66" s="2"/>
      <c r="N66" s="19">
        <f t="shared" si="10"/>
        <v>0</v>
      </c>
      <c r="O66" s="11"/>
      <c r="P66" s="2">
        <v>-705437.34</v>
      </c>
      <c r="Q66" s="2"/>
      <c r="R66" s="19">
        <f t="shared" si="11"/>
        <v>-0.34731671250710827</v>
      </c>
      <c r="S66" s="2"/>
      <c r="T66" s="2"/>
      <c r="U66" s="2"/>
      <c r="V66" s="19">
        <f t="shared" si="12"/>
        <v>0</v>
      </c>
      <c r="W66" s="2"/>
      <c r="X66" s="2">
        <f t="shared" si="13"/>
        <v>-705437.34</v>
      </c>
      <c r="Y66" s="2"/>
      <c r="Z66" s="19">
        <f t="shared" si="14"/>
        <v>0</v>
      </c>
    </row>
    <row r="67" spans="1:26" s="24" customFormat="1" hidden="1" outlineLevel="1" x14ac:dyDescent="0.25">
      <c r="A67" s="44"/>
      <c r="B67" s="11" t="str">
        <f>CONCATENATE("          ", "5300", " - ", "COG$ OFFSET")</f>
        <v xml:space="preserve">          5300 - COG$ OFFSET</v>
      </c>
      <c r="C67" s="11"/>
      <c r="D67" s="2">
        <v>175207</v>
      </c>
      <c r="E67" s="2"/>
      <c r="F67" s="19">
        <f t="shared" si="7"/>
        <v>0.44309297494545896</v>
      </c>
      <c r="G67" s="2"/>
      <c r="H67" s="2"/>
      <c r="I67" s="2"/>
      <c r="J67" s="19">
        <f t="shared" si="8"/>
        <v>0</v>
      </c>
      <c r="K67" s="2"/>
      <c r="L67" s="2">
        <f t="shared" si="9"/>
        <v>175207</v>
      </c>
      <c r="M67" s="2"/>
      <c r="N67" s="19">
        <f t="shared" si="10"/>
        <v>0</v>
      </c>
      <c r="O67" s="11"/>
      <c r="P67" s="2">
        <v>1089606</v>
      </c>
      <c r="Q67" s="2"/>
      <c r="R67" s="19">
        <f t="shared" si="11"/>
        <v>0.53645923229414005</v>
      </c>
      <c r="S67" s="2"/>
      <c r="T67" s="2"/>
      <c r="U67" s="2"/>
      <c r="V67" s="19">
        <f t="shared" si="12"/>
        <v>0</v>
      </c>
      <c r="W67" s="2"/>
      <c r="X67" s="2">
        <f t="shared" si="13"/>
        <v>1089606</v>
      </c>
      <c r="Y67" s="2"/>
      <c r="Z67" s="19">
        <f t="shared" si="14"/>
        <v>0</v>
      </c>
    </row>
    <row r="68" spans="1:26" s="24" customFormat="1" hidden="1" outlineLevel="1" x14ac:dyDescent="0.25">
      <c r="A68" s="44"/>
      <c r="B68" s="11" t="str">
        <f>CONCATENATE("          ", "5500", " - ", "FREIGHT-IN")</f>
        <v xml:space="preserve">          5500 - FREIGHT-IN</v>
      </c>
      <c r="C68" s="11"/>
      <c r="D68" s="2">
        <v>0</v>
      </c>
      <c r="E68" s="2"/>
      <c r="F68" s="19">
        <f t="shared" si="7"/>
        <v>0</v>
      </c>
      <c r="G68" s="2"/>
      <c r="H68" s="2"/>
      <c r="I68" s="2"/>
      <c r="J68" s="19">
        <f t="shared" si="8"/>
        <v>0</v>
      </c>
      <c r="K68" s="2"/>
      <c r="L68" s="2">
        <f t="shared" si="9"/>
        <v>0</v>
      </c>
      <c r="M68" s="2"/>
      <c r="N68" s="19">
        <f t="shared" si="10"/>
        <v>0</v>
      </c>
      <c r="O68" s="11"/>
      <c r="P68" s="2">
        <v>0</v>
      </c>
      <c r="Q68" s="2"/>
      <c r="R68" s="19">
        <f t="shared" si="11"/>
        <v>0</v>
      </c>
      <c r="S68" s="2"/>
      <c r="T68" s="2"/>
      <c r="U68" s="2"/>
      <c r="V68" s="19">
        <f t="shared" si="12"/>
        <v>0</v>
      </c>
      <c r="W68" s="2"/>
      <c r="X68" s="2">
        <f t="shared" si="13"/>
        <v>0</v>
      </c>
      <c r="Y68" s="2"/>
      <c r="Z68" s="19">
        <f t="shared" si="14"/>
        <v>0</v>
      </c>
    </row>
    <row r="69" spans="1:26" s="24" customFormat="1" hidden="1" outlineLevel="1" x14ac:dyDescent="0.25">
      <c r="A69" s="44"/>
      <c r="B69" s="11" t="str">
        <f>CONCATENATE("          ", "5525", " - ", "FREIGHT-IN-TEST FORMS")</f>
        <v xml:space="preserve">          5525 - FREIGHT-IN-TEST FORMS</v>
      </c>
      <c r="C69" s="11"/>
      <c r="D69" s="2"/>
      <c r="E69" s="2"/>
      <c r="F69" s="19">
        <f t="shared" si="7"/>
        <v>0</v>
      </c>
      <c r="G69" s="2"/>
      <c r="H69" s="2"/>
      <c r="I69" s="2"/>
      <c r="J69" s="19">
        <f t="shared" si="8"/>
        <v>0</v>
      </c>
      <c r="K69" s="2"/>
      <c r="L69" s="2">
        <f t="shared" si="9"/>
        <v>0</v>
      </c>
      <c r="M69" s="2"/>
      <c r="N69" s="19">
        <f t="shared" si="10"/>
        <v>0</v>
      </c>
      <c r="O69" s="11"/>
      <c r="P69" s="2">
        <v>48.14</v>
      </c>
      <c r="Q69" s="2"/>
      <c r="R69" s="19">
        <f t="shared" si="11"/>
        <v>2.3701363100643627E-5</v>
      </c>
      <c r="S69" s="2"/>
      <c r="T69" s="2"/>
      <c r="U69" s="2"/>
      <c r="V69" s="19">
        <f t="shared" si="12"/>
        <v>0</v>
      </c>
      <c r="W69" s="2"/>
      <c r="X69" s="2">
        <f t="shared" si="13"/>
        <v>48.14</v>
      </c>
      <c r="Y69" s="2"/>
      <c r="Z69" s="19">
        <f t="shared" si="14"/>
        <v>0</v>
      </c>
    </row>
    <row r="70" spans="1:26" s="24" customFormat="1" hidden="1" outlineLevel="1" x14ac:dyDescent="0.25">
      <c r="A70" s="44"/>
      <c r="B70" s="11" t="str">
        <f>CONCATENATE("          ", "5526", " - ", "FREIGHT-IN-WRITING INSTRUMENTS")</f>
        <v xml:space="preserve">          5526 - FREIGHT-IN-WRITING INSTRUMENTS</v>
      </c>
      <c r="C70" s="11"/>
      <c r="D70" s="2"/>
      <c r="E70" s="2"/>
      <c r="F70" s="19">
        <f t="shared" si="7"/>
        <v>0</v>
      </c>
      <c r="G70" s="2"/>
      <c r="H70" s="2"/>
      <c r="I70" s="2"/>
      <c r="J70" s="19">
        <f t="shared" si="8"/>
        <v>0</v>
      </c>
      <c r="K70" s="2"/>
      <c r="L70" s="2">
        <f t="shared" si="9"/>
        <v>0</v>
      </c>
      <c r="M70" s="2"/>
      <c r="N70" s="19">
        <f t="shared" si="10"/>
        <v>0</v>
      </c>
      <c r="O70" s="11"/>
      <c r="P70" s="2">
        <v>0</v>
      </c>
      <c r="Q70" s="2"/>
      <c r="R70" s="19">
        <f t="shared" si="11"/>
        <v>0</v>
      </c>
      <c r="S70" s="2"/>
      <c r="T70" s="2"/>
      <c r="U70" s="2"/>
      <c r="V70" s="19">
        <f t="shared" si="12"/>
        <v>0</v>
      </c>
      <c r="W70" s="2"/>
      <c r="X70" s="2">
        <f t="shared" si="13"/>
        <v>0</v>
      </c>
      <c r="Y70" s="2"/>
      <c r="Z70" s="19">
        <f t="shared" si="14"/>
        <v>0</v>
      </c>
    </row>
    <row r="71" spans="1:26" s="24" customFormat="1" hidden="1" outlineLevel="1" x14ac:dyDescent="0.25">
      <c r="A71" s="44"/>
      <c r="B71" s="11" t="str">
        <f>CONCATENATE("          ", "5527", " - ", "FREIGHT-IN-SCHOOL SUPPLIES")</f>
        <v xml:space="preserve">          5527 - FREIGHT-IN-SCHOOL SUPPLIES</v>
      </c>
      <c r="C71" s="11"/>
      <c r="D71" s="2"/>
      <c r="E71" s="2"/>
      <c r="F71" s="19">
        <f t="shared" si="7"/>
        <v>0</v>
      </c>
      <c r="G71" s="2"/>
      <c r="H71" s="2"/>
      <c r="I71" s="2"/>
      <c r="J71" s="19">
        <f t="shared" si="8"/>
        <v>0</v>
      </c>
      <c r="K71" s="2"/>
      <c r="L71" s="2">
        <f t="shared" si="9"/>
        <v>0</v>
      </c>
      <c r="M71" s="2"/>
      <c r="N71" s="19">
        <f t="shared" si="10"/>
        <v>0</v>
      </c>
      <c r="O71" s="11"/>
      <c r="P71" s="2">
        <v>218.62</v>
      </c>
      <c r="Q71" s="2"/>
      <c r="R71" s="19">
        <f t="shared" si="11"/>
        <v>1.0763589532743477E-4</v>
      </c>
      <c r="S71" s="2"/>
      <c r="T71" s="2"/>
      <c r="U71" s="2"/>
      <c r="V71" s="19">
        <f t="shared" si="12"/>
        <v>0</v>
      </c>
      <c r="W71" s="2"/>
      <c r="X71" s="2">
        <f t="shared" si="13"/>
        <v>218.62</v>
      </c>
      <c r="Y71" s="2"/>
      <c r="Z71" s="19">
        <f t="shared" si="14"/>
        <v>0</v>
      </c>
    </row>
    <row r="72" spans="1:26" s="24" customFormat="1" hidden="1" outlineLevel="1" x14ac:dyDescent="0.25">
      <c r="A72" s="44"/>
      <c r="B72" s="11" t="str">
        <f>CONCATENATE("          ", "5528", " - ", "FREIGHT-IN-ART/TECH")</f>
        <v xml:space="preserve">          5528 - FREIGHT-IN-ART/TECH</v>
      </c>
      <c r="C72" s="11"/>
      <c r="D72" s="2"/>
      <c r="E72" s="2"/>
      <c r="F72" s="19">
        <f t="shared" si="7"/>
        <v>0</v>
      </c>
      <c r="G72" s="2"/>
      <c r="H72" s="2"/>
      <c r="I72" s="2"/>
      <c r="J72" s="19">
        <f t="shared" si="8"/>
        <v>0</v>
      </c>
      <c r="K72" s="2"/>
      <c r="L72" s="2">
        <f t="shared" si="9"/>
        <v>0</v>
      </c>
      <c r="M72" s="2"/>
      <c r="N72" s="19">
        <f t="shared" si="10"/>
        <v>0</v>
      </c>
      <c r="O72" s="11"/>
      <c r="P72" s="2">
        <v>176.91</v>
      </c>
      <c r="Q72" s="2"/>
      <c r="R72" s="19">
        <f t="shared" si="11"/>
        <v>8.7100293854068631E-5</v>
      </c>
      <c r="S72" s="2"/>
      <c r="T72" s="2"/>
      <c r="U72" s="2"/>
      <c r="V72" s="19">
        <f t="shared" si="12"/>
        <v>0</v>
      </c>
      <c r="W72" s="2"/>
      <c r="X72" s="2">
        <f t="shared" si="13"/>
        <v>176.91</v>
      </c>
      <c r="Y72" s="2"/>
      <c r="Z72" s="19">
        <f t="shared" si="14"/>
        <v>0</v>
      </c>
    </row>
    <row r="73" spans="1:26" s="24" customFormat="1" hidden="1" outlineLevel="1" x14ac:dyDescent="0.25">
      <c r="A73" s="44"/>
      <c r="B73" s="11" t="str">
        <f>CONCATENATE("          ", "5540", " - ", "FREIGHT-IN-LOGO CLOTHING")</f>
        <v xml:space="preserve">          5540 - FREIGHT-IN-LOGO CLOTHING</v>
      </c>
      <c r="C73" s="11"/>
      <c r="D73" s="2">
        <v>1283.68</v>
      </c>
      <c r="E73" s="2"/>
      <c r="F73" s="19">
        <f t="shared" si="7"/>
        <v>3.2463862178907623E-3</v>
      </c>
      <c r="G73" s="2"/>
      <c r="H73" s="2"/>
      <c r="I73" s="2"/>
      <c r="J73" s="19">
        <f t="shared" si="8"/>
        <v>0</v>
      </c>
      <c r="K73" s="2"/>
      <c r="L73" s="2">
        <f t="shared" si="9"/>
        <v>1283.68</v>
      </c>
      <c r="M73" s="2"/>
      <c r="N73" s="19">
        <f t="shared" si="10"/>
        <v>0</v>
      </c>
      <c r="O73" s="11"/>
      <c r="P73" s="2">
        <v>10499.7</v>
      </c>
      <c r="Q73" s="2"/>
      <c r="R73" s="19">
        <f t="shared" si="11"/>
        <v>5.169447489568507E-3</v>
      </c>
      <c r="S73" s="2"/>
      <c r="T73" s="2"/>
      <c r="U73" s="2"/>
      <c r="V73" s="19">
        <f t="shared" si="12"/>
        <v>0</v>
      </c>
      <c r="W73" s="2"/>
      <c r="X73" s="2">
        <f t="shared" si="13"/>
        <v>10499.7</v>
      </c>
      <c r="Y73" s="2"/>
      <c r="Z73" s="19">
        <f t="shared" si="14"/>
        <v>0</v>
      </c>
    </row>
    <row r="74" spans="1:26" s="24" customFormat="1" hidden="1" outlineLevel="1" x14ac:dyDescent="0.25">
      <c r="A74" s="44"/>
      <c r="B74" s="11" t="str">
        <f>CONCATENATE("          ", "5541", " - ", "FREIGHT-IN-LOGO GIFTS")</f>
        <v xml:space="preserve">          5541 - FREIGHT-IN-LOGO GIFTS</v>
      </c>
      <c r="C74" s="11"/>
      <c r="D74" s="2">
        <v>961.21</v>
      </c>
      <c r="E74" s="2"/>
      <c r="F74" s="19">
        <f t="shared" si="7"/>
        <v>2.4308697623229929E-3</v>
      </c>
      <c r="G74" s="2"/>
      <c r="H74" s="2"/>
      <c r="I74" s="2"/>
      <c r="J74" s="19">
        <f t="shared" si="8"/>
        <v>0</v>
      </c>
      <c r="K74" s="2"/>
      <c r="L74" s="2">
        <f t="shared" si="9"/>
        <v>961.21</v>
      </c>
      <c r="M74" s="2"/>
      <c r="N74" s="19">
        <f t="shared" si="10"/>
        <v>0</v>
      </c>
      <c r="O74" s="11"/>
      <c r="P74" s="2">
        <v>5977.2</v>
      </c>
      <c r="Q74" s="2"/>
      <c r="R74" s="19">
        <f t="shared" si="11"/>
        <v>2.9428289888900516E-3</v>
      </c>
      <c r="S74" s="2"/>
      <c r="T74" s="2"/>
      <c r="U74" s="2"/>
      <c r="V74" s="19">
        <f t="shared" si="12"/>
        <v>0</v>
      </c>
      <c r="W74" s="2"/>
      <c r="X74" s="2">
        <f t="shared" si="13"/>
        <v>5977.2</v>
      </c>
      <c r="Y74" s="2"/>
      <c r="Z74" s="19">
        <f t="shared" si="14"/>
        <v>0</v>
      </c>
    </row>
    <row r="75" spans="1:26" s="24" customFormat="1" hidden="1" outlineLevel="1" x14ac:dyDescent="0.25">
      <c r="A75" s="44"/>
      <c r="B75" s="11" t="str">
        <f>CONCATENATE("          ", "5542", " - ", "FREIGHT-IN-EVERYDAY GIFTS")</f>
        <v xml:space="preserve">          5542 - FREIGHT-IN-EVERYDAY GIFTS</v>
      </c>
      <c r="C75" s="11"/>
      <c r="D75" s="2"/>
      <c r="E75" s="2"/>
      <c r="F75" s="19">
        <f t="shared" si="7"/>
        <v>0</v>
      </c>
      <c r="G75" s="2"/>
      <c r="H75" s="2"/>
      <c r="I75" s="2"/>
      <c r="J75" s="19">
        <f t="shared" si="8"/>
        <v>0</v>
      </c>
      <c r="K75" s="2"/>
      <c r="L75" s="2">
        <f t="shared" si="9"/>
        <v>0</v>
      </c>
      <c r="M75" s="2"/>
      <c r="N75" s="19">
        <f t="shared" si="10"/>
        <v>0</v>
      </c>
      <c r="O75" s="11"/>
      <c r="P75" s="2">
        <v>681.72</v>
      </c>
      <c r="Q75" s="2"/>
      <c r="R75" s="19">
        <f t="shared" si="11"/>
        <v>3.3563966042731146E-4</v>
      </c>
      <c r="S75" s="2"/>
      <c r="T75" s="2"/>
      <c r="U75" s="2"/>
      <c r="V75" s="19">
        <f t="shared" si="12"/>
        <v>0</v>
      </c>
      <c r="W75" s="2"/>
      <c r="X75" s="2">
        <f t="shared" si="13"/>
        <v>681.72</v>
      </c>
      <c r="Y75" s="2"/>
      <c r="Z75" s="19">
        <f t="shared" si="14"/>
        <v>0</v>
      </c>
    </row>
    <row r="76" spans="1:26" s="24" customFormat="1" hidden="1" outlineLevel="1" x14ac:dyDescent="0.25">
      <c r="A76" s="44"/>
      <c r="B76" s="11" t="str">
        <f>CONCATENATE("          ", "5543", " - ", "FREIGHT-IN-CARDS")</f>
        <v xml:space="preserve">          5543 - FREIGHT-IN-CARDS</v>
      </c>
      <c r="C76" s="11"/>
      <c r="D76" s="2"/>
      <c r="E76" s="2"/>
      <c r="F76" s="19">
        <f t="shared" si="7"/>
        <v>0</v>
      </c>
      <c r="G76" s="2"/>
      <c r="H76" s="2"/>
      <c r="I76" s="2"/>
      <c r="J76" s="19">
        <f t="shared" si="8"/>
        <v>0</v>
      </c>
      <c r="K76" s="2"/>
      <c r="L76" s="2">
        <f t="shared" si="9"/>
        <v>0</v>
      </c>
      <c r="M76" s="2"/>
      <c r="N76" s="19">
        <f t="shared" si="10"/>
        <v>0</v>
      </c>
      <c r="O76" s="11"/>
      <c r="P76" s="2">
        <v>9110.5300000000007</v>
      </c>
      <c r="Q76" s="2"/>
      <c r="R76" s="19">
        <f t="shared" si="11"/>
        <v>4.4855001987807808E-3</v>
      </c>
      <c r="S76" s="2"/>
      <c r="T76" s="2"/>
      <c r="U76" s="2"/>
      <c r="V76" s="19">
        <f t="shared" si="12"/>
        <v>0</v>
      </c>
      <c r="W76" s="2"/>
      <c r="X76" s="2">
        <f t="shared" si="13"/>
        <v>9110.5300000000007</v>
      </c>
      <c r="Y76" s="2"/>
      <c r="Z76" s="19">
        <f t="shared" si="14"/>
        <v>0</v>
      </c>
    </row>
    <row r="77" spans="1:26" s="24" customFormat="1" hidden="1" outlineLevel="1" x14ac:dyDescent="0.25">
      <c r="A77" s="44"/>
      <c r="B77" s="11" t="str">
        <f>CONCATENATE("          ", "5545", " - ", "FREIGHT-IN-SPECIAL ORDERS")</f>
        <v xml:space="preserve">          5545 - FREIGHT-IN-SPECIAL ORDERS</v>
      </c>
      <c r="C77" s="11"/>
      <c r="D77" s="2">
        <v>1033.9000000000001</v>
      </c>
      <c r="E77" s="2"/>
      <c r="F77" s="19">
        <f t="shared" si="7"/>
        <v>2.614700478839944E-3</v>
      </c>
      <c r="G77" s="2"/>
      <c r="H77" s="2"/>
      <c r="I77" s="2"/>
      <c r="J77" s="19">
        <f t="shared" si="8"/>
        <v>0</v>
      </c>
      <c r="K77" s="2"/>
      <c r="L77" s="2">
        <f t="shared" si="9"/>
        <v>1033.9000000000001</v>
      </c>
      <c r="M77" s="2"/>
      <c r="N77" s="19">
        <f t="shared" si="10"/>
        <v>0</v>
      </c>
      <c r="O77" s="11"/>
      <c r="P77" s="2">
        <v>2468.66</v>
      </c>
      <c r="Q77" s="2"/>
      <c r="R77" s="19">
        <f t="shared" si="11"/>
        <v>1.2154259873708951E-3</v>
      </c>
      <c r="S77" s="2"/>
      <c r="T77" s="2"/>
      <c r="U77" s="2"/>
      <c r="V77" s="19">
        <f t="shared" si="12"/>
        <v>0</v>
      </c>
      <c r="W77" s="2"/>
      <c r="X77" s="2">
        <f t="shared" si="13"/>
        <v>2468.66</v>
      </c>
      <c r="Y77" s="2"/>
      <c r="Z77" s="19">
        <f t="shared" si="14"/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8" t="s">
        <v>108</v>
      </c>
      <c r="C79" s="28"/>
      <c r="D79" s="20">
        <f>D12-D53</f>
        <v>220211.14</v>
      </c>
      <c r="E79" s="14"/>
      <c r="F79" s="21">
        <f>IF(D$12=0,0,D79/D$12)</f>
        <v>0.55690702505454104</v>
      </c>
      <c r="G79" s="14"/>
      <c r="H79" s="20">
        <f>H12-H53</f>
        <v>222021</v>
      </c>
      <c r="I79" s="14"/>
      <c r="J79" s="21">
        <f>IF(H$12=0,0,H79/H$12)</f>
        <v>0.53749912240989872</v>
      </c>
      <c r="K79" s="15"/>
      <c r="L79" s="20">
        <f>+D79-H79</f>
        <v>-1809.859999999986</v>
      </c>
      <c r="M79" s="15"/>
      <c r="N79" s="21">
        <f>IF(H79=0,0,L79/H79)</f>
        <v>-8.1517514109025087E-3</v>
      </c>
      <c r="O79" s="29"/>
      <c r="P79" s="20">
        <f>P12-P53</f>
        <v>940584.27000000072</v>
      </c>
      <c r="Q79" s="14"/>
      <c r="R79" s="21">
        <f>IF(P$12=0,0,P79/P$12)</f>
        <v>0.46308951620323724</v>
      </c>
      <c r="S79" s="14"/>
      <c r="T79" s="20">
        <f>T12-T53</f>
        <v>1742234</v>
      </c>
      <c r="U79" s="14"/>
      <c r="V79" s="21">
        <f>IF(T$12=0,0,T79/T$12)</f>
        <v>0.53750009641000007</v>
      </c>
      <c r="W79" s="15"/>
      <c r="X79" s="20">
        <f>+P79-T79</f>
        <v>-801649.72999999928</v>
      </c>
      <c r="Y79" s="15"/>
      <c r="Z79" s="21">
        <f>IF(T79=0,0,X79/T79)</f>
        <v>-0.46012747426579853</v>
      </c>
    </row>
    <row r="80" spans="1:26" x14ac:dyDescent="0.25">
      <c r="A80" s="9"/>
      <c r="B80" s="10"/>
      <c r="C80" s="9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9" t="s">
        <v>295</v>
      </c>
      <c r="C81" s="10"/>
      <c r="D81" s="22">
        <f>SUM(OSRRefD22x_0)</f>
        <v>45740.41</v>
      </c>
      <c r="E81" s="22"/>
      <c r="F81" s="31">
        <f t="shared" ref="F81:F91" si="15">IF(D$12=0,0,D81/D$12)</f>
        <v>0.11567605370861338</v>
      </c>
      <c r="G81" s="22"/>
      <c r="H81" s="22">
        <f>SUM(OSRRefH22x_0)</f>
        <v>107653.09454007691</v>
      </c>
      <c r="I81" s="22"/>
      <c r="J81" s="31">
        <f t="shared" ref="J81:J91" si="16">IF(H$12=0,0,H81/H$12)</f>
        <v>0.26062149003923596</v>
      </c>
      <c r="K81" s="4"/>
      <c r="L81" s="22">
        <f t="shared" ref="L81:L91" si="17">+D81-H81</f>
        <v>-61912.684540076909</v>
      </c>
      <c r="M81" s="4"/>
      <c r="N81" s="31">
        <f t="shared" ref="N81:N91" si="18">IF(H81=0,0,L81/H81)</f>
        <v>-0.5751129106374937</v>
      </c>
      <c r="O81" s="10"/>
      <c r="P81" s="22">
        <f>SUM(OSRRefP22x_0)</f>
        <v>518177.35999999987</v>
      </c>
      <c r="Q81" s="22"/>
      <c r="R81" s="31">
        <f t="shared" ref="R81:R91" si="19">IF(P$12=0,0,P81/P$12)</f>
        <v>0.25512068466748911</v>
      </c>
      <c r="S81" s="22"/>
      <c r="T81" s="22">
        <f>SUM(OSRRefT22x_0)</f>
        <v>1130720.9829579226</v>
      </c>
      <c r="U81" s="22"/>
      <c r="V81" s="31">
        <f t="shared" ref="V81:V91" si="20">IF(T$12=0,0,T81/T$12)</f>
        <v>0.34884099228501653</v>
      </c>
      <c r="W81" s="4"/>
      <c r="X81" s="22">
        <f t="shared" ref="X81:X91" si="21">+P81-T81</f>
        <v>-612543.62295792275</v>
      </c>
      <c r="Y81" s="4"/>
      <c r="Z81" s="31">
        <f t="shared" ref="Z81:Z91" si="22">IF(T81=0,0,X81/T81)</f>
        <v>-0.54172835933010832</v>
      </c>
    </row>
    <row r="82" spans="1:26" s="27" customFormat="1" outlineLevel="1" collapsed="1" x14ac:dyDescent="0.25">
      <c r="A82" s="26"/>
      <c r="B82" s="13" t="str">
        <f>CONCATENATE("     ","*Benefits                                         ")</f>
        <v xml:space="preserve">     *Benefits                                         </v>
      </c>
      <c r="C82" s="13"/>
      <c r="D82" s="1">
        <f>SUM(OSRRefD22_0x_0)</f>
        <v>10208.519999999999</v>
      </c>
      <c r="E82" s="1"/>
      <c r="F82" s="5">
        <f t="shared" si="15"/>
        <v>2.581702498524726E-2</v>
      </c>
      <c r="G82" s="1"/>
      <c r="H82" s="1">
        <f>SUM(OSRRefH22_0x_0)</f>
        <v>11777.029924692304</v>
      </c>
      <c r="I82" s="1"/>
      <c r="J82" s="5">
        <f t="shared" si="16"/>
        <v>2.8511461749641833E-2</v>
      </c>
      <c r="K82" s="1"/>
      <c r="L82" s="1">
        <f t="shared" si="17"/>
        <v>-1568.5099246923055</v>
      </c>
      <c r="M82" s="1"/>
      <c r="N82" s="5">
        <f t="shared" si="18"/>
        <v>-0.13318382773263485</v>
      </c>
      <c r="O82" s="13"/>
      <c r="P82" s="1">
        <f>SUM(OSRRefP22_0x_0)</f>
        <v>112407.53</v>
      </c>
      <c r="Q82" s="1"/>
      <c r="R82" s="5">
        <f t="shared" si="19"/>
        <v>5.5342993015714409E-2</v>
      </c>
      <c r="S82" s="1"/>
      <c r="T82" s="1">
        <f>SUM(OSRRefT22_0x_0)</f>
        <v>139856.95257330762</v>
      </c>
      <c r="U82" s="1"/>
      <c r="V82" s="5">
        <f t="shared" si="20"/>
        <v>4.3147548200621534E-2</v>
      </c>
      <c r="W82" s="1"/>
      <c r="X82" s="1">
        <f t="shared" si="21"/>
        <v>-27449.422573307616</v>
      </c>
      <c r="Y82" s="1"/>
      <c r="Z82" s="5">
        <f t="shared" si="22"/>
        <v>-0.1962678441668439</v>
      </c>
    </row>
    <row r="83" spans="1:26" s="24" customFormat="1" hidden="1" outlineLevel="2" x14ac:dyDescent="0.25">
      <c r="A83" s="25"/>
      <c r="B83" s="11" t="str">
        <f>CONCATENATE("          ", "6111", " - ", "F.I.C.A.")</f>
        <v xml:space="preserve">          6111 - F.I.C.A.</v>
      </c>
      <c r="C83" s="11"/>
      <c r="D83" s="7">
        <v>2184.59</v>
      </c>
      <c r="E83" s="2"/>
      <c r="F83" s="6">
        <f t="shared" si="15"/>
        <v>5.5247591827729502E-3</v>
      </c>
      <c r="G83" s="2"/>
      <c r="H83" s="7">
        <v>1499.90676046154</v>
      </c>
      <c r="I83" s="2"/>
      <c r="J83" s="6">
        <f t="shared" si="16"/>
        <v>3.6311815884297067E-3</v>
      </c>
      <c r="K83" s="2"/>
      <c r="L83" s="7">
        <f t="shared" si="17"/>
        <v>684.68323953846016</v>
      </c>
      <c r="M83" s="2"/>
      <c r="N83" s="6">
        <f t="shared" si="18"/>
        <v>0.45648386792241313</v>
      </c>
      <c r="O83" s="11"/>
      <c r="P83" s="7">
        <v>25191.1</v>
      </c>
      <c r="Q83" s="2"/>
      <c r="R83" s="6">
        <f t="shared" si="19"/>
        <v>1.2402646614138422E-2</v>
      </c>
      <c r="S83" s="2"/>
      <c r="T83" s="7">
        <v>23009.943077538501</v>
      </c>
      <c r="U83" s="2"/>
      <c r="V83" s="6">
        <f t="shared" si="20"/>
        <v>7.0988435666882628E-3</v>
      </c>
      <c r="W83" s="2"/>
      <c r="X83" s="7">
        <f t="shared" si="21"/>
        <v>2181.1569224614977</v>
      </c>
      <c r="Y83" s="2"/>
      <c r="Z83" s="6">
        <f t="shared" si="22"/>
        <v>9.4791930389026766E-2</v>
      </c>
    </row>
    <row r="84" spans="1:26" s="24" customFormat="1" hidden="1" outlineLevel="2" x14ac:dyDescent="0.25">
      <c r="A84" s="25"/>
      <c r="B84" s="11" t="str">
        <f>CONCATENATE("          ", "6112", " - ", "COMPENSATION INSURANCE")</f>
        <v xml:space="preserve">          6112 - COMPENSATION INSURANCE</v>
      </c>
      <c r="C84" s="11"/>
      <c r="D84" s="7">
        <v>950.2</v>
      </c>
      <c r="E84" s="2"/>
      <c r="F84" s="6">
        <f t="shared" si="15"/>
        <v>2.4030258197056918E-3</v>
      </c>
      <c r="G84" s="2"/>
      <c r="H84" s="7">
        <v>1056.68278653846</v>
      </c>
      <c r="I84" s="2"/>
      <c r="J84" s="6">
        <f t="shared" si="16"/>
        <v>2.5581637341966241E-3</v>
      </c>
      <c r="K84" s="2"/>
      <c r="L84" s="7">
        <f t="shared" si="17"/>
        <v>-106.48278653846</v>
      </c>
      <c r="M84" s="2"/>
      <c r="N84" s="6">
        <f t="shared" si="18"/>
        <v>-0.10077081589195014</v>
      </c>
      <c r="O84" s="11"/>
      <c r="P84" s="7">
        <v>8683.58</v>
      </c>
      <c r="Q84" s="2"/>
      <c r="R84" s="6">
        <f t="shared" si="19"/>
        <v>4.2752946114143538E-3</v>
      </c>
      <c r="S84" s="2"/>
      <c r="T84" s="7">
        <v>12109.1863134615</v>
      </c>
      <c r="U84" s="2"/>
      <c r="V84" s="6">
        <f t="shared" si="20"/>
        <v>3.735829292122763E-3</v>
      </c>
      <c r="W84" s="2"/>
      <c r="X84" s="7">
        <f t="shared" si="21"/>
        <v>-3425.6063134614997</v>
      </c>
      <c r="Y84" s="2"/>
      <c r="Z84" s="6">
        <f t="shared" si="22"/>
        <v>-0.28289318743517333</v>
      </c>
    </row>
    <row r="85" spans="1:26" s="24" customFormat="1" hidden="1" outlineLevel="2" x14ac:dyDescent="0.25">
      <c r="A85" s="25"/>
      <c r="B85" s="11" t="str">
        <f>CONCATENATE("          ", "6113", " - ", "GROUP INSURANCE")</f>
        <v xml:space="preserve">          6113 - GROUP INSURANCE</v>
      </c>
      <c r="C85" s="11"/>
      <c r="D85" s="7">
        <v>2823.95</v>
      </c>
      <c r="E85" s="2"/>
      <c r="F85" s="6">
        <f t="shared" si="15"/>
        <v>7.141680449966205E-3</v>
      </c>
      <c r="G85" s="2"/>
      <c r="H85" s="7">
        <v>4968.8461538461497</v>
      </c>
      <c r="I85" s="2"/>
      <c r="J85" s="6">
        <f t="shared" si="16"/>
        <v>1.2029269515415686E-2</v>
      </c>
      <c r="K85" s="2"/>
      <c r="L85" s="7">
        <f t="shared" si="17"/>
        <v>-2144.8961538461499</v>
      </c>
      <c r="M85" s="2"/>
      <c r="N85" s="6">
        <f t="shared" si="18"/>
        <v>-0.43166885981887099</v>
      </c>
      <c r="O85" s="11"/>
      <c r="P85" s="7">
        <v>31948.799999999999</v>
      </c>
      <c r="Q85" s="2"/>
      <c r="R85" s="6">
        <f t="shared" si="19"/>
        <v>1.5729748845655239E-2</v>
      </c>
      <c r="S85" s="2"/>
      <c r="T85" s="7">
        <v>55271.1538461538</v>
      </c>
      <c r="U85" s="2"/>
      <c r="V85" s="6">
        <f t="shared" si="20"/>
        <v>1.7051814234482633E-2</v>
      </c>
      <c r="W85" s="2"/>
      <c r="X85" s="7">
        <f t="shared" si="21"/>
        <v>-23322.353846153801</v>
      </c>
      <c r="Y85" s="2"/>
      <c r="Z85" s="6">
        <f t="shared" si="22"/>
        <v>-0.42196249260638063</v>
      </c>
    </row>
    <row r="86" spans="1:26" s="24" customFormat="1" hidden="1" outlineLevel="2" x14ac:dyDescent="0.25">
      <c r="A86" s="25"/>
      <c r="B86" s="11" t="str">
        <f>CONCATENATE("          ", "6114", " - ", "STATE UNEMPLOYMENT INSURANCE")</f>
        <v xml:space="preserve">          6114 - STATE UNEMPLOYMENT INSURANCE</v>
      </c>
      <c r="C86" s="11"/>
      <c r="D86" s="7">
        <v>133.54</v>
      </c>
      <c r="E86" s="2"/>
      <c r="F86" s="6">
        <f t="shared" si="15"/>
        <v>3.37718446604397E-4</v>
      </c>
      <c r="G86" s="2"/>
      <c r="H86" s="7">
        <v>148.50676999999999</v>
      </c>
      <c r="I86" s="2"/>
      <c r="J86" s="6">
        <f t="shared" si="16"/>
        <v>3.5952571399520169E-4</v>
      </c>
      <c r="K86" s="2"/>
      <c r="L86" s="7">
        <f t="shared" si="17"/>
        <v>-14.966769999999997</v>
      </c>
      <c r="M86" s="2"/>
      <c r="N86" s="6">
        <f t="shared" si="18"/>
        <v>-0.1007817354050593</v>
      </c>
      <c r="O86" s="11"/>
      <c r="P86" s="7">
        <v>1046.6199999999999</v>
      </c>
      <c r="Q86" s="2"/>
      <c r="R86" s="6">
        <f t="shared" si="19"/>
        <v>5.1529540191931102E-4</v>
      </c>
      <c r="S86" s="2"/>
      <c r="T86" s="7">
        <v>1701.83159</v>
      </c>
      <c r="U86" s="2"/>
      <c r="V86" s="6">
        <f t="shared" si="20"/>
        <v>5.250354680821197E-4</v>
      </c>
      <c r="W86" s="2"/>
      <c r="X86" s="7">
        <f t="shared" si="21"/>
        <v>-655.21159000000011</v>
      </c>
      <c r="Y86" s="2"/>
      <c r="Z86" s="6">
        <f t="shared" si="22"/>
        <v>-0.38500377701885302</v>
      </c>
    </row>
    <row r="87" spans="1:26" s="24" customFormat="1" hidden="1" outlineLevel="2" x14ac:dyDescent="0.25">
      <c r="A87" s="25"/>
      <c r="B87" s="11" t="str">
        <f>CONCATENATE("          ", "6115", " - ", "P.E.R.S.")</f>
        <v xml:space="preserve">          6115 - P.E.R.S.</v>
      </c>
      <c r="C87" s="11"/>
      <c r="D87" s="7">
        <v>1554.7</v>
      </c>
      <c r="E87" s="2"/>
      <c r="F87" s="6">
        <f t="shared" si="15"/>
        <v>3.931787246786402E-3</v>
      </c>
      <c r="G87" s="2"/>
      <c r="H87" s="7">
        <v>1169.9731076923099</v>
      </c>
      <c r="I87" s="2"/>
      <c r="J87" s="6">
        <f t="shared" si="16"/>
        <v>2.832432601545793E-3</v>
      </c>
      <c r="K87" s="2"/>
      <c r="L87" s="7">
        <f t="shared" si="17"/>
        <v>384.72689230769015</v>
      </c>
      <c r="M87" s="2"/>
      <c r="N87" s="6">
        <f t="shared" si="18"/>
        <v>0.32883396189040365</v>
      </c>
      <c r="O87" s="11"/>
      <c r="P87" s="7">
        <v>17704.490000000002</v>
      </c>
      <c r="Q87" s="2"/>
      <c r="R87" s="6">
        <f t="shared" si="19"/>
        <v>8.716671084372957E-3</v>
      </c>
      <c r="S87" s="2"/>
      <c r="T87" s="7">
        <v>13853.6420923077</v>
      </c>
      <c r="U87" s="2"/>
      <c r="V87" s="6">
        <f t="shared" si="20"/>
        <v>4.27401483396893E-3</v>
      </c>
      <c r="W87" s="2"/>
      <c r="X87" s="7">
        <f t="shared" si="21"/>
        <v>3850.8479076923013</v>
      </c>
      <c r="Y87" s="2"/>
      <c r="Z87" s="6">
        <f t="shared" si="22"/>
        <v>0.27796646412790632</v>
      </c>
    </row>
    <row r="88" spans="1:26" s="24" customFormat="1" hidden="1" outlineLevel="2" x14ac:dyDescent="0.25">
      <c r="A88" s="25"/>
      <c r="B88" s="11" t="str">
        <f>CONCATENATE("          ", "6116", " - ", "EDUCATIONAL BENEFITS")</f>
        <v xml:space="preserve">          6116 - EDUCATIONAL BENEFITS</v>
      </c>
      <c r="C88" s="11"/>
      <c r="D88" s="7"/>
      <c r="E88" s="2"/>
      <c r="F88" s="6">
        <f t="shared" si="15"/>
        <v>0</v>
      </c>
      <c r="G88" s="2"/>
      <c r="H88" s="7">
        <v>0</v>
      </c>
      <c r="I88" s="2"/>
      <c r="J88" s="6">
        <f t="shared" si="16"/>
        <v>0</v>
      </c>
      <c r="K88" s="2"/>
      <c r="L88" s="7">
        <f t="shared" si="17"/>
        <v>0</v>
      </c>
      <c r="M88" s="2"/>
      <c r="N88" s="6">
        <f t="shared" si="18"/>
        <v>0</v>
      </c>
      <c r="O88" s="11"/>
      <c r="P88" s="7"/>
      <c r="Q88" s="2"/>
      <c r="R88" s="6">
        <f t="shared" si="19"/>
        <v>0</v>
      </c>
      <c r="S88" s="2"/>
      <c r="T88" s="7">
        <v>0</v>
      </c>
      <c r="U88" s="2"/>
      <c r="V88" s="6">
        <f t="shared" si="20"/>
        <v>0</v>
      </c>
      <c r="W88" s="2"/>
      <c r="X88" s="7">
        <f t="shared" si="21"/>
        <v>0</v>
      </c>
      <c r="Y88" s="2"/>
      <c r="Z88" s="6">
        <f t="shared" si="22"/>
        <v>0</v>
      </c>
    </row>
    <row r="89" spans="1:26" s="24" customFormat="1" hidden="1" outlineLevel="2" x14ac:dyDescent="0.25">
      <c r="A89" s="25"/>
      <c r="B89" s="11" t="str">
        <f>CONCATENATE("          ", "6118", " - ", "VACATION")</f>
        <v xml:space="preserve">          6118 - VACATION</v>
      </c>
      <c r="C89" s="11"/>
      <c r="D89" s="7">
        <v>1290.6199999999999</v>
      </c>
      <c r="E89" s="2"/>
      <c r="F89" s="6">
        <f t="shared" si="15"/>
        <v>3.263937258922921E-3</v>
      </c>
      <c r="G89" s="2"/>
      <c r="H89" s="7">
        <v>877.97692307692296</v>
      </c>
      <c r="I89" s="2"/>
      <c r="J89" s="6">
        <f t="shared" si="16"/>
        <v>2.1255278809211259E-3</v>
      </c>
      <c r="K89" s="2"/>
      <c r="L89" s="7">
        <f t="shared" si="17"/>
        <v>412.64307692307693</v>
      </c>
      <c r="M89" s="2"/>
      <c r="N89" s="6">
        <f t="shared" si="18"/>
        <v>0.46999307849338962</v>
      </c>
      <c r="O89" s="11"/>
      <c r="P89" s="7">
        <v>14219.52</v>
      </c>
      <c r="Q89" s="2"/>
      <c r="R89" s="6">
        <f t="shared" si="19"/>
        <v>7.000872593204489E-3</v>
      </c>
      <c r="S89" s="2"/>
      <c r="T89" s="7">
        <v>10390.123076923101</v>
      </c>
      <c r="U89" s="2"/>
      <c r="V89" s="6">
        <f t="shared" si="20"/>
        <v>3.2054776542978346E-3</v>
      </c>
      <c r="W89" s="2"/>
      <c r="X89" s="7">
        <f t="shared" si="21"/>
        <v>3829.3969230768998</v>
      </c>
      <c r="Y89" s="2"/>
      <c r="Z89" s="6">
        <f t="shared" si="22"/>
        <v>0.36856126676517925</v>
      </c>
    </row>
    <row r="90" spans="1:26" s="24" customFormat="1" hidden="1" outlineLevel="2" x14ac:dyDescent="0.25">
      <c r="A90" s="25"/>
      <c r="B90" s="11" t="str">
        <f>CONCATENATE("          ", "6119", " - ", "SICK LEAVE")</f>
        <v xml:space="preserve">          6119 - SICK LEAVE</v>
      </c>
      <c r="C90" s="11"/>
      <c r="D90" s="7">
        <v>889.54</v>
      </c>
      <c r="E90" s="2"/>
      <c r="F90" s="6">
        <f t="shared" si="15"/>
        <v>2.2496185936234487E-3</v>
      </c>
      <c r="G90" s="2"/>
      <c r="H90" s="7">
        <v>1355.13742307692</v>
      </c>
      <c r="I90" s="2"/>
      <c r="J90" s="6">
        <f t="shared" si="16"/>
        <v>3.2807039678618517E-3</v>
      </c>
      <c r="K90" s="2"/>
      <c r="L90" s="7">
        <f t="shared" si="17"/>
        <v>-465.59742307691999</v>
      </c>
      <c r="M90" s="2"/>
      <c r="N90" s="6">
        <f t="shared" si="18"/>
        <v>-0.34357948880177291</v>
      </c>
      <c r="O90" s="11"/>
      <c r="P90" s="7">
        <v>10016.74</v>
      </c>
      <c r="Q90" s="2"/>
      <c r="R90" s="6">
        <f t="shared" si="19"/>
        <v>4.9316658044192161E-3</v>
      </c>
      <c r="S90" s="2"/>
      <c r="T90" s="7">
        <v>15821.072576922999</v>
      </c>
      <c r="U90" s="2"/>
      <c r="V90" s="6">
        <f t="shared" si="20"/>
        <v>4.8809907483183777E-3</v>
      </c>
      <c r="W90" s="2"/>
      <c r="X90" s="7">
        <f t="shared" si="21"/>
        <v>-5804.3325769229996</v>
      </c>
      <c r="Y90" s="2"/>
      <c r="Z90" s="6">
        <f t="shared" si="22"/>
        <v>-0.36687351939648771</v>
      </c>
    </row>
    <row r="91" spans="1:26" s="24" customFormat="1" hidden="1" outlineLevel="2" x14ac:dyDescent="0.25">
      <c r="A91" s="25"/>
      <c r="B91" s="11" t="str">
        <f>CONCATENATE("          ", "6156", " - ", "EMPLOYEE MEALS")</f>
        <v xml:space="preserve">          6156 - EMPLOYEE MEALS</v>
      </c>
      <c r="C91" s="11"/>
      <c r="D91" s="7">
        <v>381.38</v>
      </c>
      <c r="E91" s="2"/>
      <c r="F91" s="6">
        <f t="shared" si="15"/>
        <v>9.6449798686524591E-4</v>
      </c>
      <c r="G91" s="2"/>
      <c r="H91" s="7">
        <v>700</v>
      </c>
      <c r="I91" s="2"/>
      <c r="J91" s="6">
        <f t="shared" si="16"/>
        <v>1.6946567472758392E-3</v>
      </c>
      <c r="K91" s="2"/>
      <c r="L91" s="7">
        <f t="shared" si="17"/>
        <v>-318.62</v>
      </c>
      <c r="M91" s="2"/>
      <c r="N91" s="6">
        <f t="shared" si="18"/>
        <v>-0.45517142857142856</v>
      </c>
      <c r="O91" s="11"/>
      <c r="P91" s="7">
        <v>3596.68</v>
      </c>
      <c r="Q91" s="2"/>
      <c r="R91" s="6">
        <f t="shared" si="19"/>
        <v>1.7707980605904221E-3</v>
      </c>
      <c r="S91" s="2"/>
      <c r="T91" s="7">
        <v>7700</v>
      </c>
      <c r="U91" s="2"/>
      <c r="V91" s="6">
        <f t="shared" si="20"/>
        <v>2.3755424026606076E-3</v>
      </c>
      <c r="W91" s="2"/>
      <c r="X91" s="7">
        <f t="shared" si="21"/>
        <v>-4103.32</v>
      </c>
      <c r="Y91" s="2"/>
      <c r="Z91" s="6">
        <f t="shared" si="22"/>
        <v>-0.53289870129870132</v>
      </c>
    </row>
    <row r="92" spans="1:26" s="27" customFormat="1" outlineLevel="1" collapsed="1" x14ac:dyDescent="0.25">
      <c r="A92" s="26"/>
      <c r="B92" s="13" t="str">
        <f>CONCATENATE("     ","*Payroll                                          ")</f>
        <v xml:space="preserve">     *Payroll                                          </v>
      </c>
      <c r="C92" s="13"/>
      <c r="D92" s="1">
        <f>SUM(OSRRefD22_1x_0)</f>
        <v>34031.370000000003</v>
      </c>
      <c r="E92" s="1"/>
      <c r="F92" s="5">
        <f t="shared" ref="F92:F102" si="23">IF(D$12=0,0,D92/D$12)</f>
        <v>8.6064260987116073E-2</v>
      </c>
      <c r="G92" s="1"/>
      <c r="H92" s="1">
        <f>SUM(OSRRefH22_1x_0)</f>
        <v>55260.064615384603</v>
      </c>
      <c r="I92" s="1"/>
      <c r="J92" s="5">
        <f t="shared" ref="J92:J102" si="24">IF(H$12=0,0,H92/H$12)</f>
        <v>0.13378120193622911</v>
      </c>
      <c r="K92" s="1"/>
      <c r="L92" s="1">
        <f t="shared" ref="L92:L102" si="25">+D92-H92</f>
        <v>-21228.6946153846</v>
      </c>
      <c r="M92" s="1"/>
      <c r="N92" s="5">
        <f t="shared" ref="N92:N102" si="26">IF(H92=0,0,L92/H92)</f>
        <v>-0.38415978633283132</v>
      </c>
      <c r="O92" s="13"/>
      <c r="P92" s="1">
        <f>SUM(OSRRefP22_1x_0)</f>
        <v>339782.73999999993</v>
      </c>
      <c r="Q92" s="1"/>
      <c r="R92" s="5">
        <f t="shared" ref="R92:R102" si="27">IF(P$12=0,0,P92/P$12)</f>
        <v>0.16728944944062288</v>
      </c>
      <c r="S92" s="1"/>
      <c r="T92" s="1">
        <f>SUM(OSRRefT22_1x_0)</f>
        <v>632566.03038461506</v>
      </c>
      <c r="U92" s="1"/>
      <c r="V92" s="5">
        <f t="shared" ref="V92:V102" si="28">IF(T$12=0,0,T92/T$12)</f>
        <v>0.19515421138459108</v>
      </c>
      <c r="W92" s="1"/>
      <c r="X92" s="1">
        <f t="shared" ref="X92:X102" si="29">+P92-T92</f>
        <v>-292783.29038461513</v>
      </c>
      <c r="Y92" s="1"/>
      <c r="Z92" s="5">
        <f t="shared" ref="Z92:Z102" si="30">IF(T92=0,0,X92/T92)</f>
        <v>-0.46285016317837363</v>
      </c>
    </row>
    <row r="93" spans="1:26" s="24" customFormat="1" hidden="1" outlineLevel="2" x14ac:dyDescent="0.25">
      <c r="A93" s="25"/>
      <c r="B93" s="11" t="str">
        <f>CONCATENATE("          ", "6001", " - ", "ADMINISTRATIVE SALARIES")</f>
        <v xml:space="preserve">          6001 - ADMINISTRATIVE SALARIES</v>
      </c>
      <c r="C93" s="11"/>
      <c r="D93" s="7"/>
      <c r="E93" s="2"/>
      <c r="F93" s="6">
        <f t="shared" si="23"/>
        <v>0</v>
      </c>
      <c r="G93" s="2"/>
      <c r="H93" s="7">
        <v>0</v>
      </c>
      <c r="I93" s="2"/>
      <c r="J93" s="6">
        <f t="shared" si="24"/>
        <v>0</v>
      </c>
      <c r="K93" s="2"/>
      <c r="L93" s="7">
        <f t="shared" si="25"/>
        <v>0</v>
      </c>
      <c r="M93" s="2"/>
      <c r="N93" s="6">
        <f t="shared" si="26"/>
        <v>0</v>
      </c>
      <c r="O93" s="11"/>
      <c r="P93" s="7"/>
      <c r="Q93" s="2"/>
      <c r="R93" s="6">
        <f t="shared" si="27"/>
        <v>0</v>
      </c>
      <c r="S93" s="2"/>
      <c r="T93" s="7">
        <v>0</v>
      </c>
      <c r="U93" s="2"/>
      <c r="V93" s="6">
        <f t="shared" si="28"/>
        <v>0</v>
      </c>
      <c r="W93" s="2"/>
      <c r="X93" s="7">
        <f t="shared" si="29"/>
        <v>0</v>
      </c>
      <c r="Y93" s="2"/>
      <c r="Z93" s="6">
        <f t="shared" si="30"/>
        <v>0</v>
      </c>
    </row>
    <row r="94" spans="1:26" s="24" customFormat="1" hidden="1" outlineLevel="2" x14ac:dyDescent="0.25">
      <c r="A94" s="25"/>
      <c r="B94" s="11" t="str">
        <f>CONCATENATE("          ", "6002", " - ", "STAFF SALARIES")</f>
        <v xml:space="preserve">          6002 - STAFF SALARIES</v>
      </c>
      <c r="C94" s="11"/>
      <c r="D94" s="7">
        <v>16224.09</v>
      </c>
      <c r="E94" s="2"/>
      <c r="F94" s="6">
        <f t="shared" si="23"/>
        <v>4.1030211714616835E-2</v>
      </c>
      <c r="G94" s="2"/>
      <c r="H94" s="7">
        <v>12243.904615384599</v>
      </c>
      <c r="I94" s="2"/>
      <c r="J94" s="6">
        <f t="shared" si="24"/>
        <v>2.9641736527804715E-2</v>
      </c>
      <c r="K94" s="2"/>
      <c r="L94" s="7">
        <f t="shared" si="25"/>
        <v>3980.1853846154008</v>
      </c>
      <c r="M94" s="2"/>
      <c r="N94" s="6">
        <f t="shared" si="26"/>
        <v>0.32507484414851245</v>
      </c>
      <c r="O94" s="11"/>
      <c r="P94" s="7">
        <v>155346.57999999999</v>
      </c>
      <c r="Q94" s="2"/>
      <c r="R94" s="6">
        <f t="shared" si="27"/>
        <v>7.6483707914897864E-2</v>
      </c>
      <c r="S94" s="2"/>
      <c r="T94" s="7">
        <v>144979.97538461501</v>
      </c>
      <c r="U94" s="2"/>
      <c r="V94" s="6">
        <f t="shared" si="28"/>
        <v>4.4728062215953775E-2</v>
      </c>
      <c r="W94" s="2"/>
      <c r="X94" s="7">
        <f t="shared" si="29"/>
        <v>10366.604615384975</v>
      </c>
      <c r="Y94" s="2"/>
      <c r="Z94" s="6">
        <f t="shared" si="30"/>
        <v>7.150369965151103E-2</v>
      </c>
    </row>
    <row r="95" spans="1:26" s="24" customFormat="1" hidden="1" outlineLevel="2" x14ac:dyDescent="0.25">
      <c r="A95" s="25"/>
      <c r="B95" s="11" t="str">
        <f>CONCATENATE("          ", "6003", " - ", "STAFF HOURLY-9 MONTH")</f>
        <v xml:space="preserve">          6003 - STAFF HOURLY-9 MONTH</v>
      </c>
      <c r="C95" s="11"/>
      <c r="D95" s="7"/>
      <c r="E95" s="2"/>
      <c r="F95" s="6">
        <f t="shared" si="23"/>
        <v>0</v>
      </c>
      <c r="G95" s="2"/>
      <c r="H95" s="7">
        <v>0</v>
      </c>
      <c r="I95" s="2"/>
      <c r="J95" s="6">
        <f t="shared" si="24"/>
        <v>0</v>
      </c>
      <c r="K95" s="2"/>
      <c r="L95" s="7">
        <f t="shared" si="25"/>
        <v>0</v>
      </c>
      <c r="M95" s="2"/>
      <c r="N95" s="6">
        <f t="shared" si="26"/>
        <v>0</v>
      </c>
      <c r="O95" s="11"/>
      <c r="P95" s="7"/>
      <c r="Q95" s="2"/>
      <c r="R95" s="6">
        <f t="shared" si="27"/>
        <v>0</v>
      </c>
      <c r="S95" s="2"/>
      <c r="T95" s="7">
        <v>0</v>
      </c>
      <c r="U95" s="2"/>
      <c r="V95" s="6">
        <f t="shared" si="28"/>
        <v>0</v>
      </c>
      <c r="W95" s="2"/>
      <c r="X95" s="7">
        <f t="shared" si="29"/>
        <v>0</v>
      </c>
      <c r="Y95" s="2"/>
      <c r="Z95" s="6">
        <f t="shared" si="30"/>
        <v>0</v>
      </c>
    </row>
    <row r="96" spans="1:26" s="24" customFormat="1" hidden="1" outlineLevel="2" x14ac:dyDescent="0.25">
      <c r="A96" s="25"/>
      <c r="B96" s="11" t="str">
        <f>CONCATENATE("          ", "6004", " - ", "STAFF HOURLY")</f>
        <v xml:space="preserve">          6004 - STAFF HOURLY</v>
      </c>
      <c r="C96" s="11"/>
      <c r="D96" s="7">
        <v>3964.52</v>
      </c>
      <c r="E96" s="2"/>
      <c r="F96" s="6">
        <f t="shared" si="23"/>
        <v>1.002614599320102E-2</v>
      </c>
      <c r="G96" s="2"/>
      <c r="H96" s="7">
        <v>5497.11</v>
      </c>
      <c r="I96" s="2"/>
      <c r="J96" s="6">
        <f t="shared" si="24"/>
        <v>1.3308163645739269E-2</v>
      </c>
      <c r="K96" s="2"/>
      <c r="L96" s="7">
        <f t="shared" si="25"/>
        <v>-1532.5899999999997</v>
      </c>
      <c r="M96" s="2"/>
      <c r="N96" s="6">
        <f t="shared" si="26"/>
        <v>-0.27879922359203285</v>
      </c>
      <c r="O96" s="11"/>
      <c r="P96" s="7">
        <v>58556.06</v>
      </c>
      <c r="Q96" s="2"/>
      <c r="R96" s="6">
        <f t="shared" si="27"/>
        <v>2.8829631071937561E-2</v>
      </c>
      <c r="S96" s="2"/>
      <c r="T96" s="7">
        <v>64924.605000000003</v>
      </c>
      <c r="U96" s="2"/>
      <c r="V96" s="6">
        <f t="shared" si="28"/>
        <v>2.0030019760193623E-2</v>
      </c>
      <c r="W96" s="2"/>
      <c r="X96" s="7">
        <f t="shared" si="29"/>
        <v>-6368.5450000000055</v>
      </c>
      <c r="Y96" s="2"/>
      <c r="Z96" s="6">
        <f t="shared" si="30"/>
        <v>-9.8091393855996592E-2</v>
      </c>
    </row>
    <row r="97" spans="1:26" s="24" customFormat="1" hidden="1" outlineLevel="2" x14ac:dyDescent="0.25">
      <c r="A97" s="25"/>
      <c r="B97" s="11" t="str">
        <f>CONCATENATE("          ", "6005", " - ", "TEMPORARY WAGES-HOURLY")</f>
        <v xml:space="preserve">          6005 - TEMPORARY WAGES-HOURLY</v>
      </c>
      <c r="C97" s="11"/>
      <c r="D97" s="7">
        <v>1100.19</v>
      </c>
      <c r="E97" s="2"/>
      <c r="F97" s="6">
        <f t="shared" si="23"/>
        <v>2.7823457972868922E-3</v>
      </c>
      <c r="G97" s="2"/>
      <c r="H97" s="7">
        <v>0</v>
      </c>
      <c r="I97" s="2"/>
      <c r="J97" s="6">
        <f t="shared" si="24"/>
        <v>0</v>
      </c>
      <c r="K97" s="2"/>
      <c r="L97" s="7">
        <f t="shared" si="25"/>
        <v>1100.19</v>
      </c>
      <c r="M97" s="2"/>
      <c r="N97" s="6">
        <f t="shared" si="26"/>
        <v>0</v>
      </c>
      <c r="O97" s="11"/>
      <c r="P97" s="7">
        <v>43899.15</v>
      </c>
      <c r="Q97" s="2"/>
      <c r="R97" s="6">
        <f t="shared" si="27"/>
        <v>2.1613412836718315E-2</v>
      </c>
      <c r="S97" s="2"/>
      <c r="T97" s="7">
        <v>0</v>
      </c>
      <c r="U97" s="2"/>
      <c r="V97" s="6">
        <f t="shared" si="28"/>
        <v>0</v>
      </c>
      <c r="W97" s="2"/>
      <c r="X97" s="7">
        <f t="shared" si="29"/>
        <v>43899.15</v>
      </c>
      <c r="Y97" s="2"/>
      <c r="Z97" s="6">
        <f t="shared" si="30"/>
        <v>0</v>
      </c>
    </row>
    <row r="98" spans="1:26" s="24" customFormat="1" hidden="1" outlineLevel="2" x14ac:dyDescent="0.25">
      <c r="A98" s="25"/>
      <c r="B98" s="11" t="str">
        <f>CONCATENATE("          ", "6006", " - ", "TEMPORARY PART TIME")</f>
        <v xml:space="preserve">          6006 - TEMPORARY PART TIME</v>
      </c>
      <c r="C98" s="11"/>
      <c r="D98" s="7">
        <v>1314.52</v>
      </c>
      <c r="E98" s="2"/>
      <c r="F98" s="6">
        <f t="shared" si="23"/>
        <v>3.324379604840587E-3</v>
      </c>
      <c r="G98" s="2"/>
      <c r="H98" s="7">
        <v>0</v>
      </c>
      <c r="I98" s="2"/>
      <c r="J98" s="6">
        <f t="shared" si="24"/>
        <v>0</v>
      </c>
      <c r="K98" s="2"/>
      <c r="L98" s="7">
        <f t="shared" si="25"/>
        <v>1314.52</v>
      </c>
      <c r="M98" s="2"/>
      <c r="N98" s="6">
        <f t="shared" si="26"/>
        <v>0</v>
      </c>
      <c r="O98" s="11"/>
      <c r="P98" s="7">
        <v>5581.64</v>
      </c>
      <c r="Q98" s="2"/>
      <c r="R98" s="6">
        <f t="shared" si="27"/>
        <v>2.7480780294365705E-3</v>
      </c>
      <c r="S98" s="2"/>
      <c r="T98" s="7">
        <v>0</v>
      </c>
      <c r="U98" s="2"/>
      <c r="V98" s="6">
        <f t="shared" si="28"/>
        <v>0</v>
      </c>
      <c r="W98" s="2"/>
      <c r="X98" s="7">
        <f t="shared" si="29"/>
        <v>5581.64</v>
      </c>
      <c r="Y98" s="2"/>
      <c r="Z98" s="6">
        <f t="shared" si="30"/>
        <v>0</v>
      </c>
    </row>
    <row r="99" spans="1:26" s="24" customFormat="1" hidden="1" outlineLevel="2" x14ac:dyDescent="0.25">
      <c r="A99" s="25"/>
      <c r="B99" s="11" t="str">
        <f>CONCATENATE("          ", "6007", " - ", "STUDENT HOURLY")</f>
        <v xml:space="preserve">          6007 - STUDENT HOURLY</v>
      </c>
      <c r="C99" s="11"/>
      <c r="D99" s="7">
        <v>9085.57</v>
      </c>
      <c r="E99" s="2"/>
      <c r="F99" s="6">
        <f t="shared" si="23"/>
        <v>2.2977119866073922E-2</v>
      </c>
      <c r="G99" s="2"/>
      <c r="H99" s="7">
        <v>0</v>
      </c>
      <c r="I99" s="2"/>
      <c r="J99" s="6">
        <f t="shared" si="24"/>
        <v>0</v>
      </c>
      <c r="K99" s="2"/>
      <c r="L99" s="7">
        <f t="shared" si="25"/>
        <v>9085.57</v>
      </c>
      <c r="M99" s="2"/>
      <c r="N99" s="6">
        <f t="shared" si="26"/>
        <v>0</v>
      </c>
      <c r="O99" s="11"/>
      <c r="P99" s="7">
        <v>67022.649999999994</v>
      </c>
      <c r="Q99" s="2"/>
      <c r="R99" s="6">
        <f t="shared" si="27"/>
        <v>3.2998092306135283E-2</v>
      </c>
      <c r="S99" s="2"/>
      <c r="T99" s="7">
        <v>68776.5</v>
      </c>
      <c r="U99" s="2"/>
      <c r="V99" s="6">
        <f t="shared" si="28"/>
        <v>2.1218375591764579E-2</v>
      </c>
      <c r="W99" s="2"/>
      <c r="X99" s="7">
        <f t="shared" si="29"/>
        <v>-1753.8500000000058</v>
      </c>
      <c r="Y99" s="2"/>
      <c r="Z99" s="6">
        <f t="shared" si="30"/>
        <v>-2.5500716087617222E-2</v>
      </c>
    </row>
    <row r="100" spans="1:26" s="24" customFormat="1" hidden="1" outlineLevel="2" x14ac:dyDescent="0.25">
      <c r="A100" s="25"/>
      <c r="B100" s="11" t="str">
        <f>CONCATENATE("          ", "6008", " - ", "STUDENT HOURLY-FICA EXEMPT")</f>
        <v xml:space="preserve">          6008 - STUDENT HOURLY-FICA EXEMPT</v>
      </c>
      <c r="C100" s="11"/>
      <c r="D100" s="7">
        <v>2342.48</v>
      </c>
      <c r="E100" s="2"/>
      <c r="F100" s="6">
        <f t="shared" si="23"/>
        <v>5.9240580110968095E-3</v>
      </c>
      <c r="G100" s="2"/>
      <c r="H100" s="7">
        <v>37519.050000000003</v>
      </c>
      <c r="I100" s="2"/>
      <c r="J100" s="6">
        <f t="shared" si="24"/>
        <v>9.0831301762685113E-2</v>
      </c>
      <c r="K100" s="2"/>
      <c r="L100" s="7">
        <f t="shared" si="25"/>
        <v>-35176.57</v>
      </c>
      <c r="M100" s="2"/>
      <c r="N100" s="6">
        <f t="shared" si="26"/>
        <v>-0.93756558335032458</v>
      </c>
      <c r="O100" s="11"/>
      <c r="P100" s="7">
        <v>9376.66</v>
      </c>
      <c r="Q100" s="2"/>
      <c r="R100" s="6">
        <f t="shared" si="27"/>
        <v>4.6165272814973216E-3</v>
      </c>
      <c r="S100" s="2"/>
      <c r="T100" s="7">
        <v>353884.95</v>
      </c>
      <c r="U100" s="2"/>
      <c r="V100" s="6">
        <f t="shared" si="28"/>
        <v>0.10917775381667909</v>
      </c>
      <c r="W100" s="2"/>
      <c r="X100" s="7">
        <f t="shared" si="29"/>
        <v>-344508.29000000004</v>
      </c>
      <c r="Y100" s="2"/>
      <c r="Z100" s="6">
        <f t="shared" si="30"/>
        <v>-0.97350364857279192</v>
      </c>
    </row>
    <row r="101" spans="1:26" s="24" customFormat="1" hidden="1" outlineLevel="2" x14ac:dyDescent="0.25">
      <c r="A101" s="25"/>
      <c r="B101" s="11" t="str">
        <f>CONCATENATE("          ", "6009", " - ", "TEMPORARY-SEASONAL")</f>
        <v xml:space="preserve">          6009 - TEMPORARY-SEASONAL</v>
      </c>
      <c r="C101" s="11"/>
      <c r="D101" s="7"/>
      <c r="E101" s="2"/>
      <c r="F101" s="6">
        <f t="shared" si="23"/>
        <v>0</v>
      </c>
      <c r="G101" s="2"/>
      <c r="H101" s="7">
        <v>0</v>
      </c>
      <c r="I101" s="2"/>
      <c r="J101" s="6">
        <f t="shared" si="24"/>
        <v>0</v>
      </c>
      <c r="K101" s="2"/>
      <c r="L101" s="7">
        <f t="shared" si="25"/>
        <v>0</v>
      </c>
      <c r="M101" s="2"/>
      <c r="N101" s="6">
        <f t="shared" si="26"/>
        <v>0</v>
      </c>
      <c r="O101" s="11"/>
      <c r="P101" s="7"/>
      <c r="Q101" s="2"/>
      <c r="R101" s="6">
        <f t="shared" si="27"/>
        <v>0</v>
      </c>
      <c r="S101" s="2"/>
      <c r="T101" s="7">
        <v>0</v>
      </c>
      <c r="U101" s="2"/>
      <c r="V101" s="6">
        <f t="shared" si="28"/>
        <v>0</v>
      </c>
      <c r="W101" s="2"/>
      <c r="X101" s="7">
        <f t="shared" si="29"/>
        <v>0</v>
      </c>
      <c r="Y101" s="2"/>
      <c r="Z101" s="6">
        <f t="shared" si="30"/>
        <v>0</v>
      </c>
    </row>
    <row r="102" spans="1:26" s="24" customFormat="1" hidden="1" outlineLevel="2" x14ac:dyDescent="0.25">
      <c r="A102" s="25"/>
      <c r="B102" s="11" t="str">
        <f>CONCATENATE("          ", "6010", " - ", "GRATUITY")</f>
        <v xml:space="preserve">          6010 - GRATUITY</v>
      </c>
      <c r="C102" s="11"/>
      <c r="D102" s="7"/>
      <c r="E102" s="2"/>
      <c r="F102" s="6">
        <f t="shared" si="23"/>
        <v>0</v>
      </c>
      <c r="G102" s="2"/>
      <c r="H102" s="7">
        <v>0</v>
      </c>
      <c r="I102" s="2"/>
      <c r="J102" s="6">
        <f t="shared" si="24"/>
        <v>0</v>
      </c>
      <c r="K102" s="2"/>
      <c r="L102" s="7">
        <f t="shared" si="25"/>
        <v>0</v>
      </c>
      <c r="M102" s="2"/>
      <c r="N102" s="6">
        <f t="shared" si="26"/>
        <v>0</v>
      </c>
      <c r="O102" s="11"/>
      <c r="P102" s="7"/>
      <c r="Q102" s="2"/>
      <c r="R102" s="6">
        <f t="shared" si="27"/>
        <v>0</v>
      </c>
      <c r="S102" s="2"/>
      <c r="T102" s="7">
        <v>0</v>
      </c>
      <c r="U102" s="2"/>
      <c r="V102" s="6">
        <f t="shared" si="28"/>
        <v>0</v>
      </c>
      <c r="W102" s="2"/>
      <c r="X102" s="7">
        <f t="shared" si="29"/>
        <v>0</v>
      </c>
      <c r="Y102" s="2"/>
      <c r="Z102" s="6">
        <f t="shared" si="30"/>
        <v>0</v>
      </c>
    </row>
    <row r="103" spans="1:26" s="27" customFormat="1" outlineLevel="1" collapsed="1" x14ac:dyDescent="0.25">
      <c r="A103" s="26"/>
      <c r="B103" s="13" t="str">
        <f>CONCATENATE("     ","Advertising/Promo                                 ")</f>
        <v xml:space="preserve">     Advertising/Promo                                 </v>
      </c>
      <c r="C103" s="13"/>
      <c r="D103" s="1">
        <f>SUM(OSRRefD22_2x_0)</f>
        <v>205.07</v>
      </c>
      <c r="E103" s="1"/>
      <c r="F103" s="5">
        <f t="shared" ref="F103:F111" si="31">IF(D$12=0,0,D103/D$12)</f>
        <v>5.1861555972115999E-4</v>
      </c>
      <c r="G103" s="1"/>
      <c r="H103" s="1">
        <f>SUM(OSRRefH22_2x_0)</f>
        <v>1080</v>
      </c>
      <c r="I103" s="1"/>
      <c r="J103" s="5">
        <f t="shared" ref="J103:J111" si="32">IF(H$12=0,0,H103/H$12)</f>
        <v>2.6146132672255806E-3</v>
      </c>
      <c r="K103" s="1"/>
      <c r="L103" s="1">
        <f t="shared" ref="L103:L111" si="33">+D103-H103</f>
        <v>-874.93000000000006</v>
      </c>
      <c r="M103" s="1"/>
      <c r="N103" s="5">
        <f t="shared" ref="N103:N111" si="34">IF(H103=0,0,L103/H103)</f>
        <v>-0.81012037037037044</v>
      </c>
      <c r="O103" s="13"/>
      <c r="P103" s="1">
        <f>SUM(OSRRefP22_2x_0)</f>
        <v>13098.61</v>
      </c>
      <c r="Q103" s="1"/>
      <c r="R103" s="5">
        <f t="shared" ref="R103:R111" si="35">IF(P$12=0,0,P103/P$12)</f>
        <v>6.4490010744437396E-3</v>
      </c>
      <c r="S103" s="1"/>
      <c r="T103" s="1">
        <f>SUM(OSRRefT22_2x_0)</f>
        <v>9380</v>
      </c>
      <c r="U103" s="1"/>
      <c r="V103" s="5">
        <f t="shared" ref="V103:V111" si="36">IF(T$12=0,0,T103/T$12)</f>
        <v>2.8938425632411037E-3</v>
      </c>
      <c r="W103" s="1"/>
      <c r="X103" s="1">
        <f t="shared" ref="X103:X111" si="37">+P103-T103</f>
        <v>3718.6100000000006</v>
      </c>
      <c r="Y103" s="1"/>
      <c r="Z103" s="5">
        <f t="shared" ref="Z103:Z111" si="38">IF(T103=0,0,X103/T103)</f>
        <v>0.39644029850746276</v>
      </c>
    </row>
    <row r="104" spans="1:26" s="24" customFormat="1" hidden="1" outlineLevel="2" x14ac:dyDescent="0.25">
      <c r="A104" s="25"/>
      <c r="B104" s="11" t="str">
        <f>CONCATENATE("          ", "6362", " - ", "ADVERTISING EXPENSE")</f>
        <v xml:space="preserve">          6362 - ADVERTISING EXPENSE</v>
      </c>
      <c r="C104" s="11"/>
      <c r="D104" s="7">
        <v>205.07</v>
      </c>
      <c r="E104" s="2"/>
      <c r="F104" s="6">
        <f t="shared" si="31"/>
        <v>5.1861555972115999E-4</v>
      </c>
      <c r="G104" s="2"/>
      <c r="H104" s="7">
        <v>1080</v>
      </c>
      <c r="I104" s="2"/>
      <c r="J104" s="6">
        <f t="shared" si="32"/>
        <v>2.6146132672255806E-3</v>
      </c>
      <c r="K104" s="2"/>
      <c r="L104" s="7">
        <f t="shared" si="33"/>
        <v>-874.93000000000006</v>
      </c>
      <c r="M104" s="2"/>
      <c r="N104" s="6">
        <f t="shared" si="34"/>
        <v>-0.81012037037037044</v>
      </c>
      <c r="O104" s="11"/>
      <c r="P104" s="7">
        <v>13098.61</v>
      </c>
      <c r="Q104" s="2"/>
      <c r="R104" s="6">
        <f t="shared" si="35"/>
        <v>6.4490010744437396E-3</v>
      </c>
      <c r="S104" s="2"/>
      <c r="T104" s="7">
        <v>9380</v>
      </c>
      <c r="U104" s="2"/>
      <c r="V104" s="6">
        <f t="shared" si="36"/>
        <v>2.8938425632411037E-3</v>
      </c>
      <c r="W104" s="2"/>
      <c r="X104" s="7">
        <f t="shared" si="37"/>
        <v>3718.6100000000006</v>
      </c>
      <c r="Y104" s="2"/>
      <c r="Z104" s="6">
        <f t="shared" si="38"/>
        <v>0.39644029850746276</v>
      </c>
    </row>
    <row r="105" spans="1:26" s="27" customFormat="1" outlineLevel="1" collapsed="1" x14ac:dyDescent="0.25">
      <c r="A105" s="26"/>
      <c r="B105" s="13" t="str">
        <f>CONCATENATE("     ","Bad Debts/Over/Short                              ")</f>
        <v xml:space="preserve">     Bad Debts/Over/Short                              </v>
      </c>
      <c r="C105" s="13"/>
      <c r="D105" s="1">
        <f>SUM(OSRRefD22_3x_0)</f>
        <v>0</v>
      </c>
      <c r="E105" s="1"/>
      <c r="F105" s="5">
        <f t="shared" si="31"/>
        <v>0</v>
      </c>
      <c r="G105" s="1"/>
      <c r="H105" s="1">
        <f>SUM(OSRRefH22_3x_0)</f>
        <v>0</v>
      </c>
      <c r="I105" s="1"/>
      <c r="J105" s="5">
        <f t="shared" si="32"/>
        <v>0</v>
      </c>
      <c r="K105" s="1"/>
      <c r="L105" s="1">
        <f t="shared" si="33"/>
        <v>0</v>
      </c>
      <c r="M105" s="1"/>
      <c r="N105" s="5">
        <f t="shared" si="34"/>
        <v>0</v>
      </c>
      <c r="O105" s="13"/>
      <c r="P105" s="1">
        <f>SUM(OSRRefP22_3x_0)</f>
        <v>0</v>
      </c>
      <c r="Q105" s="1"/>
      <c r="R105" s="5">
        <f t="shared" si="35"/>
        <v>0</v>
      </c>
      <c r="S105" s="1"/>
      <c r="T105" s="1">
        <f>SUM(OSRRefT22_3x_0)</f>
        <v>0</v>
      </c>
      <c r="U105" s="1"/>
      <c r="V105" s="5">
        <f t="shared" si="36"/>
        <v>0</v>
      </c>
      <c r="W105" s="1"/>
      <c r="X105" s="1">
        <f t="shared" si="37"/>
        <v>0</v>
      </c>
      <c r="Y105" s="1"/>
      <c r="Z105" s="5">
        <f t="shared" si="38"/>
        <v>0</v>
      </c>
    </row>
    <row r="106" spans="1:26" s="24" customFormat="1" hidden="1" outlineLevel="2" x14ac:dyDescent="0.25">
      <c r="A106" s="25"/>
      <c r="B106" s="11" t="str">
        <f>CONCATENATE("          ", "6272", " - ", "CASH (OVER/SHORT)")</f>
        <v xml:space="preserve">          6272 - CASH (OVER/SHORT)</v>
      </c>
      <c r="C106" s="11"/>
      <c r="D106" s="7"/>
      <c r="E106" s="2"/>
      <c r="F106" s="6">
        <f t="shared" si="31"/>
        <v>0</v>
      </c>
      <c r="G106" s="2"/>
      <c r="H106" s="7">
        <v>0</v>
      </c>
      <c r="I106" s="2"/>
      <c r="J106" s="6">
        <f t="shared" si="32"/>
        <v>0</v>
      </c>
      <c r="K106" s="2"/>
      <c r="L106" s="7">
        <f t="shared" si="33"/>
        <v>0</v>
      </c>
      <c r="M106" s="2"/>
      <c r="N106" s="6">
        <f t="shared" si="34"/>
        <v>0</v>
      </c>
      <c r="O106" s="11"/>
      <c r="P106" s="7"/>
      <c r="Q106" s="2"/>
      <c r="R106" s="6">
        <f t="shared" si="35"/>
        <v>0</v>
      </c>
      <c r="S106" s="2"/>
      <c r="T106" s="7">
        <v>0</v>
      </c>
      <c r="U106" s="2"/>
      <c r="V106" s="6">
        <f t="shared" si="36"/>
        <v>0</v>
      </c>
      <c r="W106" s="2"/>
      <c r="X106" s="7">
        <f t="shared" si="37"/>
        <v>0</v>
      </c>
      <c r="Y106" s="2"/>
      <c r="Z106" s="6">
        <f t="shared" si="38"/>
        <v>0</v>
      </c>
    </row>
    <row r="107" spans="1:26" s="27" customFormat="1" outlineLevel="1" collapsed="1" x14ac:dyDescent="0.25">
      <c r="A107" s="26"/>
      <c r="B107" s="13" t="str">
        <f>CONCATENATE("     ","Bank/card Fees                                    ")</f>
        <v xml:space="preserve">     Bank/card Fees                                    </v>
      </c>
      <c r="C107" s="13"/>
      <c r="D107" s="1">
        <f>SUM(OSRRefD22_4x_0)</f>
        <v>0</v>
      </c>
      <c r="E107" s="1"/>
      <c r="F107" s="5">
        <f t="shared" si="31"/>
        <v>0</v>
      </c>
      <c r="G107" s="1"/>
      <c r="H107" s="1">
        <f>SUM(OSRRefH22_4x_0)</f>
        <v>0</v>
      </c>
      <c r="I107" s="1"/>
      <c r="J107" s="5">
        <f t="shared" si="32"/>
        <v>0</v>
      </c>
      <c r="K107" s="1"/>
      <c r="L107" s="1">
        <f t="shared" si="33"/>
        <v>0</v>
      </c>
      <c r="M107" s="1"/>
      <c r="N107" s="5">
        <f t="shared" si="34"/>
        <v>0</v>
      </c>
      <c r="O107" s="13"/>
      <c r="P107" s="1">
        <f>SUM(OSRRefP22_4x_0)</f>
        <v>0</v>
      </c>
      <c r="Q107" s="1"/>
      <c r="R107" s="5">
        <f t="shared" si="35"/>
        <v>0</v>
      </c>
      <c r="S107" s="1"/>
      <c r="T107" s="1">
        <f>SUM(OSRRefT22_4x_0)</f>
        <v>0</v>
      </c>
      <c r="U107" s="1"/>
      <c r="V107" s="5">
        <f t="shared" si="36"/>
        <v>0</v>
      </c>
      <c r="W107" s="1"/>
      <c r="X107" s="1">
        <f t="shared" si="37"/>
        <v>0</v>
      </c>
      <c r="Y107" s="1"/>
      <c r="Z107" s="5">
        <f t="shared" si="38"/>
        <v>0</v>
      </c>
    </row>
    <row r="108" spans="1:26" s="24" customFormat="1" hidden="1" outlineLevel="2" x14ac:dyDescent="0.25">
      <c r="A108" s="25"/>
      <c r="B108" s="11" t="str">
        <f>CONCATENATE("          ", "6381", " - ", "BANK/CREDIT CARD FEES")</f>
        <v xml:space="preserve">          6381 - BANK/CREDIT CARD FEES</v>
      </c>
      <c r="C108" s="11"/>
      <c r="D108" s="7"/>
      <c r="E108" s="2"/>
      <c r="F108" s="6">
        <f t="shared" si="31"/>
        <v>0</v>
      </c>
      <c r="G108" s="2"/>
      <c r="H108" s="7">
        <v>0</v>
      </c>
      <c r="I108" s="2"/>
      <c r="J108" s="6">
        <f t="shared" si="32"/>
        <v>0</v>
      </c>
      <c r="K108" s="2"/>
      <c r="L108" s="7">
        <f t="shared" si="33"/>
        <v>0</v>
      </c>
      <c r="M108" s="2"/>
      <c r="N108" s="6">
        <f t="shared" si="34"/>
        <v>0</v>
      </c>
      <c r="O108" s="11"/>
      <c r="P108" s="7"/>
      <c r="Q108" s="2"/>
      <c r="R108" s="6">
        <f t="shared" si="35"/>
        <v>0</v>
      </c>
      <c r="S108" s="2"/>
      <c r="T108" s="7">
        <v>0</v>
      </c>
      <c r="U108" s="2"/>
      <c r="V108" s="6">
        <f t="shared" si="36"/>
        <v>0</v>
      </c>
      <c r="W108" s="2"/>
      <c r="X108" s="7">
        <f t="shared" si="37"/>
        <v>0</v>
      </c>
      <c r="Y108" s="2"/>
      <c r="Z108" s="6">
        <f t="shared" si="38"/>
        <v>0</v>
      </c>
    </row>
    <row r="109" spans="1:26" s="27" customFormat="1" outlineLevel="1" collapsed="1" x14ac:dyDescent="0.25">
      <c r="A109" s="26"/>
      <c r="B109" s="13" t="str">
        <f>CONCATENATE("     ","Discounts and Markdowns                           ")</f>
        <v xml:space="preserve">     Discounts and Markdowns                           </v>
      </c>
      <c r="C109" s="13"/>
      <c r="D109" s="1">
        <f>SUM(OSRRefD22_5x_0)</f>
        <v>0</v>
      </c>
      <c r="E109" s="1"/>
      <c r="F109" s="5">
        <f t="shared" si="31"/>
        <v>0</v>
      </c>
      <c r="G109" s="1"/>
      <c r="H109" s="1">
        <f>SUM(OSRRefH22_5x_0)</f>
        <v>30980</v>
      </c>
      <c r="I109" s="1"/>
      <c r="J109" s="5">
        <f t="shared" si="32"/>
        <v>7.5000665758007859E-2</v>
      </c>
      <c r="K109" s="1"/>
      <c r="L109" s="1">
        <f t="shared" si="33"/>
        <v>-30980</v>
      </c>
      <c r="M109" s="1"/>
      <c r="N109" s="5">
        <f t="shared" si="34"/>
        <v>-1</v>
      </c>
      <c r="O109" s="13"/>
      <c r="P109" s="1">
        <f>SUM(OSRRefP22_5x_0)</f>
        <v>0</v>
      </c>
      <c r="Q109" s="1"/>
      <c r="R109" s="5">
        <f t="shared" si="35"/>
        <v>0</v>
      </c>
      <c r="S109" s="1"/>
      <c r="T109" s="1">
        <f>SUM(OSRRefT22_5x_0)</f>
        <v>243102</v>
      </c>
      <c r="U109" s="1"/>
      <c r="V109" s="5">
        <f t="shared" si="36"/>
        <v>7.4999884307999864E-2</v>
      </c>
      <c r="W109" s="1"/>
      <c r="X109" s="1">
        <f t="shared" si="37"/>
        <v>-243102</v>
      </c>
      <c r="Y109" s="1"/>
      <c r="Z109" s="5">
        <f t="shared" si="38"/>
        <v>-1</v>
      </c>
    </row>
    <row r="110" spans="1:26" s="24" customFormat="1" hidden="1" outlineLevel="2" x14ac:dyDescent="0.25">
      <c r="A110" s="25"/>
      <c r="B110" s="11" t="str">
        <f>CONCATENATE("          ", "6382", " - ", "DISCOUNTS/MARK DOWNS")</f>
        <v xml:space="preserve">          6382 - DISCOUNTS/MARK DOWNS</v>
      </c>
      <c r="C110" s="11"/>
      <c r="D110" s="7">
        <v>0</v>
      </c>
      <c r="E110" s="2"/>
      <c r="F110" s="6">
        <f t="shared" si="31"/>
        <v>0</v>
      </c>
      <c r="G110" s="2"/>
      <c r="H110" s="7">
        <v>30980</v>
      </c>
      <c r="I110" s="2"/>
      <c r="J110" s="6">
        <f t="shared" si="32"/>
        <v>7.5000665758007859E-2</v>
      </c>
      <c r="K110" s="2"/>
      <c r="L110" s="7">
        <f t="shared" si="33"/>
        <v>-30980</v>
      </c>
      <c r="M110" s="2"/>
      <c r="N110" s="6">
        <f t="shared" si="34"/>
        <v>-1</v>
      </c>
      <c r="O110" s="11"/>
      <c r="P110" s="7">
        <v>0</v>
      </c>
      <c r="Q110" s="2"/>
      <c r="R110" s="6">
        <f t="shared" si="35"/>
        <v>0</v>
      </c>
      <c r="S110" s="2"/>
      <c r="T110" s="7">
        <v>243102</v>
      </c>
      <c r="U110" s="2"/>
      <c r="V110" s="6">
        <f t="shared" si="36"/>
        <v>7.4999884307999864E-2</v>
      </c>
      <c r="W110" s="2"/>
      <c r="X110" s="7">
        <f t="shared" si="37"/>
        <v>-243102</v>
      </c>
      <c r="Y110" s="2"/>
      <c r="Z110" s="6">
        <f t="shared" si="38"/>
        <v>-1</v>
      </c>
    </row>
    <row r="111" spans="1:26" s="24" customFormat="1" hidden="1" outlineLevel="2" x14ac:dyDescent="0.25">
      <c r="A111" s="25"/>
      <c r="B111" s="11" t="str">
        <f>CONCATENATE("          ", "9175", " - ", "EARNED DISCOUNTS")</f>
        <v xml:space="preserve">          9175 - EARNED DISCOUNTS</v>
      </c>
      <c r="C111" s="11"/>
      <c r="D111" s="7"/>
      <c r="E111" s="2"/>
      <c r="F111" s="6">
        <f t="shared" si="31"/>
        <v>0</v>
      </c>
      <c r="G111" s="2"/>
      <c r="H111" s="7"/>
      <c r="I111" s="2"/>
      <c r="J111" s="6">
        <f t="shared" si="32"/>
        <v>0</v>
      </c>
      <c r="K111" s="2"/>
      <c r="L111" s="7">
        <f t="shared" si="33"/>
        <v>0</v>
      </c>
      <c r="M111" s="2"/>
      <c r="N111" s="6">
        <f t="shared" si="34"/>
        <v>0</v>
      </c>
      <c r="O111" s="11"/>
      <c r="P111" s="7">
        <v>0</v>
      </c>
      <c r="Q111" s="2"/>
      <c r="R111" s="6">
        <f t="shared" si="35"/>
        <v>0</v>
      </c>
      <c r="S111" s="2"/>
      <c r="T111" s="7"/>
      <c r="U111" s="2"/>
      <c r="V111" s="6">
        <f t="shared" si="36"/>
        <v>0</v>
      </c>
      <c r="W111" s="2"/>
      <c r="X111" s="7">
        <f t="shared" si="37"/>
        <v>0</v>
      </c>
      <c r="Y111" s="2"/>
      <c r="Z111" s="6">
        <f t="shared" si="38"/>
        <v>0</v>
      </c>
    </row>
    <row r="112" spans="1:26" s="27" customFormat="1" outlineLevel="1" collapsed="1" x14ac:dyDescent="0.25">
      <c r="A112" s="26"/>
      <c r="B112" s="13" t="str">
        <f>CONCATENATE("     ","Employees' Appreciation                           ")</f>
        <v xml:space="preserve">     Employees' Appreciation                           </v>
      </c>
      <c r="C112" s="13"/>
      <c r="D112" s="1">
        <f>SUM(OSRRefD22_6x_0)</f>
        <v>0</v>
      </c>
      <c r="E112" s="1"/>
      <c r="F112" s="5">
        <f t="shared" ref="F112:F116" si="39">IF(D$12=0,0,D112/D$12)</f>
        <v>0</v>
      </c>
      <c r="G112" s="1"/>
      <c r="H112" s="1">
        <f>SUM(OSRRefH22_6x_0)</f>
        <v>150</v>
      </c>
      <c r="I112" s="1"/>
      <c r="J112" s="5">
        <f t="shared" ref="J112:J116" si="40">IF(H$12=0,0,H112/H$12)</f>
        <v>3.631407315591084E-4</v>
      </c>
      <c r="K112" s="1"/>
      <c r="L112" s="1">
        <f t="shared" ref="L112:L116" si="41">+D112-H112</f>
        <v>-150</v>
      </c>
      <c r="M112" s="1"/>
      <c r="N112" s="5">
        <f t="shared" ref="N112:N116" si="42">IF(H112=0,0,L112/H112)</f>
        <v>-1</v>
      </c>
      <c r="O112" s="13"/>
      <c r="P112" s="1">
        <f>SUM(OSRRefP22_6x_0)</f>
        <v>0</v>
      </c>
      <c r="Q112" s="1"/>
      <c r="R112" s="5">
        <f t="shared" ref="R112:R116" si="43">IF(P$12=0,0,P112/P$12)</f>
        <v>0</v>
      </c>
      <c r="S112" s="1"/>
      <c r="T112" s="1">
        <f>SUM(OSRRefT22_6x_0)</f>
        <v>1650</v>
      </c>
      <c r="U112" s="1"/>
      <c r="V112" s="5">
        <f t="shared" ref="V112:V116" si="44">IF(T$12=0,0,T112/T$12)</f>
        <v>5.0904480057013021E-4</v>
      </c>
      <c r="W112" s="1"/>
      <c r="X112" s="1">
        <f t="shared" ref="X112:X116" si="45">+P112-T112</f>
        <v>-1650</v>
      </c>
      <c r="Y112" s="1"/>
      <c r="Z112" s="5">
        <f t="shared" ref="Z112:Z116" si="46">IF(T112=0,0,X112/T112)</f>
        <v>-1</v>
      </c>
    </row>
    <row r="113" spans="1:26" s="24" customFormat="1" hidden="1" outlineLevel="2" x14ac:dyDescent="0.25">
      <c r="A113" s="25"/>
      <c r="B113" s="11" t="str">
        <f>CONCATENATE("          ", "6277", " - ", "EMPLOYEE APPRECIATION")</f>
        <v xml:space="preserve">          6277 - EMPLOYEE APPRECIATION</v>
      </c>
      <c r="C113" s="11"/>
      <c r="D113" s="7"/>
      <c r="E113" s="2"/>
      <c r="F113" s="6">
        <f t="shared" si="39"/>
        <v>0</v>
      </c>
      <c r="G113" s="2"/>
      <c r="H113" s="7">
        <v>150</v>
      </c>
      <c r="I113" s="2"/>
      <c r="J113" s="6">
        <f t="shared" si="40"/>
        <v>3.631407315591084E-4</v>
      </c>
      <c r="K113" s="2"/>
      <c r="L113" s="7">
        <f t="shared" si="41"/>
        <v>-150</v>
      </c>
      <c r="M113" s="2"/>
      <c r="N113" s="6">
        <f t="shared" si="42"/>
        <v>-1</v>
      </c>
      <c r="O113" s="11"/>
      <c r="P113" s="7"/>
      <c r="Q113" s="2"/>
      <c r="R113" s="6">
        <f t="shared" si="43"/>
        <v>0</v>
      </c>
      <c r="S113" s="2"/>
      <c r="T113" s="7">
        <v>1650</v>
      </c>
      <c r="U113" s="2"/>
      <c r="V113" s="6">
        <f t="shared" si="44"/>
        <v>5.0904480057013021E-4</v>
      </c>
      <c r="W113" s="2"/>
      <c r="X113" s="7">
        <f t="shared" si="45"/>
        <v>-1650</v>
      </c>
      <c r="Y113" s="2"/>
      <c r="Z113" s="6">
        <f t="shared" si="46"/>
        <v>-1</v>
      </c>
    </row>
    <row r="114" spans="1:26" s="27" customFormat="1" outlineLevel="1" collapsed="1" x14ac:dyDescent="0.25">
      <c r="A114" s="26"/>
      <c r="B114" s="13" t="str">
        <f>CONCATENATE("     ","Freight out/Postage                               ")</f>
        <v xml:space="preserve">     Freight out/Postage                               </v>
      </c>
      <c r="C114" s="13"/>
      <c r="D114" s="1">
        <f>SUM(OSRRefD22_7x_0)</f>
        <v>29.05</v>
      </c>
      <c r="E114" s="1"/>
      <c r="F114" s="5">
        <f t="shared" si="39"/>
        <v>7.3466533427120974E-5</v>
      </c>
      <c r="G114" s="1"/>
      <c r="H114" s="1">
        <f>SUM(OSRRefH22_7x_0)</f>
        <v>10</v>
      </c>
      <c r="I114" s="1"/>
      <c r="J114" s="5">
        <f t="shared" si="40"/>
        <v>2.4209382103940561E-5</v>
      </c>
      <c r="K114" s="1"/>
      <c r="L114" s="1">
        <f t="shared" si="41"/>
        <v>19.05</v>
      </c>
      <c r="M114" s="1"/>
      <c r="N114" s="5">
        <f t="shared" si="42"/>
        <v>1.905</v>
      </c>
      <c r="O114" s="13"/>
      <c r="P114" s="1">
        <f>SUM(OSRRefP22_7x_0)</f>
        <v>-146.84999999999997</v>
      </c>
      <c r="Q114" s="1"/>
      <c r="R114" s="5">
        <f t="shared" si="43"/>
        <v>-7.230048133214616E-5</v>
      </c>
      <c r="S114" s="1"/>
      <c r="T114" s="1">
        <f>SUM(OSRRefT22_7x_0)</f>
        <v>110</v>
      </c>
      <c r="U114" s="1"/>
      <c r="V114" s="5">
        <f t="shared" si="44"/>
        <v>3.3936320038008676E-5</v>
      </c>
      <c r="W114" s="1"/>
      <c r="X114" s="1">
        <f t="shared" si="45"/>
        <v>-256.84999999999997</v>
      </c>
      <c r="Y114" s="1"/>
      <c r="Z114" s="5">
        <f t="shared" si="46"/>
        <v>-2.3349999999999995</v>
      </c>
    </row>
    <row r="115" spans="1:26" s="24" customFormat="1" hidden="1" outlineLevel="2" x14ac:dyDescent="0.25">
      <c r="A115" s="25"/>
      <c r="B115" s="11" t="str">
        <f>CONCATENATE("          ", "6305", " - ", "FREIGHT OUT")</f>
        <v xml:space="preserve">          6305 - FREIGHT OUT</v>
      </c>
      <c r="C115" s="11"/>
      <c r="D115" s="7">
        <v>29.05</v>
      </c>
      <c r="E115" s="2"/>
      <c r="F115" s="6">
        <f t="shared" si="39"/>
        <v>7.3466533427120974E-5</v>
      </c>
      <c r="G115" s="2"/>
      <c r="H115" s="7"/>
      <c r="I115" s="2"/>
      <c r="J115" s="6">
        <f t="shared" si="40"/>
        <v>0</v>
      </c>
      <c r="K115" s="2"/>
      <c r="L115" s="7">
        <f t="shared" si="41"/>
        <v>29.05</v>
      </c>
      <c r="M115" s="2"/>
      <c r="N115" s="6">
        <f t="shared" si="42"/>
        <v>0</v>
      </c>
      <c r="O115" s="11"/>
      <c r="P115" s="7">
        <v>142.49</v>
      </c>
      <c r="Q115" s="2"/>
      <c r="R115" s="6">
        <f t="shared" si="43"/>
        <v>7.0153868471348375E-5</v>
      </c>
      <c r="S115" s="2"/>
      <c r="T115" s="7"/>
      <c r="U115" s="2"/>
      <c r="V115" s="6">
        <f t="shared" si="44"/>
        <v>0</v>
      </c>
      <c r="W115" s="2"/>
      <c r="X115" s="7">
        <f t="shared" si="45"/>
        <v>142.49</v>
      </c>
      <c r="Y115" s="2"/>
      <c r="Z115" s="6">
        <f t="shared" si="46"/>
        <v>0</v>
      </c>
    </row>
    <row r="116" spans="1:26" s="24" customFormat="1" hidden="1" outlineLevel="2" x14ac:dyDescent="0.25">
      <c r="A116" s="25"/>
      <c r="B116" s="11" t="str">
        <f>CONCATENATE("          ", "6307", " - ", "POSTAGE")</f>
        <v xml:space="preserve">          6307 - POSTAGE</v>
      </c>
      <c r="C116" s="11"/>
      <c r="D116" s="7"/>
      <c r="E116" s="2"/>
      <c r="F116" s="6">
        <f t="shared" si="39"/>
        <v>0</v>
      </c>
      <c r="G116" s="2"/>
      <c r="H116" s="7">
        <v>10</v>
      </c>
      <c r="I116" s="2"/>
      <c r="J116" s="6">
        <f t="shared" si="40"/>
        <v>2.4209382103940561E-5</v>
      </c>
      <c r="K116" s="2"/>
      <c r="L116" s="7">
        <f t="shared" si="41"/>
        <v>-10</v>
      </c>
      <c r="M116" s="2"/>
      <c r="N116" s="6">
        <f t="shared" si="42"/>
        <v>-1</v>
      </c>
      <c r="O116" s="11"/>
      <c r="P116" s="7">
        <v>-289.33999999999997</v>
      </c>
      <c r="Q116" s="2"/>
      <c r="R116" s="6">
        <f t="shared" si="43"/>
        <v>-1.4245434980349452E-4</v>
      </c>
      <c r="S116" s="2"/>
      <c r="T116" s="7">
        <v>110</v>
      </c>
      <c r="U116" s="2"/>
      <c r="V116" s="6">
        <f t="shared" si="44"/>
        <v>3.3936320038008676E-5</v>
      </c>
      <c r="W116" s="2"/>
      <c r="X116" s="7">
        <f t="shared" si="45"/>
        <v>-399.34</v>
      </c>
      <c r="Y116" s="2"/>
      <c r="Z116" s="6">
        <f t="shared" si="46"/>
        <v>-3.630363636363636</v>
      </c>
    </row>
    <row r="117" spans="1:26" s="27" customFormat="1" outlineLevel="1" collapsed="1" x14ac:dyDescent="0.25">
      <c r="A117" s="26"/>
      <c r="B117" s="13" t="str">
        <f>CONCATENATE("     ","General                                           ")</f>
        <v xml:space="preserve">     General                                           </v>
      </c>
      <c r="C117" s="13"/>
      <c r="D117" s="1">
        <f>SUM(OSRRefD22_8x_0)</f>
        <v>0</v>
      </c>
      <c r="E117" s="1"/>
      <c r="F117" s="5">
        <f t="shared" ref="F117:F121" si="47">IF(D$12=0,0,D117/D$12)</f>
        <v>0</v>
      </c>
      <c r="G117" s="1"/>
      <c r="H117" s="1">
        <f>SUM(OSRRefH22_8x_0)</f>
        <v>0</v>
      </c>
      <c r="I117" s="1"/>
      <c r="J117" s="5">
        <f t="shared" ref="J117:J121" si="48">IF(H$12=0,0,H117/H$12)</f>
        <v>0</v>
      </c>
      <c r="K117" s="1"/>
      <c r="L117" s="1">
        <f t="shared" ref="L117:L121" si="49">+D117-H117</f>
        <v>0</v>
      </c>
      <c r="M117" s="1"/>
      <c r="N117" s="5">
        <f t="shared" ref="N117:N121" si="50">IF(H117=0,0,L117/H117)</f>
        <v>0</v>
      </c>
      <c r="O117" s="13"/>
      <c r="P117" s="1">
        <f>SUM(OSRRefP22_8x_0)</f>
        <v>0</v>
      </c>
      <c r="Q117" s="1"/>
      <c r="R117" s="5">
        <f t="shared" ref="R117:R121" si="51">IF(P$12=0,0,P117/P$12)</f>
        <v>0</v>
      </c>
      <c r="S117" s="1"/>
      <c r="T117" s="1">
        <f>SUM(OSRRefT22_8x_0)</f>
        <v>500</v>
      </c>
      <c r="U117" s="1"/>
      <c r="V117" s="5">
        <f t="shared" ref="V117:V121" si="52">IF(T$12=0,0,T117/T$12)</f>
        <v>1.5425600017276672E-4</v>
      </c>
      <c r="W117" s="1"/>
      <c r="X117" s="1">
        <f t="shared" ref="X117:X121" si="53">+P117-T117</f>
        <v>-500</v>
      </c>
      <c r="Y117" s="1"/>
      <c r="Z117" s="5">
        <f t="shared" ref="Z117:Z121" si="54">IF(T117=0,0,X117/T117)</f>
        <v>-1</v>
      </c>
    </row>
    <row r="118" spans="1:26" s="24" customFormat="1" hidden="1" outlineLevel="2" x14ac:dyDescent="0.25">
      <c r="A118" s="25"/>
      <c r="B118" s="11" t="str">
        <f>CONCATENATE("          ", "6279", " - ", "GENERAL EXPENSE")</f>
        <v xml:space="preserve">          6279 - GENERAL EXPENSE</v>
      </c>
      <c r="C118" s="11"/>
      <c r="D118" s="7"/>
      <c r="E118" s="2"/>
      <c r="F118" s="6">
        <f t="shared" si="47"/>
        <v>0</v>
      </c>
      <c r="G118" s="2"/>
      <c r="H118" s="7">
        <v>0</v>
      </c>
      <c r="I118" s="2"/>
      <c r="J118" s="6">
        <f t="shared" si="48"/>
        <v>0</v>
      </c>
      <c r="K118" s="2"/>
      <c r="L118" s="7">
        <f t="shared" si="49"/>
        <v>0</v>
      </c>
      <c r="M118" s="2"/>
      <c r="N118" s="6">
        <f t="shared" si="50"/>
        <v>0</v>
      </c>
      <c r="O118" s="11"/>
      <c r="P118" s="7"/>
      <c r="Q118" s="2"/>
      <c r="R118" s="6">
        <f t="shared" si="51"/>
        <v>0</v>
      </c>
      <c r="S118" s="2"/>
      <c r="T118" s="7">
        <v>500</v>
      </c>
      <c r="U118" s="2"/>
      <c r="V118" s="6">
        <f t="shared" si="52"/>
        <v>1.5425600017276672E-4</v>
      </c>
      <c r="W118" s="2"/>
      <c r="X118" s="7">
        <f t="shared" si="53"/>
        <v>-500</v>
      </c>
      <c r="Y118" s="2"/>
      <c r="Z118" s="6">
        <f t="shared" si="54"/>
        <v>-1</v>
      </c>
    </row>
    <row r="119" spans="1:26" s="27" customFormat="1" outlineLevel="1" collapsed="1" x14ac:dyDescent="0.25">
      <c r="A119" s="26"/>
      <c r="B119" s="13" t="str">
        <f>CONCATENATE("     ","Inventory Adjustment                              ")</f>
        <v xml:space="preserve">     Inventory Adjustment                              </v>
      </c>
      <c r="C119" s="13"/>
      <c r="D119" s="1">
        <f>SUM(OSRRefD22_9x_0)</f>
        <v>1000</v>
      </c>
      <c r="E119" s="1"/>
      <c r="F119" s="5">
        <f t="shared" si="47"/>
        <v>2.5289684484378992E-3</v>
      </c>
      <c r="G119" s="1"/>
      <c r="H119" s="1">
        <f>SUM(OSRRefH22_9x_0)</f>
        <v>1000</v>
      </c>
      <c r="I119" s="1"/>
      <c r="J119" s="5">
        <f t="shared" si="48"/>
        <v>2.420938210394056E-3</v>
      </c>
      <c r="K119" s="1"/>
      <c r="L119" s="1">
        <f t="shared" si="49"/>
        <v>0</v>
      </c>
      <c r="M119" s="1"/>
      <c r="N119" s="5">
        <f t="shared" si="50"/>
        <v>0</v>
      </c>
      <c r="O119" s="13"/>
      <c r="P119" s="1">
        <f>SUM(OSRRefP22_9x_0)</f>
        <v>11000</v>
      </c>
      <c r="Q119" s="1"/>
      <c r="R119" s="5">
        <f t="shared" si="51"/>
        <v>5.4157663919210614E-3</v>
      </c>
      <c r="S119" s="1"/>
      <c r="T119" s="1">
        <f>SUM(OSRRefT22_9x_0)</f>
        <v>11000</v>
      </c>
      <c r="U119" s="1"/>
      <c r="V119" s="5">
        <f t="shared" si="52"/>
        <v>3.3936320038008678E-3</v>
      </c>
      <c r="W119" s="1"/>
      <c r="X119" s="1">
        <f t="shared" si="53"/>
        <v>0</v>
      </c>
      <c r="Y119" s="1"/>
      <c r="Z119" s="5">
        <f t="shared" si="54"/>
        <v>0</v>
      </c>
    </row>
    <row r="120" spans="1:26" s="24" customFormat="1" hidden="1" outlineLevel="2" x14ac:dyDescent="0.25">
      <c r="A120" s="25"/>
      <c r="B120" s="11" t="str">
        <f>CONCATENATE("          ", "6408", " - ", "INVENTORY ADJUSTMENT")</f>
        <v xml:space="preserve">          6408 - INVENTORY ADJUSTMENT</v>
      </c>
      <c r="C120" s="11"/>
      <c r="D120" s="7">
        <v>1000</v>
      </c>
      <c r="E120" s="2"/>
      <c r="F120" s="6">
        <f t="shared" si="47"/>
        <v>2.5289684484378992E-3</v>
      </c>
      <c r="G120" s="2"/>
      <c r="H120" s="7">
        <v>1000</v>
      </c>
      <c r="I120" s="2"/>
      <c r="J120" s="6">
        <f t="shared" si="48"/>
        <v>2.420938210394056E-3</v>
      </c>
      <c r="K120" s="2"/>
      <c r="L120" s="7">
        <f t="shared" si="49"/>
        <v>0</v>
      </c>
      <c r="M120" s="2"/>
      <c r="N120" s="6">
        <f t="shared" si="50"/>
        <v>0</v>
      </c>
      <c r="O120" s="11"/>
      <c r="P120" s="7">
        <v>11000</v>
      </c>
      <c r="Q120" s="2"/>
      <c r="R120" s="6">
        <f t="shared" si="51"/>
        <v>5.4157663919210614E-3</v>
      </c>
      <c r="S120" s="2"/>
      <c r="T120" s="7">
        <v>11000</v>
      </c>
      <c r="U120" s="2"/>
      <c r="V120" s="6">
        <f t="shared" si="52"/>
        <v>3.3936320038008678E-3</v>
      </c>
      <c r="W120" s="2"/>
      <c r="X120" s="7">
        <f t="shared" si="53"/>
        <v>0</v>
      </c>
      <c r="Y120" s="2"/>
      <c r="Z120" s="6">
        <f t="shared" si="54"/>
        <v>0</v>
      </c>
    </row>
    <row r="121" spans="1:26" s="24" customFormat="1" hidden="1" outlineLevel="2" x14ac:dyDescent="0.25">
      <c r="A121" s="25"/>
      <c r="B121" s="11" t="str">
        <f>CONCATENATE("          ", "7741", " - ", "INV. SHRINKAGE-LOGO GIFTS")</f>
        <v xml:space="preserve">          7741 - INV. SHRINKAGE-LOGO GIFTS</v>
      </c>
      <c r="C121" s="11"/>
      <c r="D121" s="7"/>
      <c r="E121" s="2"/>
      <c r="F121" s="6">
        <f t="shared" si="47"/>
        <v>0</v>
      </c>
      <c r="G121" s="2"/>
      <c r="H121" s="7"/>
      <c r="I121" s="2"/>
      <c r="J121" s="6">
        <f t="shared" si="48"/>
        <v>0</v>
      </c>
      <c r="K121" s="2"/>
      <c r="L121" s="7">
        <f t="shared" si="49"/>
        <v>0</v>
      </c>
      <c r="M121" s="2"/>
      <c r="N121" s="6">
        <f t="shared" si="50"/>
        <v>0</v>
      </c>
      <c r="O121" s="11"/>
      <c r="P121" s="7">
        <v>0</v>
      </c>
      <c r="Q121" s="2"/>
      <c r="R121" s="6">
        <f t="shared" si="51"/>
        <v>0</v>
      </c>
      <c r="S121" s="2"/>
      <c r="T121" s="7"/>
      <c r="U121" s="2"/>
      <c r="V121" s="6">
        <f t="shared" si="52"/>
        <v>0</v>
      </c>
      <c r="W121" s="2"/>
      <c r="X121" s="7">
        <f t="shared" si="53"/>
        <v>0</v>
      </c>
      <c r="Y121" s="2"/>
      <c r="Z121" s="6">
        <f t="shared" si="54"/>
        <v>0</v>
      </c>
    </row>
    <row r="122" spans="1:26" s="27" customFormat="1" outlineLevel="1" collapsed="1" x14ac:dyDescent="0.25">
      <c r="A122" s="26"/>
      <c r="B122" s="13" t="str">
        <f>CONCATENATE("     ","Professional Services                             ")</f>
        <v xml:space="preserve">     Professional Services                             </v>
      </c>
      <c r="C122" s="13"/>
      <c r="D122" s="1">
        <f>SUM(OSRRefD22_10x_0)</f>
        <v>0</v>
      </c>
      <c r="E122" s="1"/>
      <c r="F122" s="5">
        <f t="shared" ref="F122:F129" si="55">IF(D$12=0,0,D122/D$12)</f>
        <v>0</v>
      </c>
      <c r="G122" s="1"/>
      <c r="H122" s="1">
        <f>SUM(OSRRefH22_10x_0)</f>
        <v>0</v>
      </c>
      <c r="I122" s="1"/>
      <c r="J122" s="5">
        <f t="shared" ref="J122:J129" si="56">IF(H$12=0,0,H122/H$12)</f>
        <v>0</v>
      </c>
      <c r="K122" s="1"/>
      <c r="L122" s="1">
        <f t="shared" ref="L122:L129" si="57">+D122-H122</f>
        <v>0</v>
      </c>
      <c r="M122" s="1"/>
      <c r="N122" s="5">
        <f t="shared" ref="N122:N129" si="58">IF(H122=0,0,L122/H122)</f>
        <v>0</v>
      </c>
      <c r="O122" s="13"/>
      <c r="P122" s="1">
        <f>SUM(OSRRefP22_10x_0)</f>
        <v>0</v>
      </c>
      <c r="Q122" s="1"/>
      <c r="R122" s="5">
        <f t="shared" ref="R122:R129" si="59">IF(P$12=0,0,P122/P$12)</f>
        <v>0</v>
      </c>
      <c r="S122" s="1"/>
      <c r="T122" s="1">
        <f>SUM(OSRRefT22_10x_0)</f>
        <v>5750</v>
      </c>
      <c r="U122" s="1"/>
      <c r="V122" s="5">
        <f t="shared" ref="V122:V129" si="60">IF(T$12=0,0,T122/T$12)</f>
        <v>1.7739440019868173E-3</v>
      </c>
      <c r="W122" s="1"/>
      <c r="X122" s="1">
        <f t="shared" ref="X122:X129" si="61">+P122-T122</f>
        <v>-5750</v>
      </c>
      <c r="Y122" s="1"/>
      <c r="Z122" s="5">
        <f t="shared" ref="Z122:Z129" si="62">IF(T122=0,0,X122/T122)</f>
        <v>-1</v>
      </c>
    </row>
    <row r="123" spans="1:26" s="24" customFormat="1" hidden="1" outlineLevel="2" x14ac:dyDescent="0.25">
      <c r="A123" s="25"/>
      <c r="B123" s="11" t="str">
        <f>CONCATENATE("          ", "6336", " - ", "PROFESSIONAL SERVICES")</f>
        <v xml:space="preserve">          6336 - PROFESSIONAL SERVICES</v>
      </c>
      <c r="C123" s="11"/>
      <c r="D123" s="7"/>
      <c r="E123" s="2"/>
      <c r="F123" s="6">
        <f t="shared" si="55"/>
        <v>0</v>
      </c>
      <c r="G123" s="2"/>
      <c r="H123" s="7">
        <v>0</v>
      </c>
      <c r="I123" s="2"/>
      <c r="J123" s="6">
        <f t="shared" si="56"/>
        <v>0</v>
      </c>
      <c r="K123" s="2"/>
      <c r="L123" s="7">
        <f t="shared" si="57"/>
        <v>0</v>
      </c>
      <c r="M123" s="2"/>
      <c r="N123" s="6">
        <f t="shared" si="58"/>
        <v>0</v>
      </c>
      <c r="O123" s="11"/>
      <c r="P123" s="7"/>
      <c r="Q123" s="2"/>
      <c r="R123" s="6">
        <f t="shared" si="59"/>
        <v>0</v>
      </c>
      <c r="S123" s="2"/>
      <c r="T123" s="7">
        <v>5750</v>
      </c>
      <c r="U123" s="2"/>
      <c r="V123" s="6">
        <f t="shared" si="60"/>
        <v>1.7739440019868173E-3</v>
      </c>
      <c r="W123" s="2"/>
      <c r="X123" s="7">
        <f t="shared" si="61"/>
        <v>-5750</v>
      </c>
      <c r="Y123" s="2"/>
      <c r="Z123" s="6">
        <f t="shared" si="62"/>
        <v>-1</v>
      </c>
    </row>
    <row r="124" spans="1:26" s="27" customFormat="1" outlineLevel="1" collapsed="1" x14ac:dyDescent="0.25">
      <c r="A124" s="26"/>
      <c r="B124" s="13" t="str">
        <f>CONCATENATE("     ","Repair and Maintenance                            ")</f>
        <v xml:space="preserve">     Repair and Maintenance                            </v>
      </c>
      <c r="C124" s="13"/>
      <c r="D124" s="1">
        <f>SUM(OSRRefD22_11x_0)</f>
        <v>0</v>
      </c>
      <c r="E124" s="1"/>
      <c r="F124" s="5">
        <f t="shared" si="55"/>
        <v>0</v>
      </c>
      <c r="G124" s="1"/>
      <c r="H124" s="1">
        <f>SUM(OSRRefH22_11x_0)</f>
        <v>50</v>
      </c>
      <c r="I124" s="1"/>
      <c r="J124" s="5">
        <f t="shared" si="56"/>
        <v>1.210469105197028E-4</v>
      </c>
      <c r="K124" s="1"/>
      <c r="L124" s="1">
        <f t="shared" si="57"/>
        <v>-50</v>
      </c>
      <c r="M124" s="1"/>
      <c r="N124" s="5">
        <f t="shared" si="58"/>
        <v>-1</v>
      </c>
      <c r="O124" s="13"/>
      <c r="P124" s="1">
        <f>SUM(OSRRefP22_11x_0)</f>
        <v>0</v>
      </c>
      <c r="Q124" s="1"/>
      <c r="R124" s="5">
        <f t="shared" si="59"/>
        <v>0</v>
      </c>
      <c r="S124" s="1"/>
      <c r="T124" s="1">
        <f>SUM(OSRRefT22_11x_0)</f>
        <v>1400</v>
      </c>
      <c r="U124" s="1"/>
      <c r="V124" s="5">
        <f t="shared" si="60"/>
        <v>4.319168004837468E-4</v>
      </c>
      <c r="W124" s="1"/>
      <c r="X124" s="1">
        <f t="shared" si="61"/>
        <v>-1400</v>
      </c>
      <c r="Y124" s="1"/>
      <c r="Z124" s="5">
        <f t="shared" si="62"/>
        <v>-1</v>
      </c>
    </row>
    <row r="125" spans="1:26" s="24" customFormat="1" hidden="1" outlineLevel="2" x14ac:dyDescent="0.25">
      <c r="A125" s="25"/>
      <c r="B125" s="11" t="str">
        <f>CONCATENATE("          ", "6375", " - ", "OUTSIDE REPAIRS &amp; MAINTENANCE")</f>
        <v xml:space="preserve">          6375 - OUTSIDE REPAIRS &amp; MAINTENANCE</v>
      </c>
      <c r="C125" s="11"/>
      <c r="D125" s="7"/>
      <c r="E125" s="2"/>
      <c r="F125" s="6">
        <f t="shared" si="55"/>
        <v>0</v>
      </c>
      <c r="G125" s="2"/>
      <c r="H125" s="7">
        <v>50</v>
      </c>
      <c r="I125" s="2"/>
      <c r="J125" s="6">
        <f t="shared" si="56"/>
        <v>1.210469105197028E-4</v>
      </c>
      <c r="K125" s="2"/>
      <c r="L125" s="7">
        <f t="shared" si="57"/>
        <v>-50</v>
      </c>
      <c r="M125" s="2"/>
      <c r="N125" s="6">
        <f t="shared" si="58"/>
        <v>-1</v>
      </c>
      <c r="O125" s="11"/>
      <c r="P125" s="7"/>
      <c r="Q125" s="2"/>
      <c r="R125" s="6">
        <f t="shared" si="59"/>
        <v>0</v>
      </c>
      <c r="S125" s="2"/>
      <c r="T125" s="7">
        <v>1400</v>
      </c>
      <c r="U125" s="2"/>
      <c r="V125" s="6">
        <f t="shared" si="60"/>
        <v>4.319168004837468E-4</v>
      </c>
      <c r="W125" s="2"/>
      <c r="X125" s="7">
        <f t="shared" si="61"/>
        <v>-1400</v>
      </c>
      <c r="Y125" s="2"/>
      <c r="Z125" s="6">
        <f t="shared" si="62"/>
        <v>-1</v>
      </c>
    </row>
    <row r="126" spans="1:26" s="27" customFormat="1" outlineLevel="1" collapsed="1" x14ac:dyDescent="0.25">
      <c r="A126" s="26"/>
      <c r="B126" s="13" t="str">
        <f>CONCATENATE("     ","Royalty &amp; Commissions                             ")</f>
        <v xml:space="preserve">     Royalty &amp; Commissions                             </v>
      </c>
      <c r="C126" s="13"/>
      <c r="D126" s="1">
        <f>SUM(OSRRefD22_12x_0)</f>
        <v>0</v>
      </c>
      <c r="E126" s="1"/>
      <c r="F126" s="5">
        <f t="shared" si="55"/>
        <v>0</v>
      </c>
      <c r="G126" s="1"/>
      <c r="H126" s="1">
        <f>SUM(OSRRefH22_12x_0)</f>
        <v>6271</v>
      </c>
      <c r="I126" s="1"/>
      <c r="J126" s="5">
        <f t="shared" si="56"/>
        <v>1.5181703517381125E-2</v>
      </c>
      <c r="K126" s="1"/>
      <c r="L126" s="1">
        <f t="shared" si="57"/>
        <v>-6271</v>
      </c>
      <c r="M126" s="1"/>
      <c r="N126" s="5">
        <f t="shared" si="58"/>
        <v>-1</v>
      </c>
      <c r="O126" s="13"/>
      <c r="P126" s="1">
        <f>SUM(OSRRefP22_12x_0)</f>
        <v>35159.06</v>
      </c>
      <c r="Q126" s="1"/>
      <c r="R126" s="5">
        <f t="shared" si="59"/>
        <v>1.7310295956321463E-2</v>
      </c>
      <c r="S126" s="1"/>
      <c r="T126" s="1">
        <f>SUM(OSRRefT22_12x_0)</f>
        <v>68981</v>
      </c>
      <c r="U126" s="1"/>
      <c r="V126" s="5">
        <f t="shared" si="60"/>
        <v>2.1281466295835241E-2</v>
      </c>
      <c r="W126" s="1"/>
      <c r="X126" s="1">
        <f t="shared" si="61"/>
        <v>-33821.94</v>
      </c>
      <c r="Y126" s="1"/>
      <c r="Z126" s="5">
        <f t="shared" si="62"/>
        <v>-0.49030805584146364</v>
      </c>
    </row>
    <row r="127" spans="1:26" s="24" customFormat="1" hidden="1" outlineLevel="2" x14ac:dyDescent="0.25">
      <c r="A127" s="25"/>
      <c r="B127" s="11" t="str">
        <f>CONCATENATE("          ", "6252", " - ", "ROYALTY DUE CSTV")</f>
        <v xml:space="preserve">          6252 - ROYALTY DUE CSTV</v>
      </c>
      <c r="C127" s="11"/>
      <c r="D127" s="7"/>
      <c r="E127" s="2"/>
      <c r="F127" s="6">
        <f t="shared" si="55"/>
        <v>0</v>
      </c>
      <c r="G127" s="2"/>
      <c r="H127" s="7">
        <v>1085</v>
      </c>
      <c r="I127" s="2"/>
      <c r="J127" s="6">
        <f t="shared" si="56"/>
        <v>2.6267179582775508E-3</v>
      </c>
      <c r="K127" s="2"/>
      <c r="L127" s="7">
        <f t="shared" si="57"/>
        <v>-1085</v>
      </c>
      <c r="M127" s="2"/>
      <c r="N127" s="6">
        <f t="shared" si="58"/>
        <v>-1</v>
      </c>
      <c r="O127" s="11"/>
      <c r="P127" s="7"/>
      <c r="Q127" s="2"/>
      <c r="R127" s="6">
        <f t="shared" si="59"/>
        <v>0</v>
      </c>
      <c r="S127" s="2"/>
      <c r="T127" s="7">
        <v>11935</v>
      </c>
      <c r="U127" s="2"/>
      <c r="V127" s="6">
        <f t="shared" si="60"/>
        <v>3.6820907241239416E-3</v>
      </c>
      <c r="W127" s="2"/>
      <c r="X127" s="7">
        <f t="shared" si="61"/>
        <v>-11935</v>
      </c>
      <c r="Y127" s="2"/>
      <c r="Z127" s="6">
        <f t="shared" si="62"/>
        <v>-1</v>
      </c>
    </row>
    <row r="128" spans="1:26" s="24" customFormat="1" hidden="1" outlineLevel="2" x14ac:dyDescent="0.25">
      <c r="A128" s="25"/>
      <c r="B128" s="11" t="str">
        <f>CONCATENATE("          ", "6253", " - ", "ROYALTY DUE ATHLETICS-LRG")</f>
        <v xml:space="preserve">          6253 - ROYALTY DUE ATHLETICS-LRG</v>
      </c>
      <c r="C128" s="11"/>
      <c r="D128" s="7"/>
      <c r="E128" s="2"/>
      <c r="F128" s="6">
        <f t="shared" si="55"/>
        <v>0</v>
      </c>
      <c r="G128" s="2"/>
      <c r="H128" s="7">
        <v>4037</v>
      </c>
      <c r="I128" s="2"/>
      <c r="J128" s="6">
        <f t="shared" si="56"/>
        <v>9.7733275553608043E-3</v>
      </c>
      <c r="K128" s="2"/>
      <c r="L128" s="7">
        <f t="shared" si="57"/>
        <v>-4037</v>
      </c>
      <c r="M128" s="2"/>
      <c r="N128" s="6">
        <f t="shared" si="58"/>
        <v>-1</v>
      </c>
      <c r="O128" s="11"/>
      <c r="P128" s="7">
        <v>35159.06</v>
      </c>
      <c r="Q128" s="2"/>
      <c r="R128" s="6">
        <f t="shared" si="59"/>
        <v>1.7310295956321463E-2</v>
      </c>
      <c r="S128" s="2"/>
      <c r="T128" s="7">
        <v>44407</v>
      </c>
      <c r="U128" s="2"/>
      <c r="V128" s="6">
        <f t="shared" si="60"/>
        <v>1.3700092399344103E-2</v>
      </c>
      <c r="W128" s="2"/>
      <c r="X128" s="7">
        <f t="shared" si="61"/>
        <v>-9247.9400000000023</v>
      </c>
      <c r="Y128" s="2"/>
      <c r="Z128" s="6">
        <f t="shared" si="62"/>
        <v>-0.20825410408268971</v>
      </c>
    </row>
    <row r="129" spans="1:26" s="24" customFormat="1" hidden="1" outlineLevel="2" x14ac:dyDescent="0.25">
      <c r="A129" s="25"/>
      <c r="B129" s="11" t="str">
        <f>CONCATENATE("          ", "6254", " - ", "ROYALTY &amp; COMMISSIONS")</f>
        <v xml:space="preserve">          6254 - ROYALTY &amp; COMMISSIONS</v>
      </c>
      <c r="C129" s="11"/>
      <c r="D129" s="7"/>
      <c r="E129" s="2"/>
      <c r="F129" s="6">
        <f t="shared" si="55"/>
        <v>0</v>
      </c>
      <c r="G129" s="2"/>
      <c r="H129" s="7">
        <v>1149</v>
      </c>
      <c r="I129" s="2"/>
      <c r="J129" s="6">
        <f t="shared" si="56"/>
        <v>2.7816580037427706E-3</v>
      </c>
      <c r="K129" s="2"/>
      <c r="L129" s="7">
        <f t="shared" si="57"/>
        <v>-1149</v>
      </c>
      <c r="M129" s="2"/>
      <c r="N129" s="6">
        <f t="shared" si="58"/>
        <v>-1</v>
      </c>
      <c r="O129" s="11"/>
      <c r="P129" s="7"/>
      <c r="Q129" s="2"/>
      <c r="R129" s="6">
        <f t="shared" si="59"/>
        <v>0</v>
      </c>
      <c r="S129" s="2"/>
      <c r="T129" s="7">
        <v>12639</v>
      </c>
      <c r="U129" s="2"/>
      <c r="V129" s="6">
        <f t="shared" si="60"/>
        <v>3.8992831723671973E-3</v>
      </c>
      <c r="W129" s="2"/>
      <c r="X129" s="7">
        <f t="shared" si="61"/>
        <v>-12639</v>
      </c>
      <c r="Y129" s="2"/>
      <c r="Z129" s="6">
        <f t="shared" si="62"/>
        <v>-1</v>
      </c>
    </row>
    <row r="130" spans="1:26" s="27" customFormat="1" outlineLevel="1" collapsed="1" x14ac:dyDescent="0.25">
      <c r="A130" s="26"/>
      <c r="B130" s="13" t="str">
        <f>CONCATENATE("     ","Subscriptions &amp; Dues                              ")</f>
        <v xml:space="preserve">     Subscriptions &amp; Dues                              </v>
      </c>
      <c r="C130" s="13"/>
      <c r="D130" s="1">
        <f>SUM(OSRRefD22_13x_0)</f>
        <v>25.15</v>
      </c>
      <c r="E130" s="1"/>
      <c r="F130" s="5">
        <f t="shared" ref="F130:F132" si="63">IF(D$12=0,0,D130/D$12)</f>
        <v>6.3603556478213154E-5</v>
      </c>
      <c r="G130" s="1"/>
      <c r="H130" s="1">
        <f>SUM(OSRRefH22_13x_0)</f>
        <v>0</v>
      </c>
      <c r="I130" s="1"/>
      <c r="J130" s="5">
        <f t="shared" ref="J130:J132" si="64">IF(H$12=0,0,H130/H$12)</f>
        <v>0</v>
      </c>
      <c r="K130" s="1"/>
      <c r="L130" s="1">
        <f t="shared" ref="L130:L132" si="65">+D130-H130</f>
        <v>25.15</v>
      </c>
      <c r="M130" s="1"/>
      <c r="N130" s="5">
        <f t="shared" ref="N130:N132" si="66">IF(H130=0,0,L130/H130)</f>
        <v>0</v>
      </c>
      <c r="O130" s="13"/>
      <c r="P130" s="1">
        <f>SUM(OSRRefP22_13x_0)</f>
        <v>-206.41999999999996</v>
      </c>
      <c r="Q130" s="1"/>
      <c r="R130" s="5">
        <f t="shared" ref="R130:R132" si="67">IF(P$12=0,0,P130/P$12)</f>
        <v>-1.0162931805639502E-4</v>
      </c>
      <c r="S130" s="1"/>
      <c r="T130" s="1">
        <f>SUM(OSRRefT22_13x_0)</f>
        <v>1000</v>
      </c>
      <c r="U130" s="1"/>
      <c r="V130" s="5">
        <f t="shared" ref="V130:V132" si="68">IF(T$12=0,0,T130/T$12)</f>
        <v>3.0851200034553343E-4</v>
      </c>
      <c r="W130" s="1"/>
      <c r="X130" s="1">
        <f t="shared" ref="X130:X132" si="69">+P130-T130</f>
        <v>-1206.42</v>
      </c>
      <c r="Y130" s="1"/>
      <c r="Z130" s="5">
        <f t="shared" ref="Z130:Z132" si="70">IF(T130=0,0,X130/T130)</f>
        <v>-1.20642</v>
      </c>
    </row>
    <row r="131" spans="1:26" s="24" customFormat="1" hidden="1" outlineLevel="2" x14ac:dyDescent="0.25">
      <c r="A131" s="25"/>
      <c r="B131" s="11" t="str">
        <f>CONCATENATE("          ", "6258", " - ", "MEMBERSHIP DUES")</f>
        <v xml:space="preserve">          6258 - MEMBERSHIP DUES</v>
      </c>
      <c r="C131" s="11"/>
      <c r="D131" s="7">
        <v>25.15</v>
      </c>
      <c r="E131" s="2"/>
      <c r="F131" s="6">
        <f t="shared" si="63"/>
        <v>6.3603556478213154E-5</v>
      </c>
      <c r="G131" s="2"/>
      <c r="H131" s="7">
        <v>0</v>
      </c>
      <c r="I131" s="2"/>
      <c r="J131" s="6">
        <f t="shared" si="64"/>
        <v>0</v>
      </c>
      <c r="K131" s="2"/>
      <c r="L131" s="7">
        <f t="shared" si="65"/>
        <v>25.15</v>
      </c>
      <c r="M131" s="2"/>
      <c r="N131" s="6">
        <f t="shared" si="66"/>
        <v>0</v>
      </c>
      <c r="O131" s="11"/>
      <c r="P131" s="7">
        <v>-282.14999999999998</v>
      </c>
      <c r="Q131" s="2"/>
      <c r="R131" s="6">
        <f t="shared" si="67"/>
        <v>-1.3891440795277523E-4</v>
      </c>
      <c r="S131" s="2"/>
      <c r="T131" s="7">
        <v>1000</v>
      </c>
      <c r="U131" s="2"/>
      <c r="V131" s="6">
        <f t="shared" si="68"/>
        <v>3.0851200034553343E-4</v>
      </c>
      <c r="W131" s="2"/>
      <c r="X131" s="7">
        <f t="shared" si="69"/>
        <v>-1282.1500000000001</v>
      </c>
      <c r="Y131" s="2"/>
      <c r="Z131" s="6">
        <f t="shared" si="70"/>
        <v>-1.2821500000000001</v>
      </c>
    </row>
    <row r="132" spans="1:26" s="24" customFormat="1" hidden="1" outlineLevel="2" x14ac:dyDescent="0.25">
      <c r="A132" s="25"/>
      <c r="B132" s="11" t="str">
        <f>CONCATENATE("          ", "6275", " - ", "SUBSCRIPTIONS")</f>
        <v xml:space="preserve">          6275 - SUBSCRIPTIONS</v>
      </c>
      <c r="C132" s="11"/>
      <c r="D132" s="7"/>
      <c r="E132" s="2"/>
      <c r="F132" s="6">
        <f t="shared" si="63"/>
        <v>0</v>
      </c>
      <c r="G132" s="2"/>
      <c r="H132" s="7"/>
      <c r="I132" s="2"/>
      <c r="J132" s="6">
        <f t="shared" si="64"/>
        <v>0</v>
      </c>
      <c r="K132" s="2"/>
      <c r="L132" s="7">
        <f t="shared" si="65"/>
        <v>0</v>
      </c>
      <c r="M132" s="2"/>
      <c r="N132" s="6">
        <f t="shared" si="66"/>
        <v>0</v>
      </c>
      <c r="O132" s="11"/>
      <c r="P132" s="7">
        <v>75.73</v>
      </c>
      <c r="Q132" s="2"/>
      <c r="R132" s="6">
        <f t="shared" si="67"/>
        <v>3.7285089896380182E-5</v>
      </c>
      <c r="S132" s="2"/>
      <c r="T132" s="7">
        <v>0</v>
      </c>
      <c r="U132" s="2"/>
      <c r="V132" s="6">
        <f t="shared" si="68"/>
        <v>0</v>
      </c>
      <c r="W132" s="2"/>
      <c r="X132" s="7">
        <f t="shared" si="69"/>
        <v>75.73</v>
      </c>
      <c r="Y132" s="2"/>
      <c r="Z132" s="6">
        <f t="shared" si="70"/>
        <v>0</v>
      </c>
    </row>
    <row r="133" spans="1:26" s="27" customFormat="1" outlineLevel="1" collapsed="1" x14ac:dyDescent="0.25">
      <c r="A133" s="26"/>
      <c r="B133" s="13" t="str">
        <f>CONCATENATE("     ","Supplies                                          ")</f>
        <v xml:space="preserve">     Supplies                                          </v>
      </c>
      <c r="C133" s="13"/>
      <c r="D133" s="1">
        <f>SUM(OSRRefD22_14x_0)</f>
        <v>51.7</v>
      </c>
      <c r="E133" s="1"/>
      <c r="F133" s="5">
        <f t="shared" ref="F133:F140" si="71">IF(D$12=0,0,D133/D$12)</f>
        <v>1.307476687842394E-4</v>
      </c>
      <c r="G133" s="1"/>
      <c r="H133" s="1">
        <f>SUM(OSRRefH22_14x_0)</f>
        <v>450</v>
      </c>
      <c r="I133" s="1"/>
      <c r="J133" s="5">
        <f t="shared" ref="J133:J140" si="72">IF(H$12=0,0,H133/H$12)</f>
        <v>1.0894221946773253E-3</v>
      </c>
      <c r="K133" s="1"/>
      <c r="L133" s="1">
        <f t="shared" ref="L133:L140" si="73">+D133-H133</f>
        <v>-398.3</v>
      </c>
      <c r="M133" s="1"/>
      <c r="N133" s="5">
        <f t="shared" ref="N133:N140" si="74">IF(H133=0,0,L133/H133)</f>
        <v>-0.88511111111111118</v>
      </c>
      <c r="O133" s="13"/>
      <c r="P133" s="1">
        <f>SUM(OSRRefP22_14x_0)</f>
        <v>3811.53</v>
      </c>
      <c r="Q133" s="1"/>
      <c r="R133" s="5">
        <f t="shared" ref="R133:R140" si="75">IF(P$12=0,0,P133/P$12)</f>
        <v>1.8765778250726258E-3</v>
      </c>
      <c r="S133" s="1"/>
      <c r="T133" s="1">
        <f>SUM(OSRRefT22_14x_0)</f>
        <v>4950</v>
      </c>
      <c r="U133" s="1"/>
      <c r="V133" s="5">
        <f t="shared" ref="V133:V140" si="76">IF(T$12=0,0,T133/T$12)</f>
        <v>1.5271344017103905E-3</v>
      </c>
      <c r="W133" s="1"/>
      <c r="X133" s="1">
        <f t="shared" ref="X133:X140" si="77">+P133-T133</f>
        <v>-1138.4699999999998</v>
      </c>
      <c r="Y133" s="1"/>
      <c r="Z133" s="5">
        <f t="shared" ref="Z133:Z140" si="78">IF(T133=0,0,X133/T133)</f>
        <v>-0.22999393939393936</v>
      </c>
    </row>
    <row r="134" spans="1:26" s="24" customFormat="1" hidden="1" outlineLevel="2" x14ac:dyDescent="0.25">
      <c r="A134" s="25"/>
      <c r="B134" s="11" t="str">
        <f>CONCATENATE("          ", "6234", " - ", "EXPENDABLE SUPPLIES &amp; EQUIPMEN")</f>
        <v xml:space="preserve">          6234 - EXPENDABLE SUPPLIES &amp; EQUIPMEN</v>
      </c>
      <c r="C134" s="11"/>
      <c r="D134" s="7"/>
      <c r="E134" s="2"/>
      <c r="F134" s="6">
        <f t="shared" si="71"/>
        <v>0</v>
      </c>
      <c r="G134" s="2"/>
      <c r="H134" s="7">
        <v>50</v>
      </c>
      <c r="I134" s="2"/>
      <c r="J134" s="6">
        <f t="shared" si="72"/>
        <v>1.210469105197028E-4</v>
      </c>
      <c r="K134" s="2"/>
      <c r="L134" s="7">
        <f t="shared" si="73"/>
        <v>-50</v>
      </c>
      <c r="M134" s="2"/>
      <c r="N134" s="6">
        <f t="shared" si="74"/>
        <v>-1</v>
      </c>
      <c r="O134" s="11"/>
      <c r="P134" s="7">
        <v>449.5</v>
      </c>
      <c r="Q134" s="2"/>
      <c r="R134" s="6">
        <f t="shared" si="75"/>
        <v>2.2130790846986519E-4</v>
      </c>
      <c r="S134" s="2"/>
      <c r="T134" s="7">
        <v>550</v>
      </c>
      <c r="U134" s="2"/>
      <c r="V134" s="6">
        <f t="shared" si="76"/>
        <v>1.6968160019004339E-4</v>
      </c>
      <c r="W134" s="2"/>
      <c r="X134" s="7">
        <f t="shared" si="77"/>
        <v>-100.5</v>
      </c>
      <c r="Y134" s="2"/>
      <c r="Z134" s="6">
        <f t="shared" si="78"/>
        <v>-0.18272727272727274</v>
      </c>
    </row>
    <row r="135" spans="1:26" s="24" customFormat="1" hidden="1" outlineLevel="2" x14ac:dyDescent="0.25">
      <c r="A135" s="25"/>
      <c r="B135" s="11" t="str">
        <f>CONCATENATE("          ", "6235", " - ", "COVID-19 EXPENSES")</f>
        <v xml:space="preserve">          6235 - COVID-19 EXPENSES</v>
      </c>
      <c r="C135" s="11"/>
      <c r="D135" s="7"/>
      <c r="E135" s="2"/>
      <c r="F135" s="6">
        <f t="shared" si="71"/>
        <v>0</v>
      </c>
      <c r="G135" s="2"/>
      <c r="H135" s="7">
        <v>100</v>
      </c>
      <c r="I135" s="2"/>
      <c r="J135" s="6">
        <f t="shared" si="72"/>
        <v>2.420938210394056E-4</v>
      </c>
      <c r="K135" s="2"/>
      <c r="L135" s="7">
        <f t="shared" si="73"/>
        <v>-100</v>
      </c>
      <c r="M135" s="2"/>
      <c r="N135" s="6">
        <f t="shared" si="74"/>
        <v>-1</v>
      </c>
      <c r="O135" s="11"/>
      <c r="P135" s="7">
        <v>1026.43</v>
      </c>
      <c r="Q135" s="2"/>
      <c r="R135" s="6">
        <f t="shared" si="75"/>
        <v>5.0535500887813963E-4</v>
      </c>
      <c r="S135" s="2"/>
      <c r="T135" s="7">
        <v>1100</v>
      </c>
      <c r="U135" s="2"/>
      <c r="V135" s="6">
        <f t="shared" si="76"/>
        <v>3.3936320038008679E-4</v>
      </c>
      <c r="W135" s="2"/>
      <c r="X135" s="7">
        <f t="shared" si="77"/>
        <v>-73.569999999999936</v>
      </c>
      <c r="Y135" s="2"/>
      <c r="Z135" s="6">
        <f t="shared" si="78"/>
        <v>-6.6881818181818126E-2</v>
      </c>
    </row>
    <row r="136" spans="1:26" s="24" customFormat="1" hidden="1" outlineLevel="2" x14ac:dyDescent="0.25">
      <c r="A136" s="25"/>
      <c r="B136" s="11" t="str">
        <f>CONCATENATE("          ", "6237", " - ", "JANITORIAL SUPPLIES")</f>
        <v xml:space="preserve">          6237 - JANITORIAL SUPPLIES</v>
      </c>
      <c r="C136" s="11"/>
      <c r="D136" s="7"/>
      <c r="E136" s="2"/>
      <c r="F136" s="6">
        <f t="shared" si="71"/>
        <v>0</v>
      </c>
      <c r="G136" s="2"/>
      <c r="H136" s="7">
        <v>50</v>
      </c>
      <c r="I136" s="2"/>
      <c r="J136" s="6">
        <f t="shared" si="72"/>
        <v>1.210469105197028E-4</v>
      </c>
      <c r="K136" s="2"/>
      <c r="L136" s="7">
        <f t="shared" si="73"/>
        <v>-50</v>
      </c>
      <c r="M136" s="2"/>
      <c r="N136" s="6">
        <f t="shared" si="74"/>
        <v>-1</v>
      </c>
      <c r="O136" s="11"/>
      <c r="P136" s="7"/>
      <c r="Q136" s="2"/>
      <c r="R136" s="6">
        <f t="shared" si="75"/>
        <v>0</v>
      </c>
      <c r="S136" s="2"/>
      <c r="T136" s="7">
        <v>550</v>
      </c>
      <c r="U136" s="2"/>
      <c r="V136" s="6">
        <f t="shared" si="76"/>
        <v>1.6968160019004339E-4</v>
      </c>
      <c r="W136" s="2"/>
      <c r="X136" s="7">
        <f t="shared" si="77"/>
        <v>-550</v>
      </c>
      <c r="Y136" s="2"/>
      <c r="Z136" s="6">
        <f t="shared" si="78"/>
        <v>-1</v>
      </c>
    </row>
    <row r="137" spans="1:26" s="24" customFormat="1" hidden="1" outlineLevel="2" x14ac:dyDescent="0.25">
      <c r="A137" s="25"/>
      <c r="B137" s="11" t="str">
        <f>CONCATENATE("          ", "6241", " - ", "OFFICE EXPENSE")</f>
        <v xml:space="preserve">          6241 - OFFICE EXPENSE</v>
      </c>
      <c r="C137" s="11"/>
      <c r="D137" s="7">
        <v>51.7</v>
      </c>
      <c r="E137" s="2"/>
      <c r="F137" s="6">
        <f t="shared" si="71"/>
        <v>1.307476687842394E-4</v>
      </c>
      <c r="G137" s="2"/>
      <c r="H137" s="7">
        <v>100</v>
      </c>
      <c r="I137" s="2"/>
      <c r="J137" s="6">
        <f t="shared" si="72"/>
        <v>2.420938210394056E-4</v>
      </c>
      <c r="K137" s="2"/>
      <c r="L137" s="7">
        <f t="shared" si="73"/>
        <v>-48.3</v>
      </c>
      <c r="M137" s="2"/>
      <c r="N137" s="6">
        <f t="shared" si="74"/>
        <v>-0.48299999999999998</v>
      </c>
      <c r="O137" s="11"/>
      <c r="P137" s="7">
        <v>1225.3699999999999</v>
      </c>
      <c r="Q137" s="2"/>
      <c r="R137" s="6">
        <f t="shared" si="75"/>
        <v>6.0330160578802824E-4</v>
      </c>
      <c r="S137" s="2"/>
      <c r="T137" s="7">
        <v>1100</v>
      </c>
      <c r="U137" s="2"/>
      <c r="V137" s="6">
        <f t="shared" si="76"/>
        <v>3.3936320038008679E-4</v>
      </c>
      <c r="W137" s="2"/>
      <c r="X137" s="7">
        <f t="shared" si="77"/>
        <v>125.36999999999989</v>
      </c>
      <c r="Y137" s="2"/>
      <c r="Z137" s="6">
        <f t="shared" si="78"/>
        <v>0.11397272727272717</v>
      </c>
    </row>
    <row r="138" spans="1:26" s="24" customFormat="1" hidden="1" outlineLevel="2" x14ac:dyDescent="0.25">
      <c r="A138" s="25"/>
      <c r="B138" s="11" t="str">
        <f>CONCATENATE("          ", "6243", " - ", "PAPER SUPPLIES")</f>
        <v xml:space="preserve">          6243 - PAPER SUPPLIES</v>
      </c>
      <c r="C138" s="11"/>
      <c r="D138" s="7"/>
      <c r="E138" s="2"/>
      <c r="F138" s="6">
        <f t="shared" si="71"/>
        <v>0</v>
      </c>
      <c r="G138" s="2"/>
      <c r="H138" s="7">
        <v>50</v>
      </c>
      <c r="I138" s="2"/>
      <c r="J138" s="6">
        <f t="shared" si="72"/>
        <v>1.210469105197028E-4</v>
      </c>
      <c r="K138" s="2"/>
      <c r="L138" s="7">
        <f t="shared" si="73"/>
        <v>-50</v>
      </c>
      <c r="M138" s="2"/>
      <c r="N138" s="6">
        <f t="shared" si="74"/>
        <v>-1</v>
      </c>
      <c r="O138" s="11"/>
      <c r="P138" s="7"/>
      <c r="Q138" s="2"/>
      <c r="R138" s="6">
        <f t="shared" si="75"/>
        <v>0</v>
      </c>
      <c r="S138" s="2"/>
      <c r="T138" s="7">
        <v>550</v>
      </c>
      <c r="U138" s="2"/>
      <c r="V138" s="6">
        <f t="shared" si="76"/>
        <v>1.6968160019004339E-4</v>
      </c>
      <c r="W138" s="2"/>
      <c r="X138" s="7">
        <f t="shared" si="77"/>
        <v>-550</v>
      </c>
      <c r="Y138" s="2"/>
      <c r="Z138" s="6">
        <f t="shared" si="78"/>
        <v>-1</v>
      </c>
    </row>
    <row r="139" spans="1:26" s="24" customFormat="1" hidden="1" outlineLevel="2" x14ac:dyDescent="0.25">
      <c r="A139" s="25"/>
      <c r="B139" s="11" t="str">
        <f>CONCATENATE("          ", "6245", " - ", "PRINTING")</f>
        <v xml:space="preserve">          6245 - PRINTING</v>
      </c>
      <c r="C139" s="11"/>
      <c r="D139" s="7"/>
      <c r="E139" s="2"/>
      <c r="F139" s="6">
        <f t="shared" si="71"/>
        <v>0</v>
      </c>
      <c r="G139" s="2"/>
      <c r="H139" s="7">
        <v>50</v>
      </c>
      <c r="I139" s="2"/>
      <c r="J139" s="6">
        <f t="shared" si="72"/>
        <v>1.210469105197028E-4</v>
      </c>
      <c r="K139" s="2"/>
      <c r="L139" s="7">
        <f t="shared" si="73"/>
        <v>-50</v>
      </c>
      <c r="M139" s="2"/>
      <c r="N139" s="6">
        <f t="shared" si="74"/>
        <v>-1</v>
      </c>
      <c r="O139" s="11"/>
      <c r="P139" s="7"/>
      <c r="Q139" s="2"/>
      <c r="R139" s="6">
        <f t="shared" si="75"/>
        <v>0</v>
      </c>
      <c r="S139" s="2"/>
      <c r="T139" s="7">
        <v>550</v>
      </c>
      <c r="U139" s="2"/>
      <c r="V139" s="6">
        <f t="shared" si="76"/>
        <v>1.6968160019004339E-4</v>
      </c>
      <c r="W139" s="2"/>
      <c r="X139" s="7">
        <f t="shared" si="77"/>
        <v>-550</v>
      </c>
      <c r="Y139" s="2"/>
      <c r="Z139" s="6">
        <f t="shared" si="78"/>
        <v>-1</v>
      </c>
    </row>
    <row r="140" spans="1:26" s="24" customFormat="1" hidden="1" outlineLevel="2" x14ac:dyDescent="0.25">
      <c r="A140" s="25"/>
      <c r="B140" s="11" t="str">
        <f>CONCATENATE("          ", "6247", " - ", "STORE SUPPLIES")</f>
        <v xml:space="preserve">          6247 - STORE SUPPLIES</v>
      </c>
      <c r="C140" s="11"/>
      <c r="D140" s="7"/>
      <c r="E140" s="2"/>
      <c r="F140" s="6">
        <f t="shared" si="71"/>
        <v>0</v>
      </c>
      <c r="G140" s="2"/>
      <c r="H140" s="7">
        <v>50</v>
      </c>
      <c r="I140" s="2"/>
      <c r="J140" s="6">
        <f t="shared" si="72"/>
        <v>1.210469105197028E-4</v>
      </c>
      <c r="K140" s="2"/>
      <c r="L140" s="7">
        <f t="shared" si="73"/>
        <v>-50</v>
      </c>
      <c r="M140" s="2"/>
      <c r="N140" s="6">
        <f t="shared" si="74"/>
        <v>-1</v>
      </c>
      <c r="O140" s="11"/>
      <c r="P140" s="7">
        <v>1110.23</v>
      </c>
      <c r="Q140" s="2"/>
      <c r="R140" s="6">
        <f t="shared" si="75"/>
        <v>5.4661330193659275E-4</v>
      </c>
      <c r="S140" s="2"/>
      <c r="T140" s="7">
        <v>550</v>
      </c>
      <c r="U140" s="2"/>
      <c r="V140" s="6">
        <f t="shared" si="76"/>
        <v>1.6968160019004339E-4</v>
      </c>
      <c r="W140" s="2"/>
      <c r="X140" s="7">
        <f t="shared" si="77"/>
        <v>560.23</v>
      </c>
      <c r="Y140" s="2"/>
      <c r="Z140" s="6">
        <f t="shared" si="78"/>
        <v>1.0185999999999999</v>
      </c>
    </row>
    <row r="141" spans="1:26" s="27" customFormat="1" outlineLevel="1" collapsed="1" x14ac:dyDescent="0.25">
      <c r="A141" s="26"/>
      <c r="B141" s="13" t="str">
        <f>CONCATENATE("     ","Telephone/Data Lines                              ")</f>
        <v xml:space="preserve">     Telephone/Data Lines                              </v>
      </c>
      <c r="C141" s="13"/>
      <c r="D141" s="1">
        <f>SUM(OSRRefD22_15x_0)</f>
        <v>189.55</v>
      </c>
      <c r="E141" s="1"/>
      <c r="F141" s="5">
        <f t="shared" ref="F141:F147" si="79">IF(D$12=0,0,D141/D$12)</f>
        <v>4.7936596940140381E-4</v>
      </c>
      <c r="G141" s="1"/>
      <c r="H141" s="1">
        <f>SUM(OSRRefH22_15x_0)</f>
        <v>600</v>
      </c>
      <c r="I141" s="1"/>
      <c r="J141" s="5">
        <f t="shared" ref="J141:J147" si="80">IF(H$12=0,0,H141/H$12)</f>
        <v>1.4525629262364336E-3</v>
      </c>
      <c r="K141" s="1"/>
      <c r="L141" s="1">
        <f t="shared" ref="L141:L147" si="81">+D141-H141</f>
        <v>-410.45</v>
      </c>
      <c r="M141" s="1"/>
      <c r="N141" s="5">
        <f t="shared" ref="N141:N147" si="82">IF(H141=0,0,L141/H141)</f>
        <v>-0.68408333333333327</v>
      </c>
      <c r="O141" s="13"/>
      <c r="P141" s="1">
        <f>SUM(OSRRefP22_15x_0)</f>
        <v>3157.34</v>
      </c>
      <c r="Q141" s="1"/>
      <c r="R141" s="5">
        <f t="shared" ref="R141:R147" si="83">IF(P$12=0,0,P141/P$12)</f>
        <v>1.554492350897095E-3</v>
      </c>
      <c r="S141" s="1"/>
      <c r="T141" s="1">
        <f>SUM(OSRRefT22_15x_0)</f>
        <v>6600</v>
      </c>
      <c r="U141" s="1"/>
      <c r="V141" s="5">
        <f t="shared" ref="V141:V147" si="84">IF(T$12=0,0,T141/T$12)</f>
        <v>2.0361792022805208E-3</v>
      </c>
      <c r="W141" s="1"/>
      <c r="X141" s="1">
        <f t="shared" ref="X141:X147" si="85">+P141-T141</f>
        <v>-3442.66</v>
      </c>
      <c r="Y141" s="1"/>
      <c r="Z141" s="5">
        <f t="shared" ref="Z141:Z147" si="86">IF(T141=0,0,X141/T141)</f>
        <v>-0.52161515151515148</v>
      </c>
    </row>
    <row r="142" spans="1:26" s="24" customFormat="1" hidden="1" outlineLevel="2" x14ac:dyDescent="0.25">
      <c r="A142" s="25"/>
      <c r="B142" s="11" t="str">
        <f>CONCATENATE("          ", "6309", " - ", "TELEPHONE")</f>
        <v xml:space="preserve">          6309 - TELEPHONE</v>
      </c>
      <c r="C142" s="11"/>
      <c r="D142" s="7">
        <v>189.55</v>
      </c>
      <c r="E142" s="2"/>
      <c r="F142" s="6">
        <f t="shared" si="79"/>
        <v>4.7936596940140381E-4</v>
      </c>
      <c r="G142" s="2"/>
      <c r="H142" s="7">
        <v>600</v>
      </c>
      <c r="I142" s="2"/>
      <c r="J142" s="6">
        <f t="shared" si="80"/>
        <v>1.4525629262364336E-3</v>
      </c>
      <c r="K142" s="2"/>
      <c r="L142" s="7">
        <f t="shared" si="81"/>
        <v>-410.45</v>
      </c>
      <c r="M142" s="2"/>
      <c r="N142" s="6">
        <f t="shared" si="82"/>
        <v>-0.68408333333333327</v>
      </c>
      <c r="O142" s="11"/>
      <c r="P142" s="7">
        <v>3157.34</v>
      </c>
      <c r="Q142" s="2"/>
      <c r="R142" s="6">
        <f t="shared" si="83"/>
        <v>1.554492350897095E-3</v>
      </c>
      <c r="S142" s="2"/>
      <c r="T142" s="7">
        <v>6600</v>
      </c>
      <c r="U142" s="2"/>
      <c r="V142" s="6">
        <f t="shared" si="84"/>
        <v>2.0361792022805208E-3</v>
      </c>
      <c r="W142" s="2"/>
      <c r="X142" s="7">
        <f t="shared" si="85"/>
        <v>-3442.66</v>
      </c>
      <c r="Y142" s="2"/>
      <c r="Z142" s="6">
        <f t="shared" si="86"/>
        <v>-0.52161515151515148</v>
      </c>
    </row>
    <row r="143" spans="1:26" s="27" customFormat="1" outlineLevel="1" collapsed="1" x14ac:dyDescent="0.25">
      <c r="A143" s="26"/>
      <c r="B143" s="13" t="str">
        <f>CONCATENATE("     ","Training                                          ")</f>
        <v xml:space="preserve">     Training                                          </v>
      </c>
      <c r="C143" s="13"/>
      <c r="D143" s="1">
        <f>SUM(OSRRefD22_16x_0)</f>
        <v>0</v>
      </c>
      <c r="E143" s="1"/>
      <c r="F143" s="5">
        <f t="shared" si="79"/>
        <v>0</v>
      </c>
      <c r="G143" s="1"/>
      <c r="H143" s="1">
        <f>SUM(OSRRefH22_16x_0)</f>
        <v>0</v>
      </c>
      <c r="I143" s="1"/>
      <c r="J143" s="5">
        <f t="shared" si="80"/>
        <v>0</v>
      </c>
      <c r="K143" s="1"/>
      <c r="L143" s="1">
        <f t="shared" si="81"/>
        <v>0</v>
      </c>
      <c r="M143" s="1"/>
      <c r="N143" s="5">
        <f t="shared" si="82"/>
        <v>0</v>
      </c>
      <c r="O143" s="13"/>
      <c r="P143" s="1">
        <f>SUM(OSRRefP22_16x_0)</f>
        <v>0</v>
      </c>
      <c r="Q143" s="1"/>
      <c r="R143" s="5">
        <f t="shared" si="83"/>
        <v>0</v>
      </c>
      <c r="S143" s="1"/>
      <c r="T143" s="1">
        <f>SUM(OSRRefT22_16x_0)</f>
        <v>3600</v>
      </c>
      <c r="U143" s="1"/>
      <c r="V143" s="5">
        <f t="shared" si="84"/>
        <v>1.1106432012439203E-3</v>
      </c>
      <c r="W143" s="1"/>
      <c r="X143" s="1">
        <f t="shared" si="85"/>
        <v>-3600</v>
      </c>
      <c r="Y143" s="1"/>
      <c r="Z143" s="5">
        <f t="shared" si="86"/>
        <v>-1</v>
      </c>
    </row>
    <row r="144" spans="1:26" s="24" customFormat="1" hidden="1" outlineLevel="2" x14ac:dyDescent="0.25">
      <c r="A144" s="25"/>
      <c r="B144" s="11" t="str">
        <f>CONCATENATE("          ", "6376", " - ", "TRAINING")</f>
        <v xml:space="preserve">          6376 - TRAINING</v>
      </c>
      <c r="C144" s="11"/>
      <c r="D144" s="7"/>
      <c r="E144" s="2"/>
      <c r="F144" s="6">
        <f t="shared" si="79"/>
        <v>0</v>
      </c>
      <c r="G144" s="2"/>
      <c r="H144" s="7"/>
      <c r="I144" s="2"/>
      <c r="J144" s="6">
        <f t="shared" si="80"/>
        <v>0</v>
      </c>
      <c r="K144" s="2"/>
      <c r="L144" s="7">
        <f t="shared" si="81"/>
        <v>0</v>
      </c>
      <c r="M144" s="2"/>
      <c r="N144" s="6">
        <f t="shared" si="82"/>
        <v>0</v>
      </c>
      <c r="O144" s="11"/>
      <c r="P144" s="7"/>
      <c r="Q144" s="2"/>
      <c r="R144" s="6">
        <f t="shared" si="83"/>
        <v>0</v>
      </c>
      <c r="S144" s="2"/>
      <c r="T144" s="7">
        <v>3600</v>
      </c>
      <c r="U144" s="2"/>
      <c r="V144" s="6">
        <f t="shared" si="84"/>
        <v>1.1106432012439203E-3</v>
      </c>
      <c r="W144" s="2"/>
      <c r="X144" s="7">
        <f t="shared" si="85"/>
        <v>-3600</v>
      </c>
      <c r="Y144" s="2"/>
      <c r="Z144" s="6">
        <f t="shared" si="86"/>
        <v>-1</v>
      </c>
    </row>
    <row r="145" spans="1:26" s="27" customFormat="1" outlineLevel="1" collapsed="1" x14ac:dyDescent="0.25">
      <c r="A145" s="26"/>
      <c r="B145" s="13" t="str">
        <f>CONCATENATE("     ","Travel                                            ")</f>
        <v xml:space="preserve">     Travel                                            </v>
      </c>
      <c r="C145" s="13"/>
      <c r="D145" s="1">
        <f>SUM(OSRRefD22_17x_0)</f>
        <v>0</v>
      </c>
      <c r="E145" s="1"/>
      <c r="F145" s="5">
        <f t="shared" si="79"/>
        <v>0</v>
      </c>
      <c r="G145" s="1"/>
      <c r="H145" s="1">
        <f>SUM(OSRRefH22_17x_0)</f>
        <v>25</v>
      </c>
      <c r="I145" s="1"/>
      <c r="J145" s="5">
        <f t="shared" si="80"/>
        <v>6.05234552598514E-5</v>
      </c>
      <c r="K145" s="1"/>
      <c r="L145" s="1">
        <f t="shared" si="81"/>
        <v>-25</v>
      </c>
      <c r="M145" s="1"/>
      <c r="N145" s="5">
        <f t="shared" si="82"/>
        <v>-1</v>
      </c>
      <c r="O145" s="13"/>
      <c r="P145" s="1">
        <f>SUM(OSRRefP22_17x_0)</f>
        <v>113.82</v>
      </c>
      <c r="Q145" s="1"/>
      <c r="R145" s="5">
        <f t="shared" si="83"/>
        <v>5.6038411884405015E-5</v>
      </c>
      <c r="S145" s="1"/>
      <c r="T145" s="1">
        <f>SUM(OSRRefT22_17x_0)</f>
        <v>275</v>
      </c>
      <c r="U145" s="1"/>
      <c r="V145" s="5">
        <f t="shared" si="84"/>
        <v>8.4840800095021697E-5</v>
      </c>
      <c r="W145" s="1"/>
      <c r="X145" s="1">
        <f t="shared" si="85"/>
        <v>-161.18</v>
      </c>
      <c r="Y145" s="1"/>
      <c r="Z145" s="5">
        <f t="shared" si="86"/>
        <v>-0.58610909090909091</v>
      </c>
    </row>
    <row r="146" spans="1:26" s="24" customFormat="1" hidden="1" outlineLevel="2" x14ac:dyDescent="0.25">
      <c r="A146" s="25"/>
      <c r="B146" s="11" t="str">
        <f>CONCATENATE("          ", "6294", " - ", "TRAVEL OPERATIONAL")</f>
        <v xml:space="preserve">          6294 - TRAVEL OPERATIONAL</v>
      </c>
      <c r="C146" s="11"/>
      <c r="D146" s="7"/>
      <c r="E146" s="2"/>
      <c r="F146" s="6">
        <f t="shared" si="79"/>
        <v>0</v>
      </c>
      <c r="G146" s="2"/>
      <c r="H146" s="7">
        <v>25</v>
      </c>
      <c r="I146" s="2"/>
      <c r="J146" s="6">
        <f t="shared" si="80"/>
        <v>6.05234552598514E-5</v>
      </c>
      <c r="K146" s="2"/>
      <c r="L146" s="7">
        <f t="shared" si="81"/>
        <v>-25</v>
      </c>
      <c r="M146" s="2"/>
      <c r="N146" s="6">
        <f t="shared" si="82"/>
        <v>-1</v>
      </c>
      <c r="O146" s="11"/>
      <c r="P146" s="7">
        <v>113.82</v>
      </c>
      <c r="Q146" s="2"/>
      <c r="R146" s="6">
        <f t="shared" si="83"/>
        <v>5.6038411884405015E-5</v>
      </c>
      <c r="S146" s="2"/>
      <c r="T146" s="7">
        <v>275</v>
      </c>
      <c r="U146" s="2"/>
      <c r="V146" s="6">
        <f t="shared" si="84"/>
        <v>8.4840800095021697E-5</v>
      </c>
      <c r="W146" s="2"/>
      <c r="X146" s="7">
        <f t="shared" si="85"/>
        <v>-161.18</v>
      </c>
      <c r="Y146" s="2"/>
      <c r="Z146" s="6">
        <f t="shared" si="86"/>
        <v>-0.58610909090909091</v>
      </c>
    </row>
    <row r="147" spans="1:26" s="24" customFormat="1" hidden="1" outlineLevel="2" x14ac:dyDescent="0.25">
      <c r="A147" s="25"/>
      <c r="B147" s="11" t="str">
        <f>CONCATENATE("          ", "6298", " - ", "VEHICLE MILEAGE")</f>
        <v xml:space="preserve">          6298 - VEHICLE MILEAGE</v>
      </c>
      <c r="C147" s="11"/>
      <c r="D147" s="7"/>
      <c r="E147" s="2"/>
      <c r="F147" s="6">
        <f t="shared" si="79"/>
        <v>0</v>
      </c>
      <c r="G147" s="2"/>
      <c r="H147" s="7">
        <v>0</v>
      </c>
      <c r="I147" s="2"/>
      <c r="J147" s="6">
        <f t="shared" si="80"/>
        <v>0</v>
      </c>
      <c r="K147" s="2"/>
      <c r="L147" s="7">
        <f t="shared" si="81"/>
        <v>0</v>
      </c>
      <c r="M147" s="2"/>
      <c r="N147" s="6">
        <f t="shared" si="82"/>
        <v>0</v>
      </c>
      <c r="O147" s="11"/>
      <c r="P147" s="7"/>
      <c r="Q147" s="2"/>
      <c r="R147" s="6">
        <f t="shared" si="83"/>
        <v>0</v>
      </c>
      <c r="S147" s="2"/>
      <c r="T147" s="7">
        <v>0</v>
      </c>
      <c r="U147" s="2"/>
      <c r="V147" s="6">
        <f t="shared" si="84"/>
        <v>0</v>
      </c>
      <c r="W147" s="2"/>
      <c r="X147" s="7">
        <f t="shared" si="85"/>
        <v>0</v>
      </c>
      <c r="Y147" s="2"/>
      <c r="Z147" s="6">
        <f t="shared" si="86"/>
        <v>0</v>
      </c>
    </row>
    <row r="148" spans="1:26" s="56" customFormat="1" x14ac:dyDescent="0.25">
      <c r="A148" s="36"/>
      <c r="B148" s="36"/>
      <c r="C148" s="36"/>
      <c r="D148" s="1"/>
      <c r="E148" s="1"/>
      <c r="F148" s="5"/>
      <c r="G148" s="1"/>
      <c r="H148" s="1"/>
      <c r="I148" s="1"/>
      <c r="J148" s="5"/>
      <c r="K148" s="1"/>
      <c r="L148" s="1"/>
      <c r="M148" s="1"/>
      <c r="N148" s="5"/>
      <c r="O148" s="36"/>
      <c r="P148" s="1"/>
      <c r="Q148" s="1"/>
      <c r="R148" s="5"/>
      <c r="S148" s="1"/>
      <c r="T148" s="1"/>
      <c r="U148" s="1"/>
      <c r="V148" s="5"/>
      <c r="W148" s="1"/>
      <c r="X148" s="1"/>
      <c r="Y148" s="1"/>
      <c r="Z148" s="5"/>
    </row>
    <row r="149" spans="1:26" s="23" customFormat="1" collapsed="1" x14ac:dyDescent="0.25">
      <c r="A149" s="10"/>
      <c r="B149" s="29" t="s">
        <v>293</v>
      </c>
      <c r="C149" s="10"/>
      <c r="D149" s="4">
        <f>SUM(OSRRefD25x_0)</f>
        <v>1862</v>
      </c>
      <c r="E149" s="4"/>
      <c r="F149" s="12">
        <f t="shared" ref="F149:F153" si="87">IF(D$12=0,0,D149/D$12)</f>
        <v>4.708939250991368E-3</v>
      </c>
      <c r="G149" s="4"/>
      <c r="H149" s="4">
        <f>SUM(OSRRefH25x_0)</f>
        <v>8075</v>
      </c>
      <c r="I149" s="4"/>
      <c r="J149" s="12">
        <f t="shared" ref="J149:J153" si="88">IF(H$12=0,0,H149/H$12)</f>
        <v>1.9549076048932003E-2</v>
      </c>
      <c r="K149" s="4"/>
      <c r="L149" s="4">
        <f t="shared" ref="L149:L153" si="89">+D149-H149</f>
        <v>-6213</v>
      </c>
      <c r="M149" s="4"/>
      <c r="N149" s="12">
        <f t="shared" ref="N149:N153" si="90">IF(H149=0,0,L149/H149)</f>
        <v>-0.76941176470588235</v>
      </c>
      <c r="O149" s="10"/>
      <c r="P149" s="4">
        <f>SUM(OSRRefP25x_0)</f>
        <v>412686.77999999997</v>
      </c>
      <c r="Q149" s="4"/>
      <c r="R149" s="12">
        <f t="shared" ref="R149:R153" si="91">IF(P$12=0,0,P149/P$12)</f>
        <v>0.2031831994103746</v>
      </c>
      <c r="S149" s="4"/>
      <c r="T149" s="4">
        <f>SUM(OSRRefT25x_0)</f>
        <v>436065</v>
      </c>
      <c r="U149" s="4"/>
      <c r="V149" s="12">
        <f t="shared" ref="V149:V153" si="92">IF(T$12=0,0,T149/T$12)</f>
        <v>0.13453128543067505</v>
      </c>
      <c r="W149" s="4"/>
      <c r="X149" s="4">
        <f t="shared" ref="X149:X153" si="93">+P149-T149</f>
        <v>-23378.22000000003</v>
      </c>
      <c r="Y149" s="4"/>
      <c r="Z149" s="12">
        <f t="shared" ref="Z149:Z153" si="94">IF(T149=0,0,X149/T149)</f>
        <v>-5.36117780606103E-2</v>
      </c>
    </row>
    <row r="150" spans="1:26" s="24" customFormat="1" hidden="1" outlineLevel="1" x14ac:dyDescent="0.25">
      <c r="A150" s="44"/>
      <c r="B150" s="11" t="str">
        <f>CONCATENATE("          ", "4098", " - ", "TAXABLE SALES-GRAD RENTALS")</f>
        <v xml:space="preserve">          4098 - TAXABLE SALES-GRAD RENTALS</v>
      </c>
      <c r="C150" s="11"/>
      <c r="D150" s="2">
        <f t="shared" ref="D150:D152" si="95">0</f>
        <v>0</v>
      </c>
      <c r="E150" s="2"/>
      <c r="F150" s="19">
        <f t="shared" si="87"/>
        <v>0</v>
      </c>
      <c r="G150" s="2"/>
      <c r="H150" s="2"/>
      <c r="I150" s="2"/>
      <c r="J150" s="19">
        <f t="shared" si="88"/>
        <v>0</v>
      </c>
      <c r="K150" s="2"/>
      <c r="L150" s="2">
        <f t="shared" si="89"/>
        <v>0</v>
      </c>
      <c r="M150" s="2"/>
      <c r="N150" s="19">
        <f t="shared" si="90"/>
        <v>0</v>
      </c>
      <c r="O150" s="11"/>
      <c r="P150" s="2">
        <f>--49.95</f>
        <v>49.95</v>
      </c>
      <c r="Q150" s="2"/>
      <c r="R150" s="19">
        <f t="shared" si="91"/>
        <v>2.4592502843314277E-5</v>
      </c>
      <c r="S150" s="2"/>
      <c r="T150" s="2"/>
      <c r="U150" s="2"/>
      <c r="V150" s="19">
        <f t="shared" si="92"/>
        <v>0</v>
      </c>
      <c r="W150" s="2"/>
      <c r="X150" s="2">
        <f t="shared" si="93"/>
        <v>49.95</v>
      </c>
      <c r="Y150" s="2"/>
      <c r="Z150" s="19">
        <f t="shared" si="94"/>
        <v>0</v>
      </c>
    </row>
    <row r="151" spans="1:26" s="24" customFormat="1" hidden="1" outlineLevel="1" x14ac:dyDescent="0.25">
      <c r="A151" s="44"/>
      <c r="B151" s="11" t="str">
        <f>CONCATENATE("          ", "9150", " - ", "MISC. INCOME")</f>
        <v xml:space="preserve">          9150 - MISC. INCOME</v>
      </c>
      <c r="C151" s="11"/>
      <c r="D151" s="2">
        <f t="shared" si="95"/>
        <v>0</v>
      </c>
      <c r="E151" s="2"/>
      <c r="F151" s="19">
        <f t="shared" si="87"/>
        <v>0</v>
      </c>
      <c r="G151" s="2"/>
      <c r="H151" s="2">
        <v>8075</v>
      </c>
      <c r="I151" s="2"/>
      <c r="J151" s="19">
        <f t="shared" si="88"/>
        <v>1.9549076048932003E-2</v>
      </c>
      <c r="K151" s="2"/>
      <c r="L151" s="2">
        <f t="shared" si="89"/>
        <v>-8075</v>
      </c>
      <c r="M151" s="2"/>
      <c r="N151" s="19">
        <f t="shared" si="90"/>
        <v>-1</v>
      </c>
      <c r="O151" s="11"/>
      <c r="P151" s="2">
        <f>--64296.27</f>
        <v>64296.27</v>
      </c>
      <c r="Q151" s="2"/>
      <c r="R151" s="19">
        <f t="shared" si="91"/>
        <v>3.1655779835625668E-2</v>
      </c>
      <c r="S151" s="2"/>
      <c r="T151" s="2">
        <v>88825</v>
      </c>
      <c r="U151" s="2"/>
      <c r="V151" s="19">
        <f t="shared" si="92"/>
        <v>2.7403578430692008E-2</v>
      </c>
      <c r="W151" s="2"/>
      <c r="X151" s="2">
        <f t="shared" si="93"/>
        <v>-24528.730000000003</v>
      </c>
      <c r="Y151" s="2"/>
      <c r="Z151" s="19">
        <f t="shared" si="94"/>
        <v>-0.27614669293554744</v>
      </c>
    </row>
    <row r="152" spans="1:26" s="24" customFormat="1" hidden="1" outlineLevel="1" x14ac:dyDescent="0.25">
      <c r="A152" s="44"/>
      <c r="B152" s="11" t="str">
        <f>CONCATENATE("          ", "9151", " - ", "MISC. INCOME")</f>
        <v xml:space="preserve">          9151 - MISC. INCOME</v>
      </c>
      <c r="C152" s="11"/>
      <c r="D152" s="2">
        <f t="shared" si="95"/>
        <v>0</v>
      </c>
      <c r="E152" s="2"/>
      <c r="F152" s="19">
        <f t="shared" si="87"/>
        <v>0</v>
      </c>
      <c r="G152" s="2"/>
      <c r="H152" s="2"/>
      <c r="I152" s="2"/>
      <c r="J152" s="19">
        <f t="shared" si="88"/>
        <v>0</v>
      </c>
      <c r="K152" s="2"/>
      <c r="L152" s="2">
        <f t="shared" si="89"/>
        <v>0</v>
      </c>
      <c r="M152" s="2"/>
      <c r="N152" s="19">
        <f t="shared" si="90"/>
        <v>0</v>
      </c>
      <c r="O152" s="11"/>
      <c r="P152" s="2">
        <f>0</f>
        <v>0</v>
      </c>
      <c r="Q152" s="2"/>
      <c r="R152" s="19">
        <f t="shared" si="91"/>
        <v>0</v>
      </c>
      <c r="S152" s="2"/>
      <c r="T152" s="2">
        <v>347240</v>
      </c>
      <c r="U152" s="2"/>
      <c r="V152" s="19">
        <f t="shared" si="92"/>
        <v>0.10712770699998303</v>
      </c>
      <c r="W152" s="2"/>
      <c r="X152" s="2">
        <f t="shared" si="93"/>
        <v>-347240</v>
      </c>
      <c r="Y152" s="2"/>
      <c r="Z152" s="19">
        <f t="shared" si="94"/>
        <v>-1</v>
      </c>
    </row>
    <row r="153" spans="1:26" s="24" customFormat="1" hidden="1" outlineLevel="1" x14ac:dyDescent="0.25">
      <c r="A153" s="44"/>
      <c r="B153" s="11" t="str">
        <f>CONCATENATE("          ", "9163", " - ", "MISC. INCOME")</f>
        <v xml:space="preserve">          9163 - MISC. INCOME</v>
      </c>
      <c r="C153" s="11"/>
      <c r="D153" s="2">
        <f>--1862</f>
        <v>1862</v>
      </c>
      <c r="E153" s="2"/>
      <c r="F153" s="19">
        <f t="shared" si="87"/>
        <v>4.708939250991368E-3</v>
      </c>
      <c r="G153" s="2"/>
      <c r="H153" s="2"/>
      <c r="I153" s="2"/>
      <c r="J153" s="19">
        <f t="shared" si="88"/>
        <v>0</v>
      </c>
      <c r="K153" s="2"/>
      <c r="L153" s="2">
        <f t="shared" si="89"/>
        <v>1862</v>
      </c>
      <c r="M153" s="2"/>
      <c r="N153" s="19">
        <f t="shared" si="90"/>
        <v>0</v>
      </c>
      <c r="O153" s="11"/>
      <c r="P153" s="2">
        <f>--348340.56</f>
        <v>348340.56</v>
      </c>
      <c r="Q153" s="2"/>
      <c r="R153" s="19">
        <f t="shared" si="91"/>
        <v>0.17150282707190564</v>
      </c>
      <c r="S153" s="2"/>
      <c r="T153" s="2"/>
      <c r="U153" s="2"/>
      <c r="V153" s="19">
        <f t="shared" si="92"/>
        <v>0</v>
      </c>
      <c r="W153" s="2"/>
      <c r="X153" s="2">
        <f t="shared" si="93"/>
        <v>348340.56</v>
      </c>
      <c r="Y153" s="2"/>
      <c r="Z153" s="19">
        <f t="shared" si="94"/>
        <v>0</v>
      </c>
    </row>
    <row r="154" spans="1:26" x14ac:dyDescent="0.25">
      <c r="A154" s="9"/>
      <c r="B154" s="10"/>
      <c r="C154" s="10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O154" s="10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x14ac:dyDescent="0.25">
      <c r="A155" s="10"/>
      <c r="B155" s="28" t="s">
        <v>277</v>
      </c>
      <c r="C155" s="28"/>
      <c r="D155" s="20">
        <f>+D79-D81+D149</f>
        <v>176332.73</v>
      </c>
      <c r="E155" s="14"/>
      <c r="F155" s="21">
        <f>IF(D$12=0,0,D155/D$12)</f>
        <v>0.44593991059691901</v>
      </c>
      <c r="G155" s="14"/>
      <c r="H155" s="20">
        <f>+H79-H81+H149</f>
        <v>122442.90545992309</v>
      </c>
      <c r="I155" s="14"/>
      <c r="J155" s="21">
        <f>IF(H$12=0,0,H155/H$12)</f>
        <v>0.29642670841959479</v>
      </c>
      <c r="K155" s="15"/>
      <c r="L155" s="20">
        <f>+D155-H155</f>
        <v>53889.824540076923</v>
      </c>
      <c r="M155" s="15"/>
      <c r="N155" s="21">
        <f>IF(H155=0,0,L155/H155)</f>
        <v>0.44012206617978089</v>
      </c>
      <c r="O155" s="29"/>
      <c r="P155" s="20">
        <f>+P79-P81+P149</f>
        <v>835093.69000000088</v>
      </c>
      <c r="Q155" s="14"/>
      <c r="R155" s="21">
        <f>IF(P$12=0,0,P155/P$12)</f>
        <v>0.41115203094612274</v>
      </c>
      <c r="S155" s="14"/>
      <c r="T155" s="20">
        <f>+T79-T81+T149</f>
        <v>1047578.0170420774</v>
      </c>
      <c r="U155" s="14"/>
      <c r="V155" s="21">
        <f>IF(T$12=0,0,T155/T$12)</f>
        <v>0.3231903895556586</v>
      </c>
      <c r="W155" s="15"/>
      <c r="X155" s="20">
        <f>+P155-T155</f>
        <v>-212484.3270420765</v>
      </c>
      <c r="Y155" s="15"/>
      <c r="Z155" s="21">
        <f>IF(T155=0,0,X155/T155)</f>
        <v>-0.20283389264127885</v>
      </c>
    </row>
    <row r="156" spans="1:26" x14ac:dyDescent="0.25">
      <c r="A156" s="9"/>
      <c r="B156" s="10"/>
      <c r="C156" s="9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x14ac:dyDescent="0.25">
      <c r="A157" s="52"/>
      <c r="B157" s="10" t="s">
        <v>128</v>
      </c>
      <c r="C157" s="10"/>
      <c r="D157" s="4">
        <v>91835.56</v>
      </c>
      <c r="E157" s="4"/>
      <c r="F157" s="12">
        <f>IF(D$12=0,0,D157/D$12)</f>
        <v>0.23224923368462558</v>
      </c>
      <c r="G157" s="4"/>
      <c r="H157" s="4">
        <v>86067</v>
      </c>
      <c r="I157" s="4"/>
      <c r="J157" s="12">
        <f>IF(H$12=0,0,H157/H$12)</f>
        <v>0.20836288895398522</v>
      </c>
      <c r="K157" s="4"/>
      <c r="L157" s="4">
        <f>+D157-H157</f>
        <v>5768.5599999999977</v>
      </c>
      <c r="M157" s="4"/>
      <c r="N157" s="12">
        <f>IF(H157=0,0,L157/H157)</f>
        <v>6.7024062648866553E-2</v>
      </c>
      <c r="O157" s="10"/>
      <c r="P157" s="4">
        <v>434028.27</v>
      </c>
      <c r="Q157" s="4"/>
      <c r="R157" s="12">
        <f>IF(P$12=0,0,P157/P$12)</f>
        <v>0.21369051980087642</v>
      </c>
      <c r="S157" s="4"/>
      <c r="T157" s="4">
        <v>598406</v>
      </c>
      <c r="U157" s="4"/>
      <c r="V157" s="12">
        <f>IF(T$12=0,0,T157/T$12)</f>
        <v>0.18461543207876929</v>
      </c>
      <c r="W157" s="4"/>
      <c r="X157" s="4">
        <f>+P157-T157</f>
        <v>-164377.72999999998</v>
      </c>
      <c r="Y157" s="4"/>
      <c r="Z157" s="12">
        <f>IF(T157=0,0,X157/T157)</f>
        <v>-0.27469265014054001</v>
      </c>
    </row>
    <row r="158" spans="1:26" x14ac:dyDescent="0.25">
      <c r="A158" s="9"/>
      <c r="B158" s="10"/>
      <c r="C158" s="10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O158" s="10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ht="15.75" thickBot="1" x14ac:dyDescent="0.3">
      <c r="A159" s="10"/>
      <c r="B159" s="28" t="s">
        <v>126</v>
      </c>
      <c r="C159" s="28"/>
      <c r="D159" s="35">
        <f>+D155-D157</f>
        <v>84497.170000000013</v>
      </c>
      <c r="E159" s="14"/>
      <c r="F159" s="34">
        <f>IF(D$12=0,0,D159/D$12)</f>
        <v>0.21369067691229343</v>
      </c>
      <c r="G159" s="14"/>
      <c r="H159" s="35">
        <f>+H155-H157</f>
        <v>36375.905459923088</v>
      </c>
      <c r="I159" s="14"/>
      <c r="J159" s="34">
        <f>IF(H$12=0,0,H159/H$12)</f>
        <v>8.806381946560958E-2</v>
      </c>
      <c r="K159" s="15"/>
      <c r="L159" s="35">
        <f>D159-H159</f>
        <v>48121.264540076925</v>
      </c>
      <c r="M159" s="15"/>
      <c r="N159" s="34">
        <f>IF(H159=0,0,L159/H159)</f>
        <v>1.3228884320994898</v>
      </c>
      <c r="O159" s="29"/>
      <c r="P159" s="35">
        <f>+P155-P157</f>
        <v>401065.42000000086</v>
      </c>
      <c r="Q159" s="14"/>
      <c r="R159" s="34">
        <f>IF(P$12=0,0,P159/P$12)</f>
        <v>0.19746151114524635</v>
      </c>
      <c r="S159" s="14"/>
      <c r="T159" s="35">
        <f>+T155-T157</f>
        <v>449172.01704207738</v>
      </c>
      <c r="U159" s="14"/>
      <c r="V159" s="34">
        <f>IF(T$12=0,0,T159/T$12)</f>
        <v>0.13857495747688933</v>
      </c>
      <c r="W159" s="15"/>
      <c r="X159" s="35">
        <f>P159-T159</f>
        <v>-48106.597042076522</v>
      </c>
      <c r="Y159" s="15"/>
      <c r="Z159" s="34">
        <f>IF(T159=0,0,X159/T159)</f>
        <v>-0.10710061004884462</v>
      </c>
    </row>
    <row r="160" spans="1:26" ht="15.75" thickTop="1" x14ac:dyDescent="0.25">
      <c r="A160" s="9"/>
      <c r="B160" s="9"/>
      <c r="C160" s="9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x14ac:dyDescent="0.25">
      <c r="A161" s="9"/>
      <c r="B161" s="9"/>
      <c r="C161" s="9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s="23" customFormat="1" ht="15.75" thickBot="1" x14ac:dyDescent="0.3">
      <c r="A162" s="10"/>
      <c r="B162" s="28" t="s">
        <v>294</v>
      </c>
      <c r="C162" s="28"/>
      <c r="D162" s="33">
        <f>SUM(D159:D161)</f>
        <v>84497.170000000013</v>
      </c>
      <c r="E162" s="14"/>
      <c r="F162" s="32">
        <f>IF(D$12=0,0,D162/D$12)</f>
        <v>0.21369067691229343</v>
      </c>
      <c r="G162" s="14"/>
      <c r="H162" s="33">
        <f>SUM(H159:H161)</f>
        <v>36375.905459923088</v>
      </c>
      <c r="I162" s="14"/>
      <c r="J162" s="32">
        <f>IF(H$12=0,0,H162/H$12)</f>
        <v>8.806381946560958E-2</v>
      </c>
      <c r="K162" s="15"/>
      <c r="L162" s="33">
        <f>+D162-H162</f>
        <v>48121.264540076925</v>
      </c>
      <c r="M162" s="15"/>
      <c r="N162" s="32">
        <f>IF(H162=0,0,L162/H162)</f>
        <v>1.3228884320994898</v>
      </c>
      <c r="O162" s="29"/>
      <c r="P162" s="33">
        <f>SUM(P159:P161)</f>
        <v>401065.42000000086</v>
      </c>
      <c r="Q162" s="14"/>
      <c r="R162" s="32">
        <f>IF(P$12=0,0,P162/P$12)</f>
        <v>0.19746151114524635</v>
      </c>
      <c r="S162" s="14"/>
      <c r="T162" s="33">
        <f>SUM(T159:T161)</f>
        <v>449172.01704207738</v>
      </c>
      <c r="U162" s="14"/>
      <c r="V162" s="32">
        <f>IF(T$12=0,0,T162/T$12)</f>
        <v>0.13857495747688933</v>
      </c>
      <c r="W162" s="15"/>
      <c r="X162" s="33">
        <f>+P162-T162</f>
        <v>-48106.597042076522</v>
      </c>
      <c r="Y162" s="15"/>
      <c r="Z162" s="32">
        <f>IF(T162=0,0,X162/T162)</f>
        <v>-0.10710061004884462</v>
      </c>
    </row>
    <row r="163" spans="1:26" ht="15.75" thickTop="1" x14ac:dyDescent="0.25">
      <c r="A163" s="9"/>
      <c r="C163" s="9"/>
      <c r="D163" s="18"/>
      <c r="E163" s="18"/>
      <c r="G163" s="18"/>
      <c r="H163" s="18"/>
      <c r="I163" s="18"/>
      <c r="J163" s="42"/>
      <c r="K163" s="18"/>
      <c r="L163" s="18"/>
      <c r="M163" s="18"/>
      <c r="P163" s="18"/>
      <c r="Q163" s="18"/>
      <c r="R163" s="42"/>
      <c r="S163" s="18"/>
      <c r="T163" s="18"/>
      <c r="U163" s="18"/>
      <c r="V163" s="42"/>
      <c r="W163" s="18"/>
      <c r="X163" s="18"/>
    </row>
    <row r="164" spans="1:26" x14ac:dyDescent="0.25">
      <c r="A164" s="9"/>
      <c r="B164" s="60">
        <v>44356.891834571761</v>
      </c>
      <c r="D164" s="18"/>
      <c r="E164" s="18"/>
      <c r="G164" s="18"/>
      <c r="H164" s="18"/>
      <c r="I164" s="18"/>
      <c r="J164" s="42"/>
      <c r="K164" s="18"/>
      <c r="L164" s="18"/>
      <c r="M164" s="18"/>
      <c r="P164" s="18"/>
      <c r="Q164" s="18"/>
      <c r="R164" s="42"/>
      <c r="S164" s="18"/>
      <c r="T164" s="18"/>
      <c r="U164" s="18"/>
      <c r="V164" s="42"/>
      <c r="W164" s="18"/>
      <c r="X164" s="18"/>
    </row>
    <row r="165" spans="1:26" x14ac:dyDescent="0.25">
      <c r="A165" s="9"/>
      <c r="B165" s="55" t="s">
        <v>56</v>
      </c>
      <c r="D165" s="18"/>
      <c r="E165" s="18"/>
      <c r="G165" s="18"/>
      <c r="H165" s="18"/>
      <c r="I165" s="18"/>
      <c r="J165" s="42"/>
      <c r="K165" s="18"/>
      <c r="L165" s="18"/>
      <c r="M165" s="18"/>
      <c r="P165" s="18"/>
      <c r="Q165" s="18"/>
      <c r="R165" s="42"/>
      <c r="S165" s="18"/>
      <c r="T165" s="18"/>
      <c r="U165" s="18"/>
      <c r="V165" s="42"/>
      <c r="W165" s="18"/>
      <c r="X165" s="18"/>
    </row>
    <row r="166" spans="1:26" x14ac:dyDescent="0.25">
      <c r="A166" s="9"/>
      <c r="B166" s="63"/>
      <c r="D166" s="18"/>
      <c r="E166" s="18"/>
      <c r="G166" s="18"/>
      <c r="H166" s="18"/>
      <c r="I166" s="18"/>
      <c r="J166" s="42"/>
      <c r="K166" s="18"/>
      <c r="L166" s="18"/>
      <c r="M166" s="18"/>
      <c r="P166" s="18"/>
      <c r="Q166" s="18"/>
      <c r="R166" s="42"/>
      <c r="S166" s="18"/>
      <c r="T166" s="18"/>
      <c r="U166" s="18"/>
      <c r="V166" s="42"/>
      <c r="W166" s="18"/>
      <c r="X166" s="18"/>
    </row>
    <row r="167" spans="1:26" x14ac:dyDescent="0.25">
      <c r="D167" s="18"/>
      <c r="E167" s="18"/>
      <c r="G167" s="18"/>
      <c r="H167" s="18"/>
      <c r="I167" s="18"/>
      <c r="J167" s="42"/>
      <c r="K167" s="18"/>
      <c r="L167" s="18"/>
      <c r="M167" s="18"/>
      <c r="P167" s="18"/>
      <c r="Q167" s="18"/>
      <c r="R167" s="42"/>
      <c r="S167" s="18"/>
      <c r="T167" s="18"/>
      <c r="U167" s="18"/>
      <c r="V167" s="42"/>
      <c r="W167" s="18"/>
      <c r="X167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3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","326", " - ", "2nd Street Store")</f>
        <v>Department 326 - 2nd Street 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34704.179999999993</v>
      </c>
      <c r="E12" s="4"/>
      <c r="F12" s="12"/>
      <c r="G12" s="4"/>
      <c r="H12" s="4">
        <f>SUM(OSRRefH13x_0)</f>
        <v>58214</v>
      </c>
      <c r="I12" s="4"/>
      <c r="J12" s="12"/>
      <c r="K12" s="4"/>
      <c r="L12" s="4">
        <f t="shared" ref="L12:L33" si="0">+D12-H12</f>
        <v>-23509.820000000007</v>
      </c>
      <c r="M12" s="4"/>
      <c r="N12" s="12">
        <f t="shared" ref="N12:N33" si="1">IF(H12=0,0,L12/H12)</f>
        <v>-0.40385165080564822</v>
      </c>
      <c r="O12" s="10"/>
      <c r="P12" s="4">
        <f>SUM(OSRRefP13x_0)</f>
        <v>286009.01</v>
      </c>
      <c r="Q12" s="4"/>
      <c r="R12" s="12"/>
      <c r="S12" s="4"/>
      <c r="T12" s="4">
        <f>SUM(OSRRefT13x_0)</f>
        <v>530619</v>
      </c>
      <c r="U12" s="4"/>
      <c r="V12" s="12"/>
      <c r="W12" s="4"/>
      <c r="X12" s="4">
        <f t="shared" ref="X12:X33" si="2">+P12-T12</f>
        <v>-244609.99</v>
      </c>
      <c r="Y12" s="4"/>
      <c r="Z12" s="12">
        <f t="shared" ref="Z12:Z33" si="3">IF(T12=0,0,X12/T12)</f>
        <v>-0.46098988162881466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-365.5</f>
        <v>-365.5</v>
      </c>
      <c r="E13" s="2"/>
      <c r="F13" s="19"/>
      <c r="G13" s="2"/>
      <c r="H13" s="2">
        <v>58214</v>
      </c>
      <c r="I13" s="2"/>
      <c r="J13" s="19"/>
      <c r="K13" s="2"/>
      <c r="L13" s="2">
        <f t="shared" si="0"/>
        <v>-58579.5</v>
      </c>
      <c r="M13" s="2"/>
      <c r="N13" s="19">
        <f t="shared" si="1"/>
        <v>-1.0062785584223726</v>
      </c>
      <c r="O13" s="11"/>
      <c r="P13" s="2">
        <f>-6357.99</f>
        <v>-6357.99</v>
      </c>
      <c r="Q13" s="2"/>
      <c r="R13" s="19"/>
      <c r="S13" s="2"/>
      <c r="T13" s="2">
        <v>530619</v>
      </c>
      <c r="U13" s="2"/>
      <c r="V13" s="19"/>
      <c r="W13" s="2"/>
      <c r="X13" s="2">
        <f t="shared" si="2"/>
        <v>-536976.99</v>
      </c>
      <c r="Y13" s="2"/>
      <c r="Z13" s="19">
        <f t="shared" si="3"/>
        <v>-1.0119822132264393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--36.37</f>
        <v>36.369999999999997</v>
      </c>
      <c r="E14" s="2"/>
      <c r="F14" s="19"/>
      <c r="G14" s="2"/>
      <c r="H14" s="2"/>
      <c r="I14" s="2"/>
      <c r="J14" s="19"/>
      <c r="K14" s="2"/>
      <c r="L14" s="2">
        <f t="shared" si="0"/>
        <v>36.369999999999997</v>
      </c>
      <c r="M14" s="2"/>
      <c r="N14" s="19">
        <f t="shared" si="1"/>
        <v>0</v>
      </c>
      <c r="O14" s="11"/>
      <c r="P14" s="2">
        <f>--283.04</f>
        <v>283.04000000000002</v>
      </c>
      <c r="Q14" s="2"/>
      <c r="R14" s="19"/>
      <c r="S14" s="2"/>
      <c r="T14" s="2"/>
      <c r="U14" s="2"/>
      <c r="V14" s="19"/>
      <c r="W14" s="2"/>
      <c r="X14" s="2">
        <f t="shared" si="2"/>
        <v>283.04000000000002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--19.71</f>
        <v>19.71</v>
      </c>
      <c r="E15" s="2"/>
      <c r="F15" s="19"/>
      <c r="G15" s="2"/>
      <c r="H15" s="2"/>
      <c r="I15" s="2"/>
      <c r="J15" s="19"/>
      <c r="K15" s="2"/>
      <c r="L15" s="2">
        <f t="shared" si="0"/>
        <v>19.71</v>
      </c>
      <c r="M15" s="2"/>
      <c r="N15" s="19">
        <f t="shared" si="1"/>
        <v>0</v>
      </c>
      <c r="O15" s="11"/>
      <c r="P15" s="2">
        <f>--433.63</f>
        <v>433.63</v>
      </c>
      <c r="Q15" s="2"/>
      <c r="R15" s="19"/>
      <c r="S15" s="2"/>
      <c r="T15" s="2"/>
      <c r="U15" s="2"/>
      <c r="V15" s="19"/>
      <c r="W15" s="2"/>
      <c r="X15" s="2">
        <f t="shared" si="2"/>
        <v>433.63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--29.24</f>
        <v>29.24</v>
      </c>
      <c r="Q16" s="2"/>
      <c r="R16" s="19"/>
      <c r="S16" s="2"/>
      <c r="T16" s="2"/>
      <c r="U16" s="2"/>
      <c r="V16" s="19"/>
      <c r="W16" s="2"/>
      <c r="X16" s="2">
        <f t="shared" si="2"/>
        <v>29.24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--30282.77</f>
        <v>30282.77</v>
      </c>
      <c r="E17" s="2"/>
      <c r="F17" s="19"/>
      <c r="G17" s="2"/>
      <c r="H17" s="2"/>
      <c r="I17" s="2"/>
      <c r="J17" s="19"/>
      <c r="K17" s="2"/>
      <c r="L17" s="2">
        <f t="shared" si="0"/>
        <v>30282.77</v>
      </c>
      <c r="M17" s="2"/>
      <c r="N17" s="19">
        <f t="shared" si="1"/>
        <v>0</v>
      </c>
      <c r="O17" s="11"/>
      <c r="P17" s="2">
        <f>--242002.35</f>
        <v>242002.35</v>
      </c>
      <c r="Q17" s="2"/>
      <c r="R17" s="19"/>
      <c r="S17" s="2"/>
      <c r="T17" s="2"/>
      <c r="U17" s="2"/>
      <c r="V17" s="19"/>
      <c r="W17" s="2"/>
      <c r="X17" s="2">
        <f t="shared" si="2"/>
        <v>242002.35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--4646.06</f>
        <v>4646.0600000000004</v>
      </c>
      <c r="E18" s="2"/>
      <c r="F18" s="19"/>
      <c r="G18" s="2"/>
      <c r="H18" s="2"/>
      <c r="I18" s="2"/>
      <c r="J18" s="19"/>
      <c r="K18" s="2"/>
      <c r="L18" s="2">
        <f t="shared" si="0"/>
        <v>4646.0600000000004</v>
      </c>
      <c r="M18" s="2"/>
      <c r="N18" s="19">
        <f t="shared" si="1"/>
        <v>0</v>
      </c>
      <c r="O18" s="11"/>
      <c r="P18" s="2">
        <f>--36159.39</f>
        <v>36159.39</v>
      </c>
      <c r="Q18" s="2"/>
      <c r="R18" s="19"/>
      <c r="S18" s="2"/>
      <c r="T18" s="2"/>
      <c r="U18" s="2"/>
      <c r="V18" s="19"/>
      <c r="W18" s="2"/>
      <c r="X18" s="2">
        <f t="shared" si="2"/>
        <v>36159.39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--678.43</f>
        <v>678.43</v>
      </c>
      <c r="E19" s="2"/>
      <c r="F19" s="19"/>
      <c r="G19" s="2"/>
      <c r="H19" s="2"/>
      <c r="I19" s="2"/>
      <c r="J19" s="19"/>
      <c r="K19" s="2"/>
      <c r="L19" s="2">
        <f t="shared" si="0"/>
        <v>678.43</v>
      </c>
      <c r="M19" s="2"/>
      <c r="N19" s="19">
        <f t="shared" si="1"/>
        <v>0</v>
      </c>
      <c r="O19" s="11"/>
      <c r="P19" s="2">
        <f>--9869.68</f>
        <v>9869.68</v>
      </c>
      <c r="Q19" s="2"/>
      <c r="R19" s="19"/>
      <c r="S19" s="2"/>
      <c r="T19" s="2"/>
      <c r="U19" s="2"/>
      <c r="V19" s="19"/>
      <c r="W19" s="2"/>
      <c r="X19" s="2">
        <f t="shared" si="2"/>
        <v>9869.68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--102.88</f>
        <v>102.88</v>
      </c>
      <c r="E20" s="2"/>
      <c r="F20" s="19"/>
      <c r="G20" s="2"/>
      <c r="H20" s="2"/>
      <c r="I20" s="2"/>
      <c r="J20" s="19"/>
      <c r="K20" s="2"/>
      <c r="L20" s="2">
        <f t="shared" si="0"/>
        <v>102.88</v>
      </c>
      <c r="M20" s="2"/>
      <c r="N20" s="19">
        <f t="shared" si="1"/>
        <v>0</v>
      </c>
      <c r="O20" s="11"/>
      <c r="P20" s="2">
        <f>--11050.13</f>
        <v>11050.13</v>
      </c>
      <c r="Q20" s="2"/>
      <c r="R20" s="19"/>
      <c r="S20" s="2"/>
      <c r="T20" s="2"/>
      <c r="U20" s="2"/>
      <c r="V20" s="19"/>
      <c r="W20" s="2"/>
      <c r="X20" s="2">
        <f t="shared" si="2"/>
        <v>11050.13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--173.77</f>
        <v>173.77</v>
      </c>
      <c r="E21" s="2"/>
      <c r="F21" s="19"/>
      <c r="G21" s="2"/>
      <c r="H21" s="2"/>
      <c r="I21" s="2"/>
      <c r="J21" s="19"/>
      <c r="K21" s="2"/>
      <c r="L21" s="2">
        <f t="shared" si="0"/>
        <v>173.77</v>
      </c>
      <c r="M21" s="2"/>
      <c r="N21" s="19">
        <f t="shared" si="1"/>
        <v>0</v>
      </c>
      <c r="O21" s="11"/>
      <c r="P21" s="2">
        <f>--2975.02</f>
        <v>2975.02</v>
      </c>
      <c r="Q21" s="2"/>
      <c r="R21" s="19"/>
      <c r="S21" s="2"/>
      <c r="T21" s="2"/>
      <c r="U21" s="2"/>
      <c r="V21" s="19"/>
      <c r="W21" s="2"/>
      <c r="X21" s="2">
        <f t="shared" si="2"/>
        <v>2975.02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--326.37</f>
        <v>326.37</v>
      </c>
      <c r="Q22" s="2"/>
      <c r="R22" s="19"/>
      <c r="S22" s="2"/>
      <c r="T22" s="2"/>
      <c r="U22" s="2"/>
      <c r="V22" s="19"/>
      <c r="W22" s="2"/>
      <c r="X22" s="2">
        <f t="shared" si="2"/>
        <v>326.37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"4131", " - ", "NON-TAXABLE SALES-FOOD")</f>
        <v xml:space="preserve">          4131 - NON-TAXABLE SALES-FOOD</v>
      </c>
      <c r="C23" s="11"/>
      <c r="D23" s="2">
        <f>--3</f>
        <v>3</v>
      </c>
      <c r="E23" s="2"/>
      <c r="F23" s="19"/>
      <c r="G23" s="2"/>
      <c r="H23" s="2"/>
      <c r="I23" s="2"/>
      <c r="J23" s="19"/>
      <c r="K23" s="2"/>
      <c r="L23" s="2">
        <f t="shared" si="0"/>
        <v>3</v>
      </c>
      <c r="M23" s="2"/>
      <c r="N23" s="19">
        <f t="shared" si="1"/>
        <v>0</v>
      </c>
      <c r="O23" s="11"/>
      <c r="P23" s="2">
        <f>--63</f>
        <v>63</v>
      </c>
      <c r="Q23" s="2"/>
      <c r="R23" s="19"/>
      <c r="S23" s="2"/>
      <c r="T23" s="2"/>
      <c r="U23" s="2"/>
      <c r="V23" s="19"/>
      <c r="W23" s="2"/>
      <c r="X23" s="2">
        <f t="shared" si="2"/>
        <v>63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--9</f>
        <v>9</v>
      </c>
      <c r="Q24" s="2"/>
      <c r="R24" s="19"/>
      <c r="S24" s="2"/>
      <c r="T24" s="2"/>
      <c r="U24" s="2"/>
      <c r="V24" s="19"/>
      <c r="W24" s="2"/>
      <c r="X24" s="2">
        <f t="shared" si="2"/>
        <v>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"4140", " - ", "NON-TAXABLE SALES-LOGO CLOTHIN")</f>
        <v xml:space="preserve">          4140 - NON-TAXABLE SALES-LOGO CLOTHIN</v>
      </c>
      <c r="C25" s="11"/>
      <c r="D25" s="2">
        <f>-106.16</f>
        <v>-106.16</v>
      </c>
      <c r="E25" s="2"/>
      <c r="F25" s="19"/>
      <c r="G25" s="2"/>
      <c r="H25" s="2"/>
      <c r="I25" s="2"/>
      <c r="J25" s="19"/>
      <c r="K25" s="2"/>
      <c r="L25" s="2">
        <f t="shared" si="0"/>
        <v>-106.16</v>
      </c>
      <c r="M25" s="2"/>
      <c r="N25" s="19">
        <f t="shared" si="1"/>
        <v>0</v>
      </c>
      <c r="O25" s="11"/>
      <c r="P25" s="2">
        <f>--218.18</f>
        <v>218.18</v>
      </c>
      <c r="Q25" s="2"/>
      <c r="R25" s="19"/>
      <c r="S25" s="2"/>
      <c r="T25" s="2"/>
      <c r="U25" s="2"/>
      <c r="V25" s="19"/>
      <c r="W25" s="2"/>
      <c r="X25" s="2">
        <f t="shared" si="2"/>
        <v>218.18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"4145", " - ", "NON-TAXABLE SALES-SPECIAL ORDE")</f>
        <v xml:space="preserve">          4145 - NON-TAXABLE SALES-SPECIAL ORDE</v>
      </c>
      <c r="C26" s="11"/>
      <c r="D26" s="2">
        <f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--7</f>
        <v>7</v>
      </c>
      <c r="Q26" s="2"/>
      <c r="R26" s="19"/>
      <c r="S26" s="2"/>
      <c r="T26" s="2"/>
      <c r="U26" s="2"/>
      <c r="V26" s="19"/>
      <c r="W26" s="2"/>
      <c r="X26" s="2">
        <f t="shared" si="2"/>
        <v>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"4226", " - ", "SALES RETURN TAXABLE-WRITING I")</f>
        <v xml:space="preserve">          4226 - SALES RETURN TAXABLE-WRITING I</v>
      </c>
      <c r="C27" s="11"/>
      <c r="D27" s="2">
        <f>-0.79</f>
        <v>-0.79</v>
      </c>
      <c r="E27" s="2"/>
      <c r="F27" s="19"/>
      <c r="G27" s="2"/>
      <c r="H27" s="2"/>
      <c r="I27" s="2"/>
      <c r="J27" s="19"/>
      <c r="K27" s="2"/>
      <c r="L27" s="2">
        <f t="shared" si="0"/>
        <v>-0.79</v>
      </c>
      <c r="M27" s="2"/>
      <c r="N27" s="19">
        <f t="shared" si="1"/>
        <v>0</v>
      </c>
      <c r="O27" s="11"/>
      <c r="P27" s="2">
        <f>-28.64</f>
        <v>-28.64</v>
      </c>
      <c r="Q27" s="2"/>
      <c r="R27" s="19"/>
      <c r="S27" s="2"/>
      <c r="T27" s="2"/>
      <c r="U27" s="2"/>
      <c r="V27" s="19"/>
      <c r="W27" s="2"/>
      <c r="X27" s="2">
        <f t="shared" si="2"/>
        <v>-28.64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"4227", " - ", "SALES RETURN TAXABLE-SCHOOL SU")</f>
        <v xml:space="preserve">          4227 - SALES RETURN TAXABLE-SCHOOL SU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-43.21</f>
        <v>-43.21</v>
      </c>
      <c r="Q28" s="2"/>
      <c r="R28" s="19"/>
      <c r="S28" s="2"/>
      <c r="T28" s="2"/>
      <c r="U28" s="2"/>
      <c r="V28" s="19"/>
      <c r="W28" s="2"/>
      <c r="X28" s="2">
        <f t="shared" si="2"/>
        <v>-43.21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"4240", " - ", "SALES RETURN TAXABLE-LOGO CLOT")</f>
        <v xml:space="preserve">          4240 - SALES RETURN TAXABLE-LOGO CLOT</v>
      </c>
      <c r="C29" s="11"/>
      <c r="D29" s="2">
        <f>-698.15</f>
        <v>-698.15</v>
      </c>
      <c r="E29" s="2"/>
      <c r="F29" s="19"/>
      <c r="G29" s="2"/>
      <c r="H29" s="2"/>
      <c r="I29" s="2"/>
      <c r="J29" s="19"/>
      <c r="K29" s="2"/>
      <c r="L29" s="2">
        <f t="shared" si="0"/>
        <v>-698.15</v>
      </c>
      <c r="M29" s="2"/>
      <c r="N29" s="19">
        <f t="shared" si="1"/>
        <v>0</v>
      </c>
      <c r="O29" s="11"/>
      <c r="P29" s="2">
        <f>-9894.38</f>
        <v>-9894.3799999999992</v>
      </c>
      <c r="Q29" s="2"/>
      <c r="R29" s="19"/>
      <c r="S29" s="2"/>
      <c r="T29" s="2"/>
      <c r="U29" s="2"/>
      <c r="V29" s="19"/>
      <c r="W29" s="2"/>
      <c r="X29" s="2">
        <f t="shared" si="2"/>
        <v>-9894.3799999999992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"4241", " - ", "SALES RETURN TAXABLE-LOGO GIFT")</f>
        <v xml:space="preserve">          4241 - SALES RETURN TAXABLE-LOGO GIFT</v>
      </c>
      <c r="C30" s="11"/>
      <c r="D30" s="2">
        <f>-51.26</f>
        <v>-51.26</v>
      </c>
      <c r="E30" s="2"/>
      <c r="F30" s="19"/>
      <c r="G30" s="2"/>
      <c r="H30" s="2"/>
      <c r="I30" s="2"/>
      <c r="J30" s="19"/>
      <c r="K30" s="2"/>
      <c r="L30" s="2">
        <f t="shared" si="0"/>
        <v>-51.26</v>
      </c>
      <c r="M30" s="2"/>
      <c r="N30" s="19">
        <f t="shared" si="1"/>
        <v>0</v>
      </c>
      <c r="O30" s="11"/>
      <c r="P30" s="2">
        <f>-699.91</f>
        <v>-699.91</v>
      </c>
      <c r="Q30" s="2"/>
      <c r="R30" s="19"/>
      <c r="S30" s="2"/>
      <c r="T30" s="2"/>
      <c r="U30" s="2"/>
      <c r="V30" s="19"/>
      <c r="W30" s="2"/>
      <c r="X30" s="2">
        <f t="shared" si="2"/>
        <v>-699.91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"4242", " - ", "SALES RETURN TAXABLE-EVERYDAY")</f>
        <v xml:space="preserve">          4242 - SALES RETURN TAXABLE-EVERYDAY</v>
      </c>
      <c r="C31" s="11"/>
      <c r="D31" s="2">
        <f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-326.06</f>
        <v>-326.06</v>
      </c>
      <c r="Q31" s="2"/>
      <c r="R31" s="19"/>
      <c r="S31" s="2"/>
      <c r="T31" s="2"/>
      <c r="U31" s="2"/>
      <c r="V31" s="19"/>
      <c r="W31" s="2"/>
      <c r="X31" s="2">
        <f t="shared" si="2"/>
        <v>-326.06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"4244", " - ", "SALES RETURN TAXABLE-ACCESSORI")</f>
        <v xml:space="preserve">          4244 - SALES RETURN TAXABLE-ACCESSORI</v>
      </c>
      <c r="C32" s="11"/>
      <c r="D32" s="2">
        <f>-16.95</f>
        <v>-16.95</v>
      </c>
      <c r="E32" s="2"/>
      <c r="F32" s="19"/>
      <c r="G32" s="2"/>
      <c r="H32" s="2"/>
      <c r="I32" s="2"/>
      <c r="J32" s="19"/>
      <c r="K32" s="2"/>
      <c r="L32" s="2">
        <f t="shared" si="0"/>
        <v>-16.95</v>
      </c>
      <c r="M32" s="2"/>
      <c r="N32" s="19">
        <f t="shared" si="1"/>
        <v>0</v>
      </c>
      <c r="O32" s="11"/>
      <c r="P32" s="2">
        <f>-59.83</f>
        <v>-59.83</v>
      </c>
      <c r="Q32" s="2"/>
      <c r="R32" s="19"/>
      <c r="S32" s="2"/>
      <c r="T32" s="2"/>
      <c r="U32" s="2"/>
      <c r="V32" s="19"/>
      <c r="W32" s="2"/>
      <c r="X32" s="2">
        <f t="shared" si="2"/>
        <v>-59.83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"4245", " - ", "SALES RETURN TAXABLE-SPECIAL O")</f>
        <v xml:space="preserve">          4245 - SALES RETURN TAXABLE-SPECIAL O</v>
      </c>
      <c r="C33" s="11"/>
      <c r="D33" s="2">
        <f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-7</f>
        <v>-7</v>
      </c>
      <c r="Q33" s="2"/>
      <c r="R33" s="19"/>
      <c r="S33" s="2"/>
      <c r="T33" s="2"/>
      <c r="U33" s="2"/>
      <c r="V33" s="19"/>
      <c r="W33" s="2"/>
      <c r="X33" s="2">
        <f t="shared" si="2"/>
        <v>-7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9" t="s">
        <v>257</v>
      </c>
      <c r="C35" s="10"/>
      <c r="D35" s="4">
        <f>SUM(OSRRefD16x_0)</f>
        <v>20443</v>
      </c>
      <c r="E35" s="4"/>
      <c r="F35" s="12">
        <f t="shared" ref="F35:F43" si="4">IF(D$12=0,0,D35/D$12)</f>
        <v>0.58906448733264993</v>
      </c>
      <c r="G35" s="4"/>
      <c r="H35" s="4">
        <f>SUM(OSRRefH16x_0)</f>
        <v>25032</v>
      </c>
      <c r="I35" s="4"/>
      <c r="J35" s="12">
        <f t="shared" ref="J35:J43" si="5">IF(H$12=0,0,H35/H$12)</f>
        <v>0.42999965644003163</v>
      </c>
      <c r="K35" s="4"/>
      <c r="L35" s="4">
        <f t="shared" ref="L35:L43" si="6">+D35-H35</f>
        <v>-4589</v>
      </c>
      <c r="M35" s="4"/>
      <c r="N35" s="12">
        <f t="shared" ref="N35:N43" si="7">IF(H35=0,0,L35/H35)</f>
        <v>-0.18332534356024288</v>
      </c>
      <c r="O35" s="10"/>
      <c r="P35" s="4">
        <f>SUM(OSRRefP16x_0)</f>
        <v>130973</v>
      </c>
      <c r="Q35" s="4"/>
      <c r="R35" s="12">
        <f t="shared" ref="R35:R43" si="8">IF(P$12=0,0,P35/P$12)</f>
        <v>0.45793312595292013</v>
      </c>
      <c r="S35" s="4"/>
      <c r="T35" s="4">
        <f>SUM(OSRRefT16x_0)</f>
        <v>228165</v>
      </c>
      <c r="U35" s="4"/>
      <c r="V35" s="12">
        <f t="shared" ref="V35:V43" si="9">IF(T$12=0,0,T35/T$12)</f>
        <v>0.42999779502807101</v>
      </c>
      <c r="W35" s="4"/>
      <c r="X35" s="4">
        <f t="shared" ref="X35:X43" si="10">+P35-T35</f>
        <v>-97192</v>
      </c>
      <c r="Y35" s="4"/>
      <c r="Z35" s="12">
        <f t="shared" ref="Z35:Z43" si="11">IF(T35=0,0,X35/T35)</f>
        <v>-0.42597243223106085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4"/>
        <v>0</v>
      </c>
      <c r="G36" s="2"/>
      <c r="H36" s="2">
        <v>25032</v>
      </c>
      <c r="I36" s="2"/>
      <c r="J36" s="19">
        <f t="shared" si="5"/>
        <v>0.42999965644003163</v>
      </c>
      <c r="K36" s="2"/>
      <c r="L36" s="2">
        <f t="shared" si="6"/>
        <v>-25032</v>
      </c>
      <c r="M36" s="2"/>
      <c r="N36" s="19">
        <f t="shared" si="7"/>
        <v>-1</v>
      </c>
      <c r="O36" s="11"/>
      <c r="P36" s="2"/>
      <c r="Q36" s="2"/>
      <c r="R36" s="19">
        <f t="shared" si="8"/>
        <v>0</v>
      </c>
      <c r="S36" s="2"/>
      <c r="T36" s="2">
        <v>228165</v>
      </c>
      <c r="U36" s="2"/>
      <c r="V36" s="19">
        <f t="shared" si="9"/>
        <v>0.42999779502807101</v>
      </c>
      <c r="W36" s="2"/>
      <c r="X36" s="2">
        <f t="shared" si="10"/>
        <v>-228165</v>
      </c>
      <c r="Y36" s="2"/>
      <c r="Z36" s="19">
        <f t="shared" si="11"/>
        <v>-1</v>
      </c>
    </row>
    <row r="37" spans="1:26" s="24" customFormat="1" hidden="1" outlineLevel="1" x14ac:dyDescent="0.25">
      <c r="A37" s="44"/>
      <c r="B37" s="11" t="str">
        <f>CONCATENATE("          ", "5026", " - ", "PURCHASES @ COST-WRITING INSTR")</f>
        <v xml:space="preserve">          5026 - PURCHASES @ COST-WRITING INSTR</v>
      </c>
      <c r="C37" s="11"/>
      <c r="D37" s="2">
        <v>-2.0499999999999998</v>
      </c>
      <c r="E37" s="2"/>
      <c r="F37" s="19">
        <f t="shared" si="4"/>
        <v>-5.9070694077773922E-5</v>
      </c>
      <c r="G37" s="2"/>
      <c r="H37" s="2"/>
      <c r="I37" s="2"/>
      <c r="J37" s="19">
        <f t="shared" si="5"/>
        <v>0</v>
      </c>
      <c r="K37" s="2"/>
      <c r="L37" s="2">
        <f t="shared" si="6"/>
        <v>-2.0499999999999998</v>
      </c>
      <c r="M37" s="2"/>
      <c r="N37" s="19">
        <f t="shared" si="7"/>
        <v>0</v>
      </c>
      <c r="O37" s="11"/>
      <c r="P37" s="2">
        <v>-2.0499999999999998</v>
      </c>
      <c r="Q37" s="2"/>
      <c r="R37" s="19">
        <f t="shared" si="8"/>
        <v>-7.1676063631701665E-6</v>
      </c>
      <c r="S37" s="2"/>
      <c r="T37" s="2"/>
      <c r="U37" s="2"/>
      <c r="V37" s="19">
        <f t="shared" si="9"/>
        <v>0</v>
      </c>
      <c r="W37" s="2"/>
      <c r="X37" s="2">
        <f t="shared" si="10"/>
        <v>-2.0499999999999998</v>
      </c>
      <c r="Y37" s="2"/>
      <c r="Z37" s="19">
        <f t="shared" si="11"/>
        <v>0</v>
      </c>
    </row>
    <row r="38" spans="1:26" s="24" customFormat="1" hidden="1" outlineLevel="1" x14ac:dyDescent="0.25">
      <c r="A38" s="44"/>
      <c r="B38" s="11" t="str">
        <f>CONCATENATE("          ", "5040", " - ", "PURCHASES @ COST-LOGO CLOTHING")</f>
        <v xml:space="preserve">          5040 - PURCHASES @ COST-LOGO CLOTHING</v>
      </c>
      <c r="C38" s="11"/>
      <c r="D38" s="2"/>
      <c r="E38" s="2"/>
      <c r="F38" s="19">
        <f t="shared" si="4"/>
        <v>0</v>
      </c>
      <c r="G38" s="2"/>
      <c r="H38" s="2"/>
      <c r="I38" s="2"/>
      <c r="J38" s="19">
        <f t="shared" si="5"/>
        <v>0</v>
      </c>
      <c r="K38" s="2"/>
      <c r="L38" s="2">
        <f t="shared" si="6"/>
        <v>0</v>
      </c>
      <c r="M38" s="2"/>
      <c r="N38" s="19">
        <f t="shared" si="7"/>
        <v>0</v>
      </c>
      <c r="O38" s="11"/>
      <c r="P38" s="2">
        <v>0</v>
      </c>
      <c r="Q38" s="2"/>
      <c r="R38" s="19">
        <f t="shared" si="8"/>
        <v>0</v>
      </c>
      <c r="S38" s="2"/>
      <c r="T38" s="2"/>
      <c r="U38" s="2"/>
      <c r="V38" s="19">
        <f t="shared" si="9"/>
        <v>0</v>
      </c>
      <c r="W38" s="2"/>
      <c r="X38" s="2">
        <f t="shared" si="10"/>
        <v>0</v>
      </c>
      <c r="Y38" s="2"/>
      <c r="Z38" s="19">
        <f t="shared" si="11"/>
        <v>0</v>
      </c>
    </row>
    <row r="39" spans="1:26" s="24" customFormat="1" hidden="1" outlineLevel="1" x14ac:dyDescent="0.25">
      <c r="A39" s="44"/>
      <c r="B39" s="11" t="str">
        <f>CONCATENATE("          ", "5041", " - ", "PURCHASES @ COST-LOGO GIFTS")</f>
        <v xml:space="preserve">          5041 - PURCHASES @ COST-LOGO GIFTS</v>
      </c>
      <c r="C39" s="11"/>
      <c r="D39" s="2"/>
      <c r="E39" s="2"/>
      <c r="F39" s="19">
        <f t="shared" si="4"/>
        <v>0</v>
      </c>
      <c r="G39" s="2"/>
      <c r="H39" s="2"/>
      <c r="I39" s="2"/>
      <c r="J39" s="19">
        <f t="shared" si="5"/>
        <v>0</v>
      </c>
      <c r="K39" s="2"/>
      <c r="L39" s="2">
        <f t="shared" si="6"/>
        <v>0</v>
      </c>
      <c r="M39" s="2"/>
      <c r="N39" s="19">
        <f t="shared" si="7"/>
        <v>0</v>
      </c>
      <c r="O39" s="11"/>
      <c r="P39" s="2">
        <v>207.6</v>
      </c>
      <c r="Q39" s="2"/>
      <c r="R39" s="19">
        <f t="shared" si="8"/>
        <v>7.2585125902152516E-4</v>
      </c>
      <c r="S39" s="2"/>
      <c r="T39" s="2"/>
      <c r="U39" s="2"/>
      <c r="V39" s="19">
        <f t="shared" si="9"/>
        <v>0</v>
      </c>
      <c r="W39" s="2"/>
      <c r="X39" s="2">
        <f t="shared" si="10"/>
        <v>207.6</v>
      </c>
      <c r="Y39" s="2"/>
      <c r="Z39" s="19">
        <f t="shared" si="11"/>
        <v>0</v>
      </c>
    </row>
    <row r="40" spans="1:26" s="24" customFormat="1" hidden="1" outlineLevel="1" x14ac:dyDescent="0.25">
      <c r="A40" s="44"/>
      <c r="B40" s="11" t="str">
        <f>CONCATENATE("          ", "5042", " - ", "PURCHASES @ COST-EVERYDAY GIFT")</f>
        <v xml:space="preserve">          5042 - PURCHASES @ COST-EVERYDAY GIFT</v>
      </c>
      <c r="C40" s="11"/>
      <c r="D40" s="2"/>
      <c r="E40" s="2"/>
      <c r="F40" s="19">
        <f t="shared" si="4"/>
        <v>0</v>
      </c>
      <c r="G40" s="2"/>
      <c r="H40" s="2"/>
      <c r="I40" s="2"/>
      <c r="J40" s="19">
        <f t="shared" si="5"/>
        <v>0</v>
      </c>
      <c r="K40" s="2"/>
      <c r="L40" s="2">
        <f t="shared" si="6"/>
        <v>0</v>
      </c>
      <c r="M40" s="2"/>
      <c r="N40" s="19">
        <f t="shared" si="7"/>
        <v>0</v>
      </c>
      <c r="O40" s="11"/>
      <c r="P40" s="2">
        <v>7946.04</v>
      </c>
      <c r="Q40" s="2"/>
      <c r="R40" s="19">
        <f t="shared" si="8"/>
        <v>2.7782481398051062E-2</v>
      </c>
      <c r="S40" s="2"/>
      <c r="T40" s="2"/>
      <c r="U40" s="2"/>
      <c r="V40" s="19">
        <f t="shared" si="9"/>
        <v>0</v>
      </c>
      <c r="W40" s="2"/>
      <c r="X40" s="2">
        <f t="shared" si="10"/>
        <v>7946.04</v>
      </c>
      <c r="Y40" s="2"/>
      <c r="Z40" s="19">
        <f t="shared" si="11"/>
        <v>0</v>
      </c>
    </row>
    <row r="41" spans="1:26" s="24" customFormat="1" hidden="1" outlineLevel="1" x14ac:dyDescent="0.25">
      <c r="A41" s="44"/>
      <c r="B41" s="11" t="str">
        <f>CONCATENATE("          ", "5086", " - ", "PURCHASES @ COST-COMPUTER SUPP")</f>
        <v xml:space="preserve">          5086 - PURCHASES @ COST-COMPUTER SUPP</v>
      </c>
      <c r="C41" s="11"/>
      <c r="D41" s="2"/>
      <c r="E41" s="2"/>
      <c r="F41" s="19">
        <f t="shared" si="4"/>
        <v>0</v>
      </c>
      <c r="G41" s="2"/>
      <c r="H41" s="2"/>
      <c r="I41" s="2"/>
      <c r="J41" s="19">
        <f t="shared" si="5"/>
        <v>0</v>
      </c>
      <c r="K41" s="2"/>
      <c r="L41" s="2">
        <f t="shared" si="6"/>
        <v>0</v>
      </c>
      <c r="M41" s="2"/>
      <c r="N41" s="19">
        <f t="shared" si="7"/>
        <v>0</v>
      </c>
      <c r="O41" s="11"/>
      <c r="P41" s="2">
        <v>13.21</v>
      </c>
      <c r="Q41" s="2"/>
      <c r="R41" s="19">
        <f t="shared" si="8"/>
        <v>4.6187356125598985E-5</v>
      </c>
      <c r="S41" s="2"/>
      <c r="T41" s="2"/>
      <c r="U41" s="2"/>
      <c r="V41" s="19">
        <f t="shared" si="9"/>
        <v>0</v>
      </c>
      <c r="W41" s="2"/>
      <c r="X41" s="2">
        <f t="shared" si="10"/>
        <v>13.21</v>
      </c>
      <c r="Y41" s="2"/>
      <c r="Z41" s="19">
        <f t="shared" si="11"/>
        <v>0</v>
      </c>
    </row>
    <row r="42" spans="1:26" s="24" customFormat="1" hidden="1" outlineLevel="1" x14ac:dyDescent="0.25">
      <c r="A42" s="44"/>
      <c r="B42" s="11" t="str">
        <f>CONCATENATE("          ", "5200", " - ", "PURCHASES OFFSET")</f>
        <v xml:space="preserve">          5200 - PURCHASES OFFSET</v>
      </c>
      <c r="C42" s="11"/>
      <c r="D42" s="2">
        <v>2.0499999999999998</v>
      </c>
      <c r="E42" s="2"/>
      <c r="F42" s="19">
        <f t="shared" si="4"/>
        <v>5.9070694077773922E-5</v>
      </c>
      <c r="G42" s="2"/>
      <c r="H42" s="2"/>
      <c r="I42" s="2"/>
      <c r="J42" s="19">
        <f t="shared" si="5"/>
        <v>0</v>
      </c>
      <c r="K42" s="2"/>
      <c r="L42" s="2">
        <f t="shared" si="6"/>
        <v>2.0499999999999998</v>
      </c>
      <c r="M42" s="2"/>
      <c r="N42" s="19">
        <f t="shared" si="7"/>
        <v>0</v>
      </c>
      <c r="O42" s="11"/>
      <c r="P42" s="2">
        <v>-8164.8</v>
      </c>
      <c r="Q42" s="2"/>
      <c r="R42" s="19">
        <f t="shared" si="8"/>
        <v>-2.8547352406835015E-2</v>
      </c>
      <c r="S42" s="2"/>
      <c r="T42" s="2"/>
      <c r="U42" s="2"/>
      <c r="V42" s="19">
        <f t="shared" si="9"/>
        <v>0</v>
      </c>
      <c r="W42" s="2"/>
      <c r="X42" s="2">
        <f t="shared" si="10"/>
        <v>-8164.8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"5300", " - ", "COG$ OFFSET")</f>
        <v xml:space="preserve">          5300 - COG$ OFFSET</v>
      </c>
      <c r="C43" s="11"/>
      <c r="D43" s="2">
        <v>20443</v>
      </c>
      <c r="E43" s="2"/>
      <c r="F43" s="19">
        <f t="shared" si="4"/>
        <v>0.58906448733264993</v>
      </c>
      <c r="G43" s="2"/>
      <c r="H43" s="2"/>
      <c r="I43" s="2"/>
      <c r="J43" s="19">
        <f t="shared" si="5"/>
        <v>0</v>
      </c>
      <c r="K43" s="2"/>
      <c r="L43" s="2">
        <f t="shared" si="6"/>
        <v>20443</v>
      </c>
      <c r="M43" s="2"/>
      <c r="N43" s="19">
        <f t="shared" si="7"/>
        <v>0</v>
      </c>
      <c r="O43" s="11"/>
      <c r="P43" s="2">
        <v>130973</v>
      </c>
      <c r="Q43" s="2"/>
      <c r="R43" s="19">
        <f t="shared" si="8"/>
        <v>0.45793312595292013</v>
      </c>
      <c r="S43" s="2"/>
      <c r="T43" s="2"/>
      <c r="U43" s="2"/>
      <c r="V43" s="19">
        <f t="shared" si="9"/>
        <v>0</v>
      </c>
      <c r="W43" s="2"/>
      <c r="X43" s="2">
        <f t="shared" si="10"/>
        <v>130973</v>
      </c>
      <c r="Y43" s="2"/>
      <c r="Z43" s="19">
        <f t="shared" si="11"/>
        <v>0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10"/>
      <c r="B45" s="28" t="s">
        <v>108</v>
      </c>
      <c r="C45" s="28"/>
      <c r="D45" s="20">
        <f>D12-D35</f>
        <v>14261.179999999993</v>
      </c>
      <c r="E45" s="14"/>
      <c r="F45" s="21">
        <f>IF(D$12=0,0,D45/D$12)</f>
        <v>0.41093551266735007</v>
      </c>
      <c r="G45" s="14"/>
      <c r="H45" s="20">
        <f>H12-H35</f>
        <v>33182</v>
      </c>
      <c r="I45" s="14"/>
      <c r="J45" s="21">
        <f>IF(H$12=0,0,H45/H$12)</f>
        <v>0.57000034355996843</v>
      </c>
      <c r="K45" s="15"/>
      <c r="L45" s="20">
        <f>+D45-H45</f>
        <v>-18920.820000000007</v>
      </c>
      <c r="M45" s="15"/>
      <c r="N45" s="21">
        <f>IF(H45=0,0,L45/H45)</f>
        <v>-0.5702133686938704</v>
      </c>
      <c r="O45" s="29"/>
      <c r="P45" s="20">
        <f>P12-P35</f>
        <v>155036.01</v>
      </c>
      <c r="Q45" s="14"/>
      <c r="R45" s="21">
        <f>IF(P$12=0,0,P45/P$12)</f>
        <v>0.54206687404707987</v>
      </c>
      <c r="S45" s="14"/>
      <c r="T45" s="20">
        <f>T12-T35</f>
        <v>302454</v>
      </c>
      <c r="U45" s="14"/>
      <c r="V45" s="21">
        <f>IF(T$12=0,0,T45/T$12)</f>
        <v>0.57000220497192899</v>
      </c>
      <c r="W45" s="15"/>
      <c r="X45" s="20">
        <f>+P45-T45</f>
        <v>-147417.99</v>
      </c>
      <c r="Y45" s="15"/>
      <c r="Z45" s="21">
        <f>IF(T45=0,0,X45/T45)</f>
        <v>-0.48740631633240095</v>
      </c>
    </row>
    <row r="46" spans="1:26" x14ac:dyDescent="0.25">
      <c r="A46" s="9"/>
      <c r="B46" s="10"/>
      <c r="C46" s="9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9" t="s">
        <v>295</v>
      </c>
      <c r="C47" s="10"/>
      <c r="D47" s="22">
        <f>SUM(OSRRefD22x_0)</f>
        <v>19146.02</v>
      </c>
      <c r="E47" s="22"/>
      <c r="F47" s="31">
        <f t="shared" ref="F47:F57" si="12">IF(D$12=0,0,D47/D$12)</f>
        <v>0.55169204401314209</v>
      </c>
      <c r="G47" s="22"/>
      <c r="H47" s="22">
        <f>SUM(OSRRefH22x_0)</f>
        <v>26045.178761846153</v>
      </c>
      <c r="I47" s="22"/>
      <c r="J47" s="31">
        <f t="shared" ref="J47:J57" si="13">IF(H$12=0,0,H47/H$12)</f>
        <v>0.44740403960982156</v>
      </c>
      <c r="K47" s="4"/>
      <c r="L47" s="22">
        <f t="shared" ref="L47:L57" si="14">+D47-H47</f>
        <v>-6899.1587618461526</v>
      </c>
      <c r="M47" s="4"/>
      <c r="N47" s="31">
        <f t="shared" ref="N47:N57" si="15">IF(H47=0,0,L47/H47)</f>
        <v>-0.26489197194349073</v>
      </c>
      <c r="O47" s="10"/>
      <c r="P47" s="22">
        <f>SUM(OSRRefP22x_0)</f>
        <v>236296.53000000003</v>
      </c>
      <c r="Q47" s="22"/>
      <c r="R47" s="31">
        <f t="shared" ref="R47:R57" si="16">IF(P$12=0,0,P47/P$12)</f>
        <v>0.82618561562099047</v>
      </c>
      <c r="S47" s="22"/>
      <c r="T47" s="22">
        <f>SUM(OSRRefT22x_0)</f>
        <v>287709.3094901538</v>
      </c>
      <c r="U47" s="22"/>
      <c r="V47" s="31">
        <f t="shared" ref="V47:V57" si="17">IF(T$12=0,0,T47/T$12)</f>
        <v>0.54221448815469064</v>
      </c>
      <c r="W47" s="4"/>
      <c r="X47" s="22">
        <f t="shared" ref="X47:X57" si="18">+P47-T47</f>
        <v>-51412.779490153771</v>
      </c>
      <c r="Y47" s="4"/>
      <c r="Z47" s="31">
        <f t="shared" ref="Z47:Z57" si="19">IF(T47=0,0,X47/T47)</f>
        <v>-0.17869696180934061</v>
      </c>
    </row>
    <row r="48" spans="1:26" s="27" customFormat="1" outlineLevel="1" collapsed="1" x14ac:dyDescent="0.25">
      <c r="A48" s="26"/>
      <c r="B48" s="13" t="str">
        <f>CONCATENATE("     ","*Benefits                                         ")</f>
        <v xml:space="preserve">     *Benefits                                         </v>
      </c>
      <c r="C48" s="13"/>
      <c r="D48" s="1">
        <f>SUM(OSRRefD22_0x_0)</f>
        <v>3745.6499999999996</v>
      </c>
      <c r="E48" s="1"/>
      <c r="F48" s="5">
        <f t="shared" si="12"/>
        <v>0.10793080257190922</v>
      </c>
      <c r="G48" s="1"/>
      <c r="H48" s="1">
        <f>SUM(OSRRefH22_0x_0)</f>
        <v>2147.9018387692322</v>
      </c>
      <c r="I48" s="1"/>
      <c r="J48" s="5">
        <f t="shared" si="13"/>
        <v>3.6896654391885664E-2</v>
      </c>
      <c r="K48" s="1"/>
      <c r="L48" s="1">
        <f t="shared" si="14"/>
        <v>1597.7481612307674</v>
      </c>
      <c r="M48" s="1"/>
      <c r="N48" s="5">
        <f t="shared" si="15"/>
        <v>0.7438646088902704</v>
      </c>
      <c r="O48" s="13"/>
      <c r="P48" s="1">
        <f>SUM(OSRRefP22_0x_0)</f>
        <v>51235.38</v>
      </c>
      <c r="Q48" s="1"/>
      <c r="R48" s="5">
        <f t="shared" si="16"/>
        <v>0.17913904180850804</v>
      </c>
      <c r="S48" s="1"/>
      <c r="T48" s="1">
        <f>SUM(OSRRefT22_0x_0)</f>
        <v>25401.78641323078</v>
      </c>
      <c r="U48" s="1"/>
      <c r="V48" s="5">
        <f t="shared" si="17"/>
        <v>4.7871988023856629E-2</v>
      </c>
      <c r="W48" s="1"/>
      <c r="X48" s="1">
        <f t="shared" si="18"/>
        <v>25833.593586769217</v>
      </c>
      <c r="Y48" s="1"/>
      <c r="Z48" s="5">
        <f t="shared" si="19"/>
        <v>1.0169990868560932</v>
      </c>
    </row>
    <row r="49" spans="1:26" s="24" customFormat="1" hidden="1" outlineLevel="2" x14ac:dyDescent="0.25">
      <c r="A49" s="25"/>
      <c r="B49" s="11" t="str">
        <f>CONCATENATE("          ", "6111", " - ", "F.I.C.A.")</f>
        <v xml:space="preserve">          6111 - F.I.C.A.</v>
      </c>
      <c r="C49" s="11"/>
      <c r="D49" s="7">
        <v>532.12</v>
      </c>
      <c r="E49" s="2"/>
      <c r="F49" s="6">
        <f t="shared" si="12"/>
        <v>1.533302328422686E-2</v>
      </c>
      <c r="G49" s="2"/>
      <c r="H49" s="7">
        <v>283.30699569230802</v>
      </c>
      <c r="I49" s="2"/>
      <c r="J49" s="6">
        <f t="shared" si="13"/>
        <v>4.8666471242709321E-3</v>
      </c>
      <c r="K49" s="2"/>
      <c r="L49" s="7">
        <f t="shared" si="14"/>
        <v>248.81300430769198</v>
      </c>
      <c r="M49" s="2"/>
      <c r="N49" s="6">
        <f t="shared" si="15"/>
        <v>0.87824518310843613</v>
      </c>
      <c r="O49" s="11"/>
      <c r="P49" s="7">
        <v>7394.26</v>
      </c>
      <c r="Q49" s="2"/>
      <c r="R49" s="6">
        <f t="shared" si="16"/>
        <v>2.5853241476553483E-2</v>
      </c>
      <c r="S49" s="2"/>
      <c r="T49" s="7">
        <v>4271.9422763077</v>
      </c>
      <c r="U49" s="2"/>
      <c r="V49" s="6">
        <f t="shared" si="17"/>
        <v>8.0508656424057561E-3</v>
      </c>
      <c r="W49" s="2"/>
      <c r="X49" s="7">
        <f t="shared" si="18"/>
        <v>3122.3177236923002</v>
      </c>
      <c r="Y49" s="2"/>
      <c r="Z49" s="6">
        <f t="shared" si="19"/>
        <v>0.73088949282127558</v>
      </c>
    </row>
    <row r="50" spans="1:26" s="24" customFormat="1" hidden="1" outlineLevel="2" x14ac:dyDescent="0.25">
      <c r="A50" s="25"/>
      <c r="B50" s="11" t="str">
        <f>CONCATENATE("          ", "6112", " - ", "COMPENSATION INSURANCE")</f>
        <v xml:space="preserve">          6112 - COMPENSATION INSURANCE</v>
      </c>
      <c r="C50" s="11"/>
      <c r="D50" s="7">
        <v>168.91</v>
      </c>
      <c r="E50" s="2"/>
      <c r="F50" s="6">
        <f t="shared" si="12"/>
        <v>4.867137042281363E-3</v>
      </c>
      <c r="G50" s="2"/>
      <c r="H50" s="7">
        <v>170.93089230769201</v>
      </c>
      <c r="I50" s="2"/>
      <c r="J50" s="6">
        <f t="shared" si="13"/>
        <v>2.9362505979264784E-3</v>
      </c>
      <c r="K50" s="2"/>
      <c r="L50" s="7">
        <f t="shared" si="14"/>
        <v>-2.0208923076920087</v>
      </c>
      <c r="M50" s="2"/>
      <c r="N50" s="6">
        <f t="shared" si="15"/>
        <v>-1.1822861744933787E-2</v>
      </c>
      <c r="O50" s="11"/>
      <c r="P50" s="7">
        <v>2361.65</v>
      </c>
      <c r="Q50" s="2"/>
      <c r="R50" s="6">
        <f t="shared" si="16"/>
        <v>8.2572573500394267E-3</v>
      </c>
      <c r="S50" s="2"/>
      <c r="T50" s="7">
        <v>2003.4074076923</v>
      </c>
      <c r="U50" s="2"/>
      <c r="V50" s="6">
        <f t="shared" si="17"/>
        <v>3.7756043558415738E-3</v>
      </c>
      <c r="W50" s="2"/>
      <c r="X50" s="7">
        <f t="shared" si="18"/>
        <v>358.24259230770008</v>
      </c>
      <c r="Y50" s="2"/>
      <c r="Z50" s="6">
        <f t="shared" si="19"/>
        <v>0.17881664554707585</v>
      </c>
    </row>
    <row r="51" spans="1:26" s="24" customFormat="1" hidden="1" outlineLevel="2" x14ac:dyDescent="0.25">
      <c r="A51" s="25"/>
      <c r="B51" s="11" t="str">
        <f>CONCATENATE("          ", "6113", " - ", "GROUP INSURANCE")</f>
        <v xml:space="preserve">          6113 - GROUP INSURANCE</v>
      </c>
      <c r="C51" s="11"/>
      <c r="D51" s="7">
        <v>1998.43</v>
      </c>
      <c r="E51" s="2"/>
      <c r="F51" s="6">
        <f t="shared" si="12"/>
        <v>5.7584705934558902E-2</v>
      </c>
      <c r="G51" s="2"/>
      <c r="H51" s="7">
        <v>990</v>
      </c>
      <c r="I51" s="2"/>
      <c r="J51" s="6">
        <f t="shared" si="13"/>
        <v>1.7006218435427906E-2</v>
      </c>
      <c r="K51" s="2"/>
      <c r="L51" s="7">
        <f t="shared" si="14"/>
        <v>1008.4300000000001</v>
      </c>
      <c r="M51" s="2"/>
      <c r="N51" s="6">
        <f t="shared" si="15"/>
        <v>1.0186161616161618</v>
      </c>
      <c r="O51" s="11"/>
      <c r="P51" s="7">
        <v>26285.759999999998</v>
      </c>
      <c r="Q51" s="2"/>
      <c r="R51" s="6">
        <f t="shared" si="16"/>
        <v>9.1905356408177485E-2</v>
      </c>
      <c r="S51" s="2"/>
      <c r="T51" s="7">
        <v>10890</v>
      </c>
      <c r="U51" s="2"/>
      <c r="V51" s="6">
        <f t="shared" si="17"/>
        <v>2.0523200262335121E-2</v>
      </c>
      <c r="W51" s="2"/>
      <c r="X51" s="7">
        <f t="shared" si="18"/>
        <v>15395.759999999998</v>
      </c>
      <c r="Y51" s="2"/>
      <c r="Z51" s="6">
        <f t="shared" si="19"/>
        <v>1.4137520661157024</v>
      </c>
    </row>
    <row r="52" spans="1:26" s="24" customFormat="1" hidden="1" outlineLevel="2" x14ac:dyDescent="0.25">
      <c r="A52" s="25"/>
      <c r="B52" s="11" t="str">
        <f>CONCATENATE("          ", "6114", " - ", "STATE UNEMPLOYMENT INSURANCE")</f>
        <v xml:space="preserve">          6114 - STATE UNEMPLOYMENT INSURANCE</v>
      </c>
      <c r="C52" s="11"/>
      <c r="D52" s="7">
        <v>23.74</v>
      </c>
      <c r="E52" s="2"/>
      <c r="F52" s="6">
        <f t="shared" si="12"/>
        <v>6.8406745239334296E-4</v>
      </c>
      <c r="G52" s="2"/>
      <c r="H52" s="7">
        <v>24.02272</v>
      </c>
      <c r="I52" s="2"/>
      <c r="J52" s="6">
        <f t="shared" si="13"/>
        <v>4.1266224619507333E-4</v>
      </c>
      <c r="K52" s="2"/>
      <c r="L52" s="7">
        <f t="shared" si="14"/>
        <v>-0.28272000000000119</v>
      </c>
      <c r="M52" s="2"/>
      <c r="N52" s="6">
        <f t="shared" si="15"/>
        <v>-1.1768858813656455E-2</v>
      </c>
      <c r="O52" s="11"/>
      <c r="P52" s="7">
        <v>305.57</v>
      </c>
      <c r="Q52" s="2"/>
      <c r="R52" s="6">
        <f t="shared" si="16"/>
        <v>1.0683929153141015E-3</v>
      </c>
      <c r="S52" s="2"/>
      <c r="T52" s="7">
        <v>281.55995999999999</v>
      </c>
      <c r="U52" s="2"/>
      <c r="V52" s="6">
        <f t="shared" si="17"/>
        <v>5.3062547703719616E-4</v>
      </c>
      <c r="W52" s="2"/>
      <c r="X52" s="7">
        <f t="shared" si="18"/>
        <v>24.010040000000004</v>
      </c>
      <c r="Y52" s="2"/>
      <c r="Z52" s="6">
        <f t="shared" si="19"/>
        <v>8.527505118270369E-2</v>
      </c>
    </row>
    <row r="53" spans="1:26" s="24" customFormat="1" hidden="1" outlineLevel="2" x14ac:dyDescent="0.25">
      <c r="A53" s="25"/>
      <c r="B53" s="11" t="str">
        <f>CONCATENATE("          ", "6115", " - ", "P.E.R.S.")</f>
        <v xml:space="preserve">          6115 - P.E.R.S.</v>
      </c>
      <c r="C53" s="11"/>
      <c r="D53" s="7">
        <v>362.12</v>
      </c>
      <c r="E53" s="2"/>
      <c r="F53" s="6">
        <f t="shared" si="12"/>
        <v>1.0434477921679754E-2</v>
      </c>
      <c r="G53" s="2"/>
      <c r="H53" s="7">
        <v>201.43846153846201</v>
      </c>
      <c r="I53" s="2"/>
      <c r="J53" s="6">
        <f t="shared" si="13"/>
        <v>3.4603095739592195E-3</v>
      </c>
      <c r="K53" s="2"/>
      <c r="L53" s="7">
        <f t="shared" si="14"/>
        <v>160.681538461538</v>
      </c>
      <c r="M53" s="2"/>
      <c r="N53" s="6">
        <f t="shared" si="15"/>
        <v>0.79767059991598466</v>
      </c>
      <c r="O53" s="11"/>
      <c r="P53" s="7">
        <v>4218.6899999999996</v>
      </c>
      <c r="Q53" s="2"/>
      <c r="R53" s="6">
        <f t="shared" si="16"/>
        <v>1.4750199652801145E-2</v>
      </c>
      <c r="S53" s="2"/>
      <c r="T53" s="7">
        <v>2417.2615384615401</v>
      </c>
      <c r="U53" s="2"/>
      <c r="V53" s="6">
        <f t="shared" si="17"/>
        <v>4.5555502883642312E-3</v>
      </c>
      <c r="W53" s="2"/>
      <c r="X53" s="7">
        <f t="shared" si="18"/>
        <v>1801.4284615384595</v>
      </c>
      <c r="Y53" s="2"/>
      <c r="Z53" s="6">
        <f t="shared" si="19"/>
        <v>0.74523523122159718</v>
      </c>
    </row>
    <row r="54" spans="1:26" s="24" customFormat="1" hidden="1" outlineLevel="2" x14ac:dyDescent="0.25">
      <c r="A54" s="25"/>
      <c r="B54" s="11" t="str">
        <f>CONCATENATE("          ", "6116", " - ", "EDUCATIONAL BENEFITS")</f>
        <v xml:space="preserve">          6116 - EDUCATIONAL BENEFITS</v>
      </c>
      <c r="C54" s="11"/>
      <c r="D54" s="7"/>
      <c r="E54" s="2"/>
      <c r="F54" s="6">
        <f t="shared" si="12"/>
        <v>0</v>
      </c>
      <c r="G54" s="2"/>
      <c r="H54" s="7">
        <v>0</v>
      </c>
      <c r="I54" s="2"/>
      <c r="J54" s="6">
        <f t="shared" si="13"/>
        <v>0</v>
      </c>
      <c r="K54" s="2"/>
      <c r="L54" s="7">
        <f t="shared" si="14"/>
        <v>0</v>
      </c>
      <c r="M54" s="2"/>
      <c r="N54" s="6">
        <f t="shared" si="15"/>
        <v>0</v>
      </c>
      <c r="O54" s="11"/>
      <c r="P54" s="7"/>
      <c r="Q54" s="2"/>
      <c r="R54" s="6">
        <f t="shared" si="16"/>
        <v>0</v>
      </c>
      <c r="S54" s="2"/>
      <c r="T54" s="7">
        <v>0</v>
      </c>
      <c r="U54" s="2"/>
      <c r="V54" s="6">
        <f t="shared" si="17"/>
        <v>0</v>
      </c>
      <c r="W54" s="2"/>
      <c r="X54" s="7">
        <f t="shared" si="18"/>
        <v>0</v>
      </c>
      <c r="Y54" s="2"/>
      <c r="Z54" s="6">
        <f t="shared" si="19"/>
        <v>0</v>
      </c>
    </row>
    <row r="55" spans="1:26" s="24" customFormat="1" hidden="1" outlineLevel="2" x14ac:dyDescent="0.25">
      <c r="A55" s="25"/>
      <c r="B55" s="11" t="str">
        <f>CONCATENATE("          ", "6118", " - ", "VACATION")</f>
        <v xml:space="preserve">          6118 - VACATION</v>
      </c>
      <c r="C55" s="11"/>
      <c r="D55" s="7">
        <v>342.56</v>
      </c>
      <c r="E55" s="2"/>
      <c r="F55" s="6">
        <f t="shared" si="12"/>
        <v>9.870857055259627E-3</v>
      </c>
      <c r="G55" s="2"/>
      <c r="H55" s="7">
        <v>117.115384615385</v>
      </c>
      <c r="I55" s="2"/>
      <c r="J55" s="6">
        <f t="shared" si="13"/>
        <v>2.0118078918367572E-3</v>
      </c>
      <c r="K55" s="2"/>
      <c r="L55" s="7">
        <f t="shared" si="14"/>
        <v>225.44461538461502</v>
      </c>
      <c r="M55" s="2"/>
      <c r="N55" s="6">
        <f t="shared" si="15"/>
        <v>1.9249786535303683</v>
      </c>
      <c r="O55" s="11"/>
      <c r="P55" s="7">
        <v>5126.0200000000004</v>
      </c>
      <c r="Q55" s="2"/>
      <c r="R55" s="6">
        <f t="shared" si="16"/>
        <v>1.7922582229140265E-2</v>
      </c>
      <c r="S55" s="2"/>
      <c r="T55" s="7">
        <v>1405.38461538462</v>
      </c>
      <c r="U55" s="2"/>
      <c r="V55" s="6">
        <f t="shared" si="17"/>
        <v>2.6485757490489789E-3</v>
      </c>
      <c r="W55" s="2"/>
      <c r="X55" s="7">
        <f t="shared" si="18"/>
        <v>3720.6353846153806</v>
      </c>
      <c r="Y55" s="2"/>
      <c r="Z55" s="6">
        <f t="shared" si="19"/>
        <v>2.6474143404488117</v>
      </c>
    </row>
    <row r="56" spans="1:26" s="24" customFormat="1" hidden="1" outlineLevel="2" x14ac:dyDescent="0.25">
      <c r="A56" s="25"/>
      <c r="B56" s="11" t="str">
        <f>CONCATENATE("          ", "6119", " - ", "SICK LEAVE")</f>
        <v xml:space="preserve">          6119 - SICK LEAVE</v>
      </c>
      <c r="C56" s="11"/>
      <c r="D56" s="7">
        <v>216.08</v>
      </c>
      <c r="E56" s="2"/>
      <c r="F56" s="6">
        <f t="shared" si="12"/>
        <v>6.2263393055245813E-3</v>
      </c>
      <c r="G56" s="2"/>
      <c r="H56" s="7">
        <v>186.08738461538499</v>
      </c>
      <c r="I56" s="2"/>
      <c r="J56" s="6">
        <f t="shared" si="13"/>
        <v>3.1966087988350737E-3</v>
      </c>
      <c r="K56" s="2"/>
      <c r="L56" s="7">
        <f t="shared" si="14"/>
        <v>29.992615384615021</v>
      </c>
      <c r="M56" s="2"/>
      <c r="N56" s="6">
        <f t="shared" si="15"/>
        <v>0.16117489880684446</v>
      </c>
      <c r="O56" s="11"/>
      <c r="P56" s="7">
        <v>3983.95</v>
      </c>
      <c r="Q56" s="2"/>
      <c r="R56" s="6">
        <f t="shared" si="16"/>
        <v>1.3929456278317945E-2</v>
      </c>
      <c r="S56" s="2"/>
      <c r="T56" s="7">
        <v>2207.2306153846198</v>
      </c>
      <c r="U56" s="2"/>
      <c r="V56" s="6">
        <f t="shared" si="17"/>
        <v>4.1597278186130161E-3</v>
      </c>
      <c r="W56" s="2"/>
      <c r="X56" s="7">
        <f t="shared" si="18"/>
        <v>1776.71938461538</v>
      </c>
      <c r="Y56" s="2"/>
      <c r="Z56" s="6">
        <f t="shared" si="19"/>
        <v>0.80495412315843518</v>
      </c>
    </row>
    <row r="57" spans="1:26" s="24" customFormat="1" hidden="1" outlineLevel="2" x14ac:dyDescent="0.25">
      <c r="A57" s="25"/>
      <c r="B57" s="11" t="str">
        <f>CONCATENATE("          ", "6156", " - ", "EMPLOYEE MEALS")</f>
        <v xml:space="preserve">          6156 - EMPLOYEE MEALS</v>
      </c>
      <c r="C57" s="11"/>
      <c r="D57" s="7">
        <v>101.69</v>
      </c>
      <c r="E57" s="2"/>
      <c r="F57" s="6">
        <f t="shared" si="12"/>
        <v>2.9301945759847956E-3</v>
      </c>
      <c r="G57" s="2"/>
      <c r="H57" s="7">
        <v>175</v>
      </c>
      <c r="I57" s="2"/>
      <c r="J57" s="6">
        <f t="shared" si="13"/>
        <v>3.0061497234342253E-3</v>
      </c>
      <c r="K57" s="2"/>
      <c r="L57" s="7">
        <f t="shared" si="14"/>
        <v>-73.31</v>
      </c>
      <c r="M57" s="2"/>
      <c r="N57" s="6">
        <f t="shared" si="15"/>
        <v>-0.41891428571428574</v>
      </c>
      <c r="O57" s="11"/>
      <c r="P57" s="7">
        <v>1559.48</v>
      </c>
      <c r="Q57" s="2"/>
      <c r="R57" s="6">
        <f t="shared" si="16"/>
        <v>5.4525554981642013E-3</v>
      </c>
      <c r="S57" s="2"/>
      <c r="T57" s="7">
        <v>1925</v>
      </c>
      <c r="U57" s="2"/>
      <c r="V57" s="6">
        <f t="shared" si="17"/>
        <v>3.6278384302107537E-3</v>
      </c>
      <c r="W57" s="2"/>
      <c r="X57" s="7">
        <f t="shared" si="18"/>
        <v>-365.52</v>
      </c>
      <c r="Y57" s="2"/>
      <c r="Z57" s="6">
        <f t="shared" si="19"/>
        <v>-0.18988051948051948</v>
      </c>
    </row>
    <row r="58" spans="1:26" s="27" customFormat="1" outlineLevel="1" collapsed="1" x14ac:dyDescent="0.25">
      <c r="A58" s="26"/>
      <c r="B58" s="13" t="str">
        <f>CONCATENATE("     ","*Payroll                                          ")</f>
        <v xml:space="preserve">     *Payroll                                          </v>
      </c>
      <c r="C58" s="13"/>
      <c r="D58" s="1">
        <f>SUM(OSRRefD22_1x_0)</f>
        <v>7647.45</v>
      </c>
      <c r="E58" s="1"/>
      <c r="F58" s="5">
        <f t="shared" ref="F58:F68" si="20">IF(D$12=0,0,D58/D$12)</f>
        <v>0.22036106313418158</v>
      </c>
      <c r="G58" s="1"/>
      <c r="H58" s="1">
        <f>SUM(OSRRefH22_1x_0)</f>
        <v>9005.2769230769209</v>
      </c>
      <c r="I58" s="1"/>
      <c r="J58" s="5">
        <f t="shared" ref="J58:J68" si="21">IF(H$12=0,0,H58/H$12)</f>
        <v>0.15469263275289313</v>
      </c>
      <c r="K58" s="1"/>
      <c r="L58" s="1">
        <f t="shared" ref="L58:L68" si="22">+D58-H58</f>
        <v>-1357.826923076921</v>
      </c>
      <c r="M58" s="1"/>
      <c r="N58" s="5">
        <f t="shared" ref="N58:N68" si="23">IF(H58=0,0,L58/H58)</f>
        <v>-0.15078125133468734</v>
      </c>
      <c r="O58" s="13"/>
      <c r="P58" s="1">
        <f>SUM(OSRRefP22_1x_0)</f>
        <v>90835.67</v>
      </c>
      <c r="Q58" s="1"/>
      <c r="R58" s="5">
        <f t="shared" ref="R58:R68" si="24">IF(P$12=0,0,P58/P$12)</f>
        <v>0.31759723233893922</v>
      </c>
      <c r="S58" s="1"/>
      <c r="T58" s="1">
        <f>SUM(OSRRefT22_1x_0)</f>
        <v>105481.52307692301</v>
      </c>
      <c r="U58" s="1"/>
      <c r="V58" s="5">
        <f t="shared" ref="V58:V68" si="25">IF(T$12=0,0,T58/T$12)</f>
        <v>0.19878957043928508</v>
      </c>
      <c r="W58" s="1"/>
      <c r="X58" s="1">
        <f t="shared" ref="X58:X68" si="26">+P58-T58</f>
        <v>-14645.853076923013</v>
      </c>
      <c r="Y58" s="1"/>
      <c r="Z58" s="5">
        <f t="shared" ref="Z58:Z68" si="27">IF(T58=0,0,X58/T58)</f>
        <v>-0.13884756922065336</v>
      </c>
    </row>
    <row r="59" spans="1:26" s="24" customFormat="1" hidden="1" outlineLevel="2" x14ac:dyDescent="0.25">
      <c r="A59" s="25"/>
      <c r="B59" s="11" t="str">
        <f>CONCATENATE("          ", "6001", " - ", "ADMINISTRATIVE SALARIES")</f>
        <v xml:space="preserve">          6001 - ADMINISTRATIVE SALARIES</v>
      </c>
      <c r="C59" s="11"/>
      <c r="D59" s="7"/>
      <c r="E59" s="2"/>
      <c r="F59" s="6">
        <f t="shared" si="20"/>
        <v>0</v>
      </c>
      <c r="G59" s="2"/>
      <c r="H59" s="7">
        <v>0</v>
      </c>
      <c r="I59" s="2"/>
      <c r="J59" s="6">
        <f t="shared" si="21"/>
        <v>0</v>
      </c>
      <c r="K59" s="2"/>
      <c r="L59" s="7">
        <f t="shared" si="22"/>
        <v>0</v>
      </c>
      <c r="M59" s="2"/>
      <c r="N59" s="6">
        <f t="shared" si="23"/>
        <v>0</v>
      </c>
      <c r="O59" s="11"/>
      <c r="P59" s="7"/>
      <c r="Q59" s="2"/>
      <c r="R59" s="6">
        <f t="shared" si="24"/>
        <v>0</v>
      </c>
      <c r="S59" s="2"/>
      <c r="T59" s="7">
        <v>0</v>
      </c>
      <c r="U59" s="2"/>
      <c r="V59" s="6">
        <f t="shared" si="25"/>
        <v>0</v>
      </c>
      <c r="W59" s="2"/>
      <c r="X59" s="7">
        <f t="shared" si="26"/>
        <v>0</v>
      </c>
      <c r="Y59" s="2"/>
      <c r="Z59" s="6">
        <f t="shared" si="27"/>
        <v>0</v>
      </c>
    </row>
    <row r="60" spans="1:26" s="24" customFormat="1" hidden="1" outlineLevel="2" x14ac:dyDescent="0.25">
      <c r="A60" s="25"/>
      <c r="B60" s="11" t="str">
        <f>CONCATENATE("          ", "6002", " - ", "STAFF SALARIES")</f>
        <v xml:space="preserve">          6002 - STAFF SALARIES</v>
      </c>
      <c r="C60" s="11"/>
      <c r="D60" s="7">
        <v>4684.62</v>
      </c>
      <c r="E60" s="2"/>
      <c r="F60" s="6">
        <f t="shared" si="20"/>
        <v>0.13498719750762014</v>
      </c>
      <c r="G60" s="2"/>
      <c r="H60" s="7">
        <v>2108.0769230769201</v>
      </c>
      <c r="I60" s="2"/>
      <c r="J60" s="6">
        <f t="shared" si="21"/>
        <v>3.6212542053061465E-2</v>
      </c>
      <c r="K60" s="2"/>
      <c r="L60" s="7">
        <f t="shared" si="22"/>
        <v>2576.5430769230798</v>
      </c>
      <c r="M60" s="2"/>
      <c r="N60" s="6">
        <f t="shared" si="23"/>
        <v>1.2222244116037251</v>
      </c>
      <c r="O60" s="11"/>
      <c r="P60" s="7">
        <v>52692.74</v>
      </c>
      <c r="Q60" s="2"/>
      <c r="R60" s="6">
        <f t="shared" si="24"/>
        <v>0.18423454561798594</v>
      </c>
      <c r="S60" s="2"/>
      <c r="T60" s="7">
        <v>25296.923076923002</v>
      </c>
      <c r="U60" s="2"/>
      <c r="V60" s="6">
        <f t="shared" si="25"/>
        <v>4.7674363482881316E-2</v>
      </c>
      <c r="W60" s="2"/>
      <c r="X60" s="7">
        <f t="shared" si="26"/>
        <v>27395.816923076996</v>
      </c>
      <c r="Y60" s="2"/>
      <c r="Z60" s="6">
        <f t="shared" si="27"/>
        <v>1.0829703217174542</v>
      </c>
    </row>
    <row r="61" spans="1:26" s="24" customFormat="1" hidden="1" outlineLevel="2" x14ac:dyDescent="0.25">
      <c r="A61" s="25"/>
      <c r="B61" s="11" t="str">
        <f>CONCATENATE("          ", "6003", " - ", "STAFF HOURLY-9 MONTH")</f>
        <v xml:space="preserve">          6003 - STAFF HOURLY-9 MONTH</v>
      </c>
      <c r="C61" s="11"/>
      <c r="D61" s="7"/>
      <c r="E61" s="2"/>
      <c r="F61" s="6">
        <f t="shared" si="20"/>
        <v>0</v>
      </c>
      <c r="G61" s="2"/>
      <c r="H61" s="7">
        <v>0</v>
      </c>
      <c r="I61" s="2"/>
      <c r="J61" s="6">
        <f t="shared" si="21"/>
        <v>0</v>
      </c>
      <c r="K61" s="2"/>
      <c r="L61" s="7">
        <f t="shared" si="22"/>
        <v>0</v>
      </c>
      <c r="M61" s="2"/>
      <c r="N61" s="6">
        <f t="shared" si="23"/>
        <v>0</v>
      </c>
      <c r="O61" s="11"/>
      <c r="P61" s="7"/>
      <c r="Q61" s="2"/>
      <c r="R61" s="6">
        <f t="shared" si="24"/>
        <v>0</v>
      </c>
      <c r="S61" s="2"/>
      <c r="T61" s="7">
        <v>0</v>
      </c>
      <c r="U61" s="2"/>
      <c r="V61" s="6">
        <f t="shared" si="25"/>
        <v>0</v>
      </c>
      <c r="W61" s="2"/>
      <c r="X61" s="7">
        <f t="shared" si="26"/>
        <v>0</v>
      </c>
      <c r="Y61" s="2"/>
      <c r="Z61" s="6">
        <f t="shared" si="27"/>
        <v>0</v>
      </c>
    </row>
    <row r="62" spans="1:26" s="24" customFormat="1" hidden="1" outlineLevel="2" x14ac:dyDescent="0.25">
      <c r="A62" s="25"/>
      <c r="B62" s="11" t="str">
        <f>CONCATENATE("          ", "6004", " - ", "STAFF HOURLY")</f>
        <v xml:space="preserve">          6004 - STAFF HOURLY</v>
      </c>
      <c r="C62" s="11"/>
      <c r="D62" s="7"/>
      <c r="E62" s="2"/>
      <c r="F62" s="6">
        <f t="shared" si="20"/>
        <v>0</v>
      </c>
      <c r="G62" s="2"/>
      <c r="H62" s="7">
        <v>1359.6</v>
      </c>
      <c r="I62" s="2"/>
      <c r="J62" s="6">
        <f t="shared" si="21"/>
        <v>2.3355206651320987E-2</v>
      </c>
      <c r="K62" s="2"/>
      <c r="L62" s="7">
        <f t="shared" si="22"/>
        <v>-1359.6</v>
      </c>
      <c r="M62" s="2"/>
      <c r="N62" s="6">
        <f t="shared" si="23"/>
        <v>-1</v>
      </c>
      <c r="O62" s="11"/>
      <c r="P62" s="7">
        <v>3456.21</v>
      </c>
      <c r="Q62" s="2"/>
      <c r="R62" s="6">
        <f t="shared" si="24"/>
        <v>1.2084269652903592E-2</v>
      </c>
      <c r="S62" s="2"/>
      <c r="T62" s="7">
        <v>16057.8</v>
      </c>
      <c r="U62" s="2"/>
      <c r="V62" s="6">
        <f t="shared" si="25"/>
        <v>3.0262391659552332E-2</v>
      </c>
      <c r="W62" s="2"/>
      <c r="X62" s="7">
        <f t="shared" si="26"/>
        <v>-12601.59</v>
      </c>
      <c r="Y62" s="2"/>
      <c r="Z62" s="6">
        <f t="shared" si="27"/>
        <v>-0.78476441355602888</v>
      </c>
    </row>
    <row r="63" spans="1:26" s="24" customFormat="1" hidden="1" outlineLevel="2" x14ac:dyDescent="0.25">
      <c r="A63" s="25"/>
      <c r="B63" s="11" t="str">
        <f>CONCATENATE("          ", "6005", " - ", "TEMPORARY WAGES-HOURLY")</f>
        <v xml:space="preserve">          6005 - TEMPORARY WAGES-HOURLY</v>
      </c>
      <c r="C63" s="11"/>
      <c r="D63" s="7">
        <v>1457.48</v>
      </c>
      <c r="E63" s="2"/>
      <c r="F63" s="6">
        <f t="shared" si="20"/>
        <v>4.1997246441206802E-2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1457.48</v>
      </c>
      <c r="M63" s="2"/>
      <c r="N63" s="6">
        <f t="shared" si="23"/>
        <v>0</v>
      </c>
      <c r="O63" s="11"/>
      <c r="P63" s="7">
        <v>18040.59</v>
      </c>
      <c r="Q63" s="2"/>
      <c r="R63" s="6">
        <f t="shared" si="24"/>
        <v>6.3076998867972731E-2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18040.59</v>
      </c>
      <c r="Y63" s="2"/>
      <c r="Z63" s="6">
        <f t="shared" si="27"/>
        <v>0</v>
      </c>
    </row>
    <row r="64" spans="1:26" s="24" customFormat="1" hidden="1" outlineLevel="2" x14ac:dyDescent="0.25">
      <c r="A64" s="25"/>
      <c r="B64" s="11" t="str">
        <f>CONCATENATE("          ", "6006", " - ", "TEMPORARY PART TIME")</f>
        <v xml:space="preserve">          6006 - TEMPORARY PART TIME</v>
      </c>
      <c r="C64" s="11"/>
      <c r="D64" s="7"/>
      <c r="E64" s="2"/>
      <c r="F64" s="6">
        <f t="shared" si="20"/>
        <v>0</v>
      </c>
      <c r="G64" s="2"/>
      <c r="H64" s="7">
        <v>0</v>
      </c>
      <c r="I64" s="2"/>
      <c r="J64" s="6">
        <f t="shared" si="21"/>
        <v>0</v>
      </c>
      <c r="K64" s="2"/>
      <c r="L64" s="7">
        <f t="shared" si="22"/>
        <v>0</v>
      </c>
      <c r="M64" s="2"/>
      <c r="N64" s="6">
        <f t="shared" si="23"/>
        <v>0</v>
      </c>
      <c r="O64" s="11"/>
      <c r="P64" s="7">
        <v>710.96</v>
      </c>
      <c r="Q64" s="2"/>
      <c r="R64" s="6">
        <f t="shared" si="24"/>
        <v>2.4857958146143719E-3</v>
      </c>
      <c r="S64" s="2"/>
      <c r="T64" s="7">
        <v>0</v>
      </c>
      <c r="U64" s="2"/>
      <c r="V64" s="6">
        <f t="shared" si="25"/>
        <v>0</v>
      </c>
      <c r="W64" s="2"/>
      <c r="X64" s="7">
        <f t="shared" si="26"/>
        <v>710.96</v>
      </c>
      <c r="Y64" s="2"/>
      <c r="Z64" s="6">
        <f t="shared" si="27"/>
        <v>0</v>
      </c>
    </row>
    <row r="65" spans="1:26" s="24" customFormat="1" hidden="1" outlineLevel="2" x14ac:dyDescent="0.25">
      <c r="A65" s="25"/>
      <c r="B65" s="11" t="str">
        <f>CONCATENATE("          ", "6007", " - ", "STUDENT HOURLY")</f>
        <v xml:space="preserve">          6007 - STUDENT HOURLY</v>
      </c>
      <c r="C65" s="11"/>
      <c r="D65" s="7">
        <v>1308.3699999999999</v>
      </c>
      <c r="E65" s="2"/>
      <c r="F65" s="6">
        <f t="shared" si="20"/>
        <v>3.7700645858798572E-2</v>
      </c>
      <c r="G65" s="2"/>
      <c r="H65" s="7">
        <v>0</v>
      </c>
      <c r="I65" s="2"/>
      <c r="J65" s="6">
        <f t="shared" si="21"/>
        <v>0</v>
      </c>
      <c r="K65" s="2"/>
      <c r="L65" s="7">
        <f t="shared" si="22"/>
        <v>1308.3699999999999</v>
      </c>
      <c r="M65" s="2"/>
      <c r="N65" s="6">
        <f t="shared" si="23"/>
        <v>0</v>
      </c>
      <c r="O65" s="11"/>
      <c r="P65" s="7">
        <v>13737.68</v>
      </c>
      <c r="Q65" s="2"/>
      <c r="R65" s="6">
        <f t="shared" si="24"/>
        <v>4.803233296741246E-2</v>
      </c>
      <c r="S65" s="2"/>
      <c r="T65" s="7">
        <v>11655</v>
      </c>
      <c r="U65" s="2"/>
      <c r="V65" s="6">
        <f t="shared" si="25"/>
        <v>2.1964912677457836E-2</v>
      </c>
      <c r="W65" s="2"/>
      <c r="X65" s="7">
        <f t="shared" si="26"/>
        <v>2082.6800000000003</v>
      </c>
      <c r="Y65" s="2"/>
      <c r="Z65" s="6">
        <f t="shared" si="27"/>
        <v>0.17869412269412271</v>
      </c>
    </row>
    <row r="66" spans="1:26" s="24" customFormat="1" hidden="1" outlineLevel="2" x14ac:dyDescent="0.25">
      <c r="A66" s="25"/>
      <c r="B66" s="11" t="str">
        <f>CONCATENATE("          ", "6008", " - ", "STUDENT HOURLY-FICA EXEMPT")</f>
        <v xml:space="preserve">          6008 - STUDENT HOURLY-FICA EXEMPT</v>
      </c>
      <c r="C66" s="11"/>
      <c r="D66" s="7">
        <v>196.98</v>
      </c>
      <c r="E66" s="2"/>
      <c r="F66" s="6">
        <f t="shared" si="20"/>
        <v>5.675973326556053E-3</v>
      </c>
      <c r="G66" s="2"/>
      <c r="H66" s="7">
        <v>5537.6</v>
      </c>
      <c r="I66" s="2"/>
      <c r="J66" s="6">
        <f t="shared" si="21"/>
        <v>9.5124884048510674E-2</v>
      </c>
      <c r="K66" s="2"/>
      <c r="L66" s="7">
        <f t="shared" si="22"/>
        <v>-5340.6200000000008</v>
      </c>
      <c r="M66" s="2"/>
      <c r="N66" s="6">
        <f t="shared" si="23"/>
        <v>-0.96442863334296458</v>
      </c>
      <c r="O66" s="11"/>
      <c r="P66" s="7">
        <v>2197.4899999999998</v>
      </c>
      <c r="Q66" s="2"/>
      <c r="R66" s="6">
        <f t="shared" si="24"/>
        <v>7.6832894180501503E-3</v>
      </c>
      <c r="S66" s="2"/>
      <c r="T66" s="7">
        <v>52471.8</v>
      </c>
      <c r="U66" s="2"/>
      <c r="V66" s="6">
        <f t="shared" si="25"/>
        <v>9.8887902619393578E-2</v>
      </c>
      <c r="W66" s="2"/>
      <c r="X66" s="7">
        <f t="shared" si="26"/>
        <v>-50274.310000000005</v>
      </c>
      <c r="Y66" s="2"/>
      <c r="Z66" s="6">
        <f t="shared" si="27"/>
        <v>-0.95812055237289362</v>
      </c>
    </row>
    <row r="67" spans="1:26" s="24" customFormat="1" hidden="1" outlineLevel="2" x14ac:dyDescent="0.25">
      <c r="A67" s="25"/>
      <c r="B67" s="11" t="str">
        <f>CONCATENATE("          ", "6009", " - ", "TEMPORARY-SEASONAL")</f>
        <v xml:space="preserve">          6009 - TEMPORARY-SEASONAL</v>
      </c>
      <c r="C67" s="11"/>
      <c r="D67" s="7"/>
      <c r="E67" s="2"/>
      <c r="F67" s="6">
        <f t="shared" si="20"/>
        <v>0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0</v>
      </c>
      <c r="M67" s="2"/>
      <c r="N67" s="6">
        <f t="shared" si="23"/>
        <v>0</v>
      </c>
      <c r="O67" s="11"/>
      <c r="P67" s="7"/>
      <c r="Q67" s="2"/>
      <c r="R67" s="6">
        <f t="shared" si="24"/>
        <v>0</v>
      </c>
      <c r="S67" s="2"/>
      <c r="T67" s="7">
        <v>0</v>
      </c>
      <c r="U67" s="2"/>
      <c r="V67" s="6">
        <f t="shared" si="25"/>
        <v>0</v>
      </c>
      <c r="W67" s="2"/>
      <c r="X67" s="7">
        <f t="shared" si="26"/>
        <v>0</v>
      </c>
      <c r="Y67" s="2"/>
      <c r="Z67" s="6">
        <f t="shared" si="27"/>
        <v>0</v>
      </c>
    </row>
    <row r="68" spans="1:26" s="24" customFormat="1" hidden="1" outlineLevel="2" x14ac:dyDescent="0.25">
      <c r="A68" s="25"/>
      <c r="B68" s="11" t="str">
        <f>CONCATENATE("          ", "6010", " - ", "GRATUITY")</f>
        <v xml:space="preserve">          6010 - GRATUITY</v>
      </c>
      <c r="C68" s="11"/>
      <c r="D68" s="7"/>
      <c r="E68" s="2"/>
      <c r="F68" s="6">
        <f t="shared" si="20"/>
        <v>0</v>
      </c>
      <c r="G68" s="2"/>
      <c r="H68" s="7">
        <v>0</v>
      </c>
      <c r="I68" s="2"/>
      <c r="J68" s="6">
        <f t="shared" si="21"/>
        <v>0</v>
      </c>
      <c r="K68" s="2"/>
      <c r="L68" s="7">
        <f t="shared" si="22"/>
        <v>0</v>
      </c>
      <c r="M68" s="2"/>
      <c r="N68" s="6">
        <f t="shared" si="23"/>
        <v>0</v>
      </c>
      <c r="O68" s="11"/>
      <c r="P68" s="7"/>
      <c r="Q68" s="2"/>
      <c r="R68" s="6">
        <f t="shared" si="24"/>
        <v>0</v>
      </c>
      <c r="S68" s="2"/>
      <c r="T68" s="7">
        <v>0</v>
      </c>
      <c r="U68" s="2"/>
      <c r="V68" s="6">
        <f t="shared" si="25"/>
        <v>0</v>
      </c>
      <c r="W68" s="2"/>
      <c r="X68" s="7">
        <f t="shared" si="26"/>
        <v>0</v>
      </c>
      <c r="Y68" s="2"/>
      <c r="Z68" s="6">
        <f t="shared" si="27"/>
        <v>0</v>
      </c>
    </row>
    <row r="69" spans="1:26" s="27" customFormat="1" outlineLevel="1" collapsed="1" x14ac:dyDescent="0.25">
      <c r="A69" s="26"/>
      <c r="B69" s="13" t="str">
        <f>CONCATENATE("     ","Advertising/Promo                                 ")</f>
        <v xml:space="preserve">     Advertising/Promo                                 </v>
      </c>
      <c r="C69" s="13"/>
      <c r="D69" s="1">
        <f>SUM(OSRRefD22_2x_0)</f>
        <v>-546</v>
      </c>
      <c r="E69" s="1"/>
      <c r="F69" s="5">
        <f t="shared" ref="F69:F83" si="28">IF(D$12=0,0,D69/D$12)</f>
        <v>-1.5732975105592472E-2</v>
      </c>
      <c r="G69" s="1"/>
      <c r="H69" s="1">
        <f>SUM(OSRRefH22_2x_0)</f>
        <v>50</v>
      </c>
      <c r="I69" s="1"/>
      <c r="J69" s="5">
        <f t="shared" ref="J69:J83" si="29">IF(H$12=0,0,H69/H$12)</f>
        <v>8.588999209812073E-4</v>
      </c>
      <c r="K69" s="1"/>
      <c r="L69" s="1">
        <f t="shared" ref="L69:L83" si="30">+D69-H69</f>
        <v>-596</v>
      </c>
      <c r="M69" s="1"/>
      <c r="N69" s="5">
        <f t="shared" ref="N69:N83" si="31">IF(H69=0,0,L69/H69)</f>
        <v>-11.92</v>
      </c>
      <c r="O69" s="13"/>
      <c r="P69" s="1">
        <f>SUM(OSRRefP22_2x_0)</f>
        <v>1414.2</v>
      </c>
      <c r="Q69" s="1"/>
      <c r="R69" s="5">
        <f t="shared" ref="R69:R83" si="32">IF(P$12=0,0,P69/P$12)</f>
        <v>4.9445994725830491E-3</v>
      </c>
      <c r="S69" s="1"/>
      <c r="T69" s="1">
        <f>SUM(OSRRefT22_2x_0)</f>
        <v>550</v>
      </c>
      <c r="U69" s="1"/>
      <c r="V69" s="5">
        <f t="shared" ref="V69:V83" si="33">IF(T$12=0,0,T69/T$12)</f>
        <v>1.0365252657745011E-3</v>
      </c>
      <c r="W69" s="1"/>
      <c r="X69" s="1">
        <f t="shared" ref="X69:X83" si="34">+P69-T69</f>
        <v>864.2</v>
      </c>
      <c r="Y69" s="1"/>
      <c r="Z69" s="5">
        <f t="shared" ref="Z69:Z83" si="35">IF(T69=0,0,X69/T69)</f>
        <v>1.5712727272727274</v>
      </c>
    </row>
    <row r="70" spans="1:26" s="24" customFormat="1" hidden="1" outlineLevel="2" x14ac:dyDescent="0.25">
      <c r="A70" s="25"/>
      <c r="B70" s="11" t="str">
        <f>CONCATENATE("          ", "6362", " - ", "ADVERTISING EXPENSE")</f>
        <v xml:space="preserve">          6362 - ADVERTISING EXPENSE</v>
      </c>
      <c r="C70" s="11"/>
      <c r="D70" s="7">
        <v>-546</v>
      </c>
      <c r="E70" s="2"/>
      <c r="F70" s="6">
        <f t="shared" si="28"/>
        <v>-1.5732975105592472E-2</v>
      </c>
      <c r="G70" s="2"/>
      <c r="H70" s="7">
        <v>50</v>
      </c>
      <c r="I70" s="2"/>
      <c r="J70" s="6">
        <f t="shared" si="29"/>
        <v>8.588999209812073E-4</v>
      </c>
      <c r="K70" s="2"/>
      <c r="L70" s="7">
        <f t="shared" si="30"/>
        <v>-596</v>
      </c>
      <c r="M70" s="2"/>
      <c r="N70" s="6">
        <f t="shared" si="31"/>
        <v>-11.92</v>
      </c>
      <c r="O70" s="11"/>
      <c r="P70" s="7">
        <v>1414.2</v>
      </c>
      <c r="Q70" s="2"/>
      <c r="R70" s="6">
        <f t="shared" si="32"/>
        <v>4.9445994725830491E-3</v>
      </c>
      <c r="S70" s="2"/>
      <c r="T70" s="7">
        <v>550</v>
      </c>
      <c r="U70" s="2"/>
      <c r="V70" s="6">
        <f t="shared" si="33"/>
        <v>1.0365252657745011E-3</v>
      </c>
      <c r="W70" s="2"/>
      <c r="X70" s="7">
        <f t="shared" si="34"/>
        <v>864.2</v>
      </c>
      <c r="Y70" s="2"/>
      <c r="Z70" s="6">
        <f t="shared" si="35"/>
        <v>1.5712727272727274</v>
      </c>
    </row>
    <row r="71" spans="1:26" s="27" customFormat="1" outlineLevel="1" collapsed="1" x14ac:dyDescent="0.25">
      <c r="A71" s="26"/>
      <c r="B71" s="13" t="str">
        <f>CONCATENATE("     ","Bad Debts/Over/Short                              ")</f>
        <v xml:space="preserve">     Bad Debts/Over/Short                              </v>
      </c>
      <c r="C71" s="13"/>
      <c r="D71" s="1">
        <f>SUM(OSRRefD22_3x_0)</f>
        <v>-1.4</v>
      </c>
      <c r="E71" s="1"/>
      <c r="F71" s="5">
        <f t="shared" si="28"/>
        <v>-4.0340961809211461E-5</v>
      </c>
      <c r="G71" s="1"/>
      <c r="H71" s="1">
        <f>SUM(OSRRefH22_3x_0)</f>
        <v>10</v>
      </c>
      <c r="I71" s="1"/>
      <c r="J71" s="5">
        <f t="shared" si="29"/>
        <v>1.7177998419624146E-4</v>
      </c>
      <c r="K71" s="1"/>
      <c r="L71" s="1">
        <f t="shared" si="30"/>
        <v>-11.4</v>
      </c>
      <c r="M71" s="1"/>
      <c r="N71" s="5">
        <f t="shared" si="31"/>
        <v>-1.1400000000000001</v>
      </c>
      <c r="O71" s="13"/>
      <c r="P71" s="1">
        <f>SUM(OSRRefP22_3x_0)</f>
        <v>-24.5</v>
      </c>
      <c r="Q71" s="1"/>
      <c r="R71" s="5">
        <f t="shared" si="32"/>
        <v>-8.5661637023253217E-5</v>
      </c>
      <c r="S71" s="1"/>
      <c r="T71" s="1">
        <f>SUM(OSRRefT22_3x_0)</f>
        <v>110</v>
      </c>
      <c r="U71" s="1"/>
      <c r="V71" s="5">
        <f t="shared" si="33"/>
        <v>2.0730505315490021E-4</v>
      </c>
      <c r="W71" s="1"/>
      <c r="X71" s="1">
        <f t="shared" si="34"/>
        <v>-134.5</v>
      </c>
      <c r="Y71" s="1"/>
      <c r="Z71" s="5">
        <f t="shared" si="35"/>
        <v>-1.2227272727272727</v>
      </c>
    </row>
    <row r="72" spans="1:26" s="24" customFormat="1" hidden="1" outlineLevel="2" x14ac:dyDescent="0.25">
      <c r="A72" s="25"/>
      <c r="B72" s="11" t="str">
        <f>CONCATENATE("          ", "6272", " - ", "CASH (OVER/SHORT)")</f>
        <v xml:space="preserve">          6272 - CASH (OVER/SHORT)</v>
      </c>
      <c r="C72" s="11"/>
      <c r="D72" s="7">
        <v>-1.4</v>
      </c>
      <c r="E72" s="2"/>
      <c r="F72" s="6">
        <f t="shared" si="28"/>
        <v>-4.0340961809211461E-5</v>
      </c>
      <c r="G72" s="2"/>
      <c r="H72" s="7">
        <v>10</v>
      </c>
      <c r="I72" s="2"/>
      <c r="J72" s="6">
        <f t="shared" si="29"/>
        <v>1.7177998419624146E-4</v>
      </c>
      <c r="K72" s="2"/>
      <c r="L72" s="7">
        <f t="shared" si="30"/>
        <v>-11.4</v>
      </c>
      <c r="M72" s="2"/>
      <c r="N72" s="6">
        <f t="shared" si="31"/>
        <v>-1.1400000000000001</v>
      </c>
      <c r="O72" s="11"/>
      <c r="P72" s="7">
        <v>-24.5</v>
      </c>
      <c r="Q72" s="2"/>
      <c r="R72" s="6">
        <f t="shared" si="32"/>
        <v>-8.5661637023253217E-5</v>
      </c>
      <c r="S72" s="2"/>
      <c r="T72" s="7">
        <v>110</v>
      </c>
      <c r="U72" s="2"/>
      <c r="V72" s="6">
        <f t="shared" si="33"/>
        <v>2.0730505315490021E-4</v>
      </c>
      <c r="W72" s="2"/>
      <c r="X72" s="7">
        <f t="shared" si="34"/>
        <v>-134.5</v>
      </c>
      <c r="Y72" s="2"/>
      <c r="Z72" s="6">
        <f t="shared" si="35"/>
        <v>-1.2227272727272727</v>
      </c>
    </row>
    <row r="73" spans="1:26" s="27" customFormat="1" outlineLevel="1" collapsed="1" x14ac:dyDescent="0.25">
      <c r="A73" s="26"/>
      <c r="B73" s="13" t="str">
        <f>CONCATENATE("     ","Bank/card Fees                                    ")</f>
        <v xml:space="preserve">     Bank/card Fees                                    </v>
      </c>
      <c r="C73" s="13"/>
      <c r="D73" s="1">
        <f>SUM(OSRRefD22_4x_0)</f>
        <v>646.5</v>
      </c>
      <c r="E73" s="1"/>
      <c r="F73" s="5">
        <f t="shared" si="28"/>
        <v>1.8628879864039438E-2</v>
      </c>
      <c r="G73" s="1"/>
      <c r="H73" s="1">
        <f>SUM(OSRRefH22_4x_0)</f>
        <v>1000</v>
      </c>
      <c r="I73" s="1"/>
      <c r="J73" s="5">
        <f t="shared" si="29"/>
        <v>1.7177998419624144E-2</v>
      </c>
      <c r="K73" s="1"/>
      <c r="L73" s="1">
        <f t="shared" si="30"/>
        <v>-353.5</v>
      </c>
      <c r="M73" s="1"/>
      <c r="N73" s="5">
        <f t="shared" si="31"/>
        <v>-0.35349999999999998</v>
      </c>
      <c r="O73" s="13"/>
      <c r="P73" s="1">
        <f>SUM(OSRRefP22_4x_0)</f>
        <v>4478.8500000000004</v>
      </c>
      <c r="Q73" s="1"/>
      <c r="R73" s="5">
        <f t="shared" si="32"/>
        <v>1.5659821346187663E-2</v>
      </c>
      <c r="S73" s="1"/>
      <c r="T73" s="1">
        <f>SUM(OSRRefT22_4x_0)</f>
        <v>7986</v>
      </c>
      <c r="U73" s="1"/>
      <c r="V73" s="5">
        <f t="shared" si="33"/>
        <v>1.5050346859045756E-2</v>
      </c>
      <c r="W73" s="1"/>
      <c r="X73" s="1">
        <f t="shared" si="34"/>
        <v>-3507.1499999999996</v>
      </c>
      <c r="Y73" s="1"/>
      <c r="Z73" s="5">
        <f t="shared" si="35"/>
        <v>-0.4391622839969947</v>
      </c>
    </row>
    <row r="74" spans="1:26" s="24" customFormat="1" hidden="1" outlineLevel="2" x14ac:dyDescent="0.25">
      <c r="A74" s="25"/>
      <c r="B74" s="11" t="str">
        <f>CONCATENATE("          ", "6381", " - ", "BANK/CREDIT CARD FEES")</f>
        <v xml:space="preserve">          6381 - BANK/CREDIT CARD FEES</v>
      </c>
      <c r="C74" s="11"/>
      <c r="D74" s="7">
        <v>646.5</v>
      </c>
      <c r="E74" s="2"/>
      <c r="F74" s="6">
        <f t="shared" si="28"/>
        <v>1.8628879864039438E-2</v>
      </c>
      <c r="G74" s="2"/>
      <c r="H74" s="7">
        <v>1000</v>
      </c>
      <c r="I74" s="2"/>
      <c r="J74" s="6">
        <f t="shared" si="29"/>
        <v>1.7177998419624144E-2</v>
      </c>
      <c r="K74" s="2"/>
      <c r="L74" s="7">
        <f t="shared" si="30"/>
        <v>-353.5</v>
      </c>
      <c r="M74" s="2"/>
      <c r="N74" s="6">
        <f t="shared" si="31"/>
        <v>-0.35349999999999998</v>
      </c>
      <c r="O74" s="11"/>
      <c r="P74" s="7">
        <v>4478.8500000000004</v>
      </c>
      <c r="Q74" s="2"/>
      <c r="R74" s="6">
        <f t="shared" si="32"/>
        <v>1.5659821346187663E-2</v>
      </c>
      <c r="S74" s="2"/>
      <c r="T74" s="7">
        <v>7986</v>
      </c>
      <c r="U74" s="2"/>
      <c r="V74" s="6">
        <f t="shared" si="33"/>
        <v>1.5050346859045756E-2</v>
      </c>
      <c r="W74" s="2"/>
      <c r="X74" s="7">
        <f t="shared" si="34"/>
        <v>-3507.1499999999996</v>
      </c>
      <c r="Y74" s="2"/>
      <c r="Z74" s="6">
        <f t="shared" si="35"/>
        <v>-0.4391622839969947</v>
      </c>
    </row>
    <row r="75" spans="1:26" s="27" customFormat="1" outlineLevel="1" collapsed="1" x14ac:dyDescent="0.25">
      <c r="A75" s="26"/>
      <c r="B75" s="13" t="str">
        <f>CONCATENATE("     ","Discounts and Markdowns                           ")</f>
        <v xml:space="preserve">     Discounts and Markdowns                           </v>
      </c>
      <c r="C75" s="13"/>
      <c r="D75" s="1">
        <f>SUM(OSRRefD22_5x_0)</f>
        <v>0</v>
      </c>
      <c r="E75" s="1"/>
      <c r="F75" s="5">
        <f t="shared" si="28"/>
        <v>0</v>
      </c>
      <c r="G75" s="1"/>
      <c r="H75" s="1">
        <f>SUM(OSRRefH22_5x_0)</f>
        <v>5821</v>
      </c>
      <c r="I75" s="1"/>
      <c r="J75" s="5">
        <f t="shared" si="29"/>
        <v>9.9993128800632144E-2</v>
      </c>
      <c r="K75" s="1"/>
      <c r="L75" s="1">
        <f t="shared" si="30"/>
        <v>-5821</v>
      </c>
      <c r="M75" s="1"/>
      <c r="N75" s="5">
        <f t="shared" si="31"/>
        <v>-1</v>
      </c>
      <c r="O75" s="13"/>
      <c r="P75" s="1">
        <f>SUM(OSRRefP22_5x_0)</f>
        <v>0</v>
      </c>
      <c r="Q75" s="1"/>
      <c r="R75" s="5">
        <f t="shared" si="32"/>
        <v>0</v>
      </c>
      <c r="S75" s="1"/>
      <c r="T75" s="1">
        <f>SUM(OSRRefT22_5x_0)</f>
        <v>53063</v>
      </c>
      <c r="U75" s="1"/>
      <c r="V75" s="5">
        <f t="shared" si="33"/>
        <v>0.10000207305053155</v>
      </c>
      <c r="W75" s="1"/>
      <c r="X75" s="1">
        <f t="shared" si="34"/>
        <v>-53063</v>
      </c>
      <c r="Y75" s="1"/>
      <c r="Z75" s="5">
        <f t="shared" si="35"/>
        <v>-1</v>
      </c>
    </row>
    <row r="76" spans="1:26" s="24" customFormat="1" hidden="1" outlineLevel="2" x14ac:dyDescent="0.25">
      <c r="A76" s="25"/>
      <c r="B76" s="11" t="str">
        <f>CONCATENATE("          ", "6382", " - ", "DISCOUNTS/MARK DOWNS")</f>
        <v xml:space="preserve">          6382 - DISCOUNTS/MARK DOWNS</v>
      </c>
      <c r="C76" s="11"/>
      <c r="D76" s="7">
        <v>0</v>
      </c>
      <c r="E76" s="2"/>
      <c r="F76" s="6">
        <f t="shared" si="28"/>
        <v>0</v>
      </c>
      <c r="G76" s="2"/>
      <c r="H76" s="7">
        <v>5821</v>
      </c>
      <c r="I76" s="2"/>
      <c r="J76" s="6">
        <f t="shared" si="29"/>
        <v>9.9993128800632144E-2</v>
      </c>
      <c r="K76" s="2"/>
      <c r="L76" s="7">
        <f t="shared" si="30"/>
        <v>-5821</v>
      </c>
      <c r="M76" s="2"/>
      <c r="N76" s="6">
        <f t="shared" si="31"/>
        <v>-1</v>
      </c>
      <c r="O76" s="11"/>
      <c r="P76" s="7">
        <v>0</v>
      </c>
      <c r="Q76" s="2"/>
      <c r="R76" s="6">
        <f t="shared" si="32"/>
        <v>0</v>
      </c>
      <c r="S76" s="2"/>
      <c r="T76" s="7">
        <v>53063</v>
      </c>
      <c r="U76" s="2"/>
      <c r="V76" s="6">
        <f t="shared" si="33"/>
        <v>0.10000207305053155</v>
      </c>
      <c r="W76" s="2"/>
      <c r="X76" s="7">
        <f t="shared" si="34"/>
        <v>-53063</v>
      </c>
      <c r="Y76" s="2"/>
      <c r="Z76" s="6">
        <f t="shared" si="35"/>
        <v>-1</v>
      </c>
    </row>
    <row r="77" spans="1:26" s="27" customFormat="1" outlineLevel="1" collapsed="1" x14ac:dyDescent="0.25">
      <c r="A77" s="26"/>
      <c r="B77" s="13" t="str">
        <f>CONCATENATE("     ","Donations                                         ")</f>
        <v xml:space="preserve">     Donations                                         </v>
      </c>
      <c r="C77" s="13"/>
      <c r="D77" s="1">
        <f>SUM(OSRRefD22_6x_0)</f>
        <v>0</v>
      </c>
      <c r="E77" s="1"/>
      <c r="F77" s="5">
        <f t="shared" si="28"/>
        <v>0</v>
      </c>
      <c r="G77" s="1"/>
      <c r="H77" s="1">
        <f>SUM(OSRRefH22_6x_0)</f>
        <v>0</v>
      </c>
      <c r="I77" s="1"/>
      <c r="J77" s="5">
        <f t="shared" si="29"/>
        <v>0</v>
      </c>
      <c r="K77" s="1"/>
      <c r="L77" s="1">
        <f t="shared" si="30"/>
        <v>0</v>
      </c>
      <c r="M77" s="1"/>
      <c r="N77" s="5">
        <f t="shared" si="31"/>
        <v>0</v>
      </c>
      <c r="O77" s="13"/>
      <c r="P77" s="1">
        <f>SUM(OSRRefP22_6x_0)</f>
        <v>0</v>
      </c>
      <c r="Q77" s="1"/>
      <c r="R77" s="5">
        <f t="shared" si="32"/>
        <v>0</v>
      </c>
      <c r="S77" s="1"/>
      <c r="T77" s="1">
        <f>SUM(OSRRefT22_6x_0)</f>
        <v>0</v>
      </c>
      <c r="U77" s="1"/>
      <c r="V77" s="5">
        <f t="shared" si="33"/>
        <v>0</v>
      </c>
      <c r="W77" s="1"/>
      <c r="X77" s="1">
        <f t="shared" si="34"/>
        <v>0</v>
      </c>
      <c r="Y77" s="1"/>
      <c r="Z77" s="5">
        <f t="shared" si="35"/>
        <v>0</v>
      </c>
    </row>
    <row r="78" spans="1:26" s="24" customFormat="1" hidden="1" outlineLevel="2" x14ac:dyDescent="0.25">
      <c r="A78" s="25"/>
      <c r="B78" s="11" t="str">
        <f>CONCATENATE("          ", "6395", " - ", "DONATION-OFF CAMPUS")</f>
        <v xml:space="preserve">          6395 - DONATION-OFF CAMPUS</v>
      </c>
      <c r="C78" s="11"/>
      <c r="D78" s="7"/>
      <c r="E78" s="2"/>
      <c r="F78" s="6">
        <f t="shared" si="28"/>
        <v>0</v>
      </c>
      <c r="G78" s="2"/>
      <c r="H78" s="7"/>
      <c r="I78" s="2"/>
      <c r="J78" s="6">
        <f t="shared" si="29"/>
        <v>0</v>
      </c>
      <c r="K78" s="2"/>
      <c r="L78" s="7">
        <f t="shared" si="30"/>
        <v>0</v>
      </c>
      <c r="M78" s="2"/>
      <c r="N78" s="6">
        <f t="shared" si="31"/>
        <v>0</v>
      </c>
      <c r="O78" s="11"/>
      <c r="P78" s="7"/>
      <c r="Q78" s="2"/>
      <c r="R78" s="6">
        <f t="shared" si="32"/>
        <v>0</v>
      </c>
      <c r="S78" s="2"/>
      <c r="T78" s="7">
        <v>0</v>
      </c>
      <c r="U78" s="2"/>
      <c r="V78" s="6">
        <f t="shared" si="33"/>
        <v>0</v>
      </c>
      <c r="W78" s="2"/>
      <c r="X78" s="7">
        <f t="shared" si="34"/>
        <v>0</v>
      </c>
      <c r="Y78" s="2"/>
      <c r="Z78" s="6">
        <f t="shared" si="35"/>
        <v>0</v>
      </c>
    </row>
    <row r="79" spans="1:26" s="27" customFormat="1" outlineLevel="1" collapsed="1" x14ac:dyDescent="0.25">
      <c r="A79" s="26"/>
      <c r="B79" s="13" t="str">
        <f>CONCATENATE("     ","Employees' Appreciation                           ")</f>
        <v xml:space="preserve">     Employees' Appreciation                           </v>
      </c>
      <c r="C79" s="13"/>
      <c r="D79" s="1">
        <f>SUM(OSRRefD22_7x_0)</f>
        <v>0</v>
      </c>
      <c r="E79" s="1"/>
      <c r="F79" s="5">
        <f t="shared" si="28"/>
        <v>0</v>
      </c>
      <c r="G79" s="1"/>
      <c r="H79" s="1">
        <f>SUM(OSRRefH22_7x_0)</f>
        <v>50</v>
      </c>
      <c r="I79" s="1"/>
      <c r="J79" s="5">
        <f t="shared" si="29"/>
        <v>8.588999209812073E-4</v>
      </c>
      <c r="K79" s="1"/>
      <c r="L79" s="1">
        <f t="shared" si="30"/>
        <v>-50</v>
      </c>
      <c r="M79" s="1"/>
      <c r="N79" s="5">
        <f t="shared" si="31"/>
        <v>-1</v>
      </c>
      <c r="O79" s="13"/>
      <c r="P79" s="1">
        <f>SUM(OSRRefP22_7x_0)</f>
        <v>0</v>
      </c>
      <c r="Q79" s="1"/>
      <c r="R79" s="5">
        <f t="shared" si="32"/>
        <v>0</v>
      </c>
      <c r="S79" s="1"/>
      <c r="T79" s="1">
        <f>SUM(OSRRefT22_7x_0)</f>
        <v>550</v>
      </c>
      <c r="U79" s="1"/>
      <c r="V79" s="5">
        <f t="shared" si="33"/>
        <v>1.0365252657745011E-3</v>
      </c>
      <c r="W79" s="1"/>
      <c r="X79" s="1">
        <f t="shared" si="34"/>
        <v>-550</v>
      </c>
      <c r="Y79" s="1"/>
      <c r="Z79" s="5">
        <f t="shared" si="35"/>
        <v>-1</v>
      </c>
    </row>
    <row r="80" spans="1:26" s="24" customFormat="1" hidden="1" outlineLevel="2" x14ac:dyDescent="0.25">
      <c r="A80" s="25"/>
      <c r="B80" s="11" t="str">
        <f>CONCATENATE("          ", "6277", " - ", "EMPLOYEE APPRECIATION")</f>
        <v xml:space="preserve">          6277 - EMPLOYEE APPRECIATION</v>
      </c>
      <c r="C80" s="11"/>
      <c r="D80" s="7"/>
      <c r="E80" s="2"/>
      <c r="F80" s="6">
        <f t="shared" si="28"/>
        <v>0</v>
      </c>
      <c r="G80" s="2"/>
      <c r="H80" s="7">
        <v>50</v>
      </c>
      <c r="I80" s="2"/>
      <c r="J80" s="6">
        <f t="shared" si="29"/>
        <v>8.588999209812073E-4</v>
      </c>
      <c r="K80" s="2"/>
      <c r="L80" s="7">
        <f t="shared" si="30"/>
        <v>-50</v>
      </c>
      <c r="M80" s="2"/>
      <c r="N80" s="6">
        <f t="shared" si="31"/>
        <v>-1</v>
      </c>
      <c r="O80" s="11"/>
      <c r="P80" s="7"/>
      <c r="Q80" s="2"/>
      <c r="R80" s="6">
        <f t="shared" si="32"/>
        <v>0</v>
      </c>
      <c r="S80" s="2"/>
      <c r="T80" s="7">
        <v>550</v>
      </c>
      <c r="U80" s="2"/>
      <c r="V80" s="6">
        <f t="shared" si="33"/>
        <v>1.0365252657745011E-3</v>
      </c>
      <c r="W80" s="2"/>
      <c r="X80" s="7">
        <f t="shared" si="34"/>
        <v>-550</v>
      </c>
      <c r="Y80" s="2"/>
      <c r="Z80" s="6">
        <f t="shared" si="35"/>
        <v>-1</v>
      </c>
    </row>
    <row r="81" spans="1:26" s="27" customFormat="1" outlineLevel="1" collapsed="1" x14ac:dyDescent="0.25">
      <c r="A81" s="26"/>
      <c r="B81" s="13" t="str">
        <f>CONCATENATE("     ","General                                           ")</f>
        <v xml:space="preserve">     General                                           </v>
      </c>
      <c r="C81" s="13"/>
      <c r="D81" s="1">
        <f>SUM(OSRRefD22_8x_0)</f>
        <v>0</v>
      </c>
      <c r="E81" s="1"/>
      <c r="F81" s="5">
        <f t="shared" si="28"/>
        <v>0</v>
      </c>
      <c r="G81" s="1"/>
      <c r="H81" s="1">
        <f>SUM(OSRRefH22_8x_0)</f>
        <v>0</v>
      </c>
      <c r="I81" s="1"/>
      <c r="J81" s="5">
        <f t="shared" si="29"/>
        <v>0</v>
      </c>
      <c r="K81" s="1"/>
      <c r="L81" s="1">
        <f t="shared" si="30"/>
        <v>0</v>
      </c>
      <c r="M81" s="1"/>
      <c r="N81" s="5">
        <f t="shared" si="31"/>
        <v>0</v>
      </c>
      <c r="O81" s="13"/>
      <c r="P81" s="1">
        <f>SUM(OSRRefP22_8x_0)</f>
        <v>1380.29</v>
      </c>
      <c r="Q81" s="1"/>
      <c r="R81" s="5">
        <f t="shared" si="32"/>
        <v>4.8260367741561703E-3</v>
      </c>
      <c r="S81" s="1"/>
      <c r="T81" s="1">
        <f>SUM(OSRRefT22_8x_0)</f>
        <v>2000</v>
      </c>
      <c r="U81" s="1"/>
      <c r="V81" s="5">
        <f t="shared" si="33"/>
        <v>3.7691827846345494E-3</v>
      </c>
      <c r="W81" s="1"/>
      <c r="X81" s="1">
        <f t="shared" si="34"/>
        <v>-619.71</v>
      </c>
      <c r="Y81" s="1"/>
      <c r="Z81" s="5">
        <f t="shared" si="35"/>
        <v>-0.30985499999999999</v>
      </c>
    </row>
    <row r="82" spans="1:26" s="24" customFormat="1" hidden="1" outlineLevel="2" x14ac:dyDescent="0.25">
      <c r="A82" s="25"/>
      <c r="B82" s="11" t="str">
        <f>CONCATENATE("          ", "6276", " - ", "PROPERTY TAX")</f>
        <v xml:space="preserve">          6276 - PROPERTY TAX</v>
      </c>
      <c r="C82" s="11"/>
      <c r="D82" s="7"/>
      <c r="E82" s="2"/>
      <c r="F82" s="6">
        <f t="shared" si="28"/>
        <v>0</v>
      </c>
      <c r="G82" s="2"/>
      <c r="H82" s="7"/>
      <c r="I82" s="2"/>
      <c r="J82" s="6">
        <f t="shared" si="29"/>
        <v>0</v>
      </c>
      <c r="K82" s="2"/>
      <c r="L82" s="7">
        <f t="shared" si="30"/>
        <v>0</v>
      </c>
      <c r="M82" s="2"/>
      <c r="N82" s="6">
        <f t="shared" si="31"/>
        <v>0</v>
      </c>
      <c r="O82" s="11"/>
      <c r="P82" s="7"/>
      <c r="Q82" s="2"/>
      <c r="R82" s="6">
        <f t="shared" si="32"/>
        <v>0</v>
      </c>
      <c r="S82" s="2"/>
      <c r="T82" s="7">
        <v>150</v>
      </c>
      <c r="U82" s="2"/>
      <c r="V82" s="6">
        <f t="shared" si="33"/>
        <v>2.8268870884759121E-4</v>
      </c>
      <c r="W82" s="2"/>
      <c r="X82" s="7">
        <f t="shared" si="34"/>
        <v>-150</v>
      </c>
      <c r="Y82" s="2"/>
      <c r="Z82" s="6">
        <f t="shared" si="35"/>
        <v>-1</v>
      </c>
    </row>
    <row r="83" spans="1:26" s="24" customFormat="1" hidden="1" outlineLevel="2" x14ac:dyDescent="0.25">
      <c r="A83" s="25"/>
      <c r="B83" s="11" t="str">
        <f>CONCATENATE("          ", "6279", " - ", "GENERAL EXPENSE")</f>
        <v xml:space="preserve">          6279 - GENERAL EXPENSE</v>
      </c>
      <c r="C83" s="11"/>
      <c r="D83" s="7"/>
      <c r="E83" s="2"/>
      <c r="F83" s="6">
        <f t="shared" si="28"/>
        <v>0</v>
      </c>
      <c r="G83" s="2"/>
      <c r="H83" s="7">
        <v>0</v>
      </c>
      <c r="I83" s="2"/>
      <c r="J83" s="6">
        <f t="shared" si="29"/>
        <v>0</v>
      </c>
      <c r="K83" s="2"/>
      <c r="L83" s="7">
        <f t="shared" si="30"/>
        <v>0</v>
      </c>
      <c r="M83" s="2"/>
      <c r="N83" s="6">
        <f t="shared" si="31"/>
        <v>0</v>
      </c>
      <c r="O83" s="11"/>
      <c r="P83" s="7">
        <v>1380.29</v>
      </c>
      <c r="Q83" s="2"/>
      <c r="R83" s="6">
        <f t="shared" si="32"/>
        <v>4.8260367741561703E-3</v>
      </c>
      <c r="S83" s="2"/>
      <c r="T83" s="7">
        <v>1850</v>
      </c>
      <c r="U83" s="2"/>
      <c r="V83" s="6">
        <f t="shared" si="33"/>
        <v>3.4864940757869584E-3</v>
      </c>
      <c r="W83" s="2"/>
      <c r="X83" s="7">
        <f t="shared" si="34"/>
        <v>-469.71000000000004</v>
      </c>
      <c r="Y83" s="2"/>
      <c r="Z83" s="6">
        <f t="shared" si="35"/>
        <v>-0.25389729729729732</v>
      </c>
    </row>
    <row r="84" spans="1:26" s="27" customFormat="1" outlineLevel="1" collapsed="1" x14ac:dyDescent="0.25">
      <c r="A84" s="26"/>
      <c r="B84" s="13" t="str">
        <f>CONCATENATE("     ","Insurance                                         ")</f>
        <v xml:space="preserve">     Insurance                                         </v>
      </c>
      <c r="C84" s="13"/>
      <c r="D84" s="1">
        <f>SUM(OSRRefD22_9x_0)</f>
        <v>161.18</v>
      </c>
      <c r="E84" s="1"/>
      <c r="F84" s="5">
        <f t="shared" ref="F84:F95" si="36">IF(D$12=0,0,D84/D$12)</f>
        <v>4.6443973031490742E-3</v>
      </c>
      <c r="G84" s="1"/>
      <c r="H84" s="1">
        <f>SUM(OSRRefH22_9x_0)</f>
        <v>176</v>
      </c>
      <c r="I84" s="1"/>
      <c r="J84" s="5">
        <f t="shared" ref="J84:J95" si="37">IF(H$12=0,0,H84/H$12)</f>
        <v>3.0233277218538494E-3</v>
      </c>
      <c r="K84" s="1"/>
      <c r="L84" s="1">
        <f t="shared" ref="L84:L95" si="38">+D84-H84</f>
        <v>-14.819999999999993</v>
      </c>
      <c r="M84" s="1"/>
      <c r="N84" s="5">
        <f t="shared" ref="N84:N95" si="39">IF(H84=0,0,L84/H84)</f>
        <v>-8.4204545454545421E-2</v>
      </c>
      <c r="O84" s="13"/>
      <c r="P84" s="1">
        <f>SUM(OSRRefP22_9x_0)</f>
        <v>1772.98</v>
      </c>
      <c r="Q84" s="1"/>
      <c r="R84" s="5">
        <f t="shared" ref="R84:R95" si="40">IF(P$12=0,0,P84/P$12)</f>
        <v>6.1990354779382648E-3</v>
      </c>
      <c r="S84" s="1"/>
      <c r="T84" s="1">
        <f>SUM(OSRRefT22_9x_0)</f>
        <v>1936</v>
      </c>
      <c r="U84" s="1"/>
      <c r="V84" s="5">
        <f t="shared" ref="V84:V95" si="41">IF(T$12=0,0,T84/T$12)</f>
        <v>3.6485689355262437E-3</v>
      </c>
      <c r="W84" s="1"/>
      <c r="X84" s="1">
        <f t="shared" ref="X84:X95" si="42">+P84-T84</f>
        <v>-163.01999999999998</v>
      </c>
      <c r="Y84" s="1"/>
      <c r="Z84" s="5">
        <f t="shared" ref="Z84:Z95" si="43">IF(T84=0,0,X84/T84)</f>
        <v>-8.4204545454545449E-2</v>
      </c>
    </row>
    <row r="85" spans="1:26" s="24" customFormat="1" hidden="1" outlineLevel="2" x14ac:dyDescent="0.25">
      <c r="A85" s="25"/>
      <c r="B85" s="11" t="str">
        <f>CONCATENATE("          ", "6314", " - ", "LIABILITY INSURANCE")</f>
        <v xml:space="preserve">          6314 - LIABILITY INSURANCE</v>
      </c>
      <c r="C85" s="11"/>
      <c r="D85" s="7">
        <v>161.18</v>
      </c>
      <c r="E85" s="2"/>
      <c r="F85" s="6">
        <f t="shared" si="36"/>
        <v>4.6443973031490742E-3</v>
      </c>
      <c r="G85" s="2"/>
      <c r="H85" s="7">
        <v>176</v>
      </c>
      <c r="I85" s="2"/>
      <c r="J85" s="6">
        <f t="shared" si="37"/>
        <v>3.0233277218538494E-3</v>
      </c>
      <c r="K85" s="2"/>
      <c r="L85" s="7">
        <f t="shared" si="38"/>
        <v>-14.819999999999993</v>
      </c>
      <c r="M85" s="2"/>
      <c r="N85" s="6">
        <f t="shared" si="39"/>
        <v>-8.4204545454545421E-2</v>
      </c>
      <c r="O85" s="11"/>
      <c r="P85" s="7">
        <v>1772.98</v>
      </c>
      <c r="Q85" s="2"/>
      <c r="R85" s="6">
        <f t="shared" si="40"/>
        <v>6.1990354779382648E-3</v>
      </c>
      <c r="S85" s="2"/>
      <c r="T85" s="7">
        <v>1936</v>
      </c>
      <c r="U85" s="2"/>
      <c r="V85" s="6">
        <f t="shared" si="41"/>
        <v>3.6485689355262437E-3</v>
      </c>
      <c r="W85" s="2"/>
      <c r="X85" s="7">
        <f t="shared" si="42"/>
        <v>-163.01999999999998</v>
      </c>
      <c r="Y85" s="2"/>
      <c r="Z85" s="6">
        <f t="shared" si="43"/>
        <v>-8.4204545454545449E-2</v>
      </c>
    </row>
    <row r="86" spans="1:26" s="27" customFormat="1" outlineLevel="1" collapsed="1" x14ac:dyDescent="0.25">
      <c r="A86" s="26"/>
      <c r="B86" s="13" t="str">
        <f>CONCATENATE("     ","Inventory Adjustment                              ")</f>
        <v xml:space="preserve">     Inventory Adjustment                              </v>
      </c>
      <c r="C86" s="13"/>
      <c r="D86" s="1">
        <f>SUM(OSRRefD22_10x_0)</f>
        <v>100</v>
      </c>
      <c r="E86" s="1"/>
      <c r="F86" s="5">
        <f t="shared" si="36"/>
        <v>2.8814972720865332E-3</v>
      </c>
      <c r="G86" s="1"/>
      <c r="H86" s="1">
        <f>SUM(OSRRefH22_10x_0)</f>
        <v>100</v>
      </c>
      <c r="I86" s="1"/>
      <c r="J86" s="5">
        <f t="shared" si="37"/>
        <v>1.7177998419624146E-3</v>
      </c>
      <c r="K86" s="1"/>
      <c r="L86" s="1">
        <f t="shared" si="38"/>
        <v>0</v>
      </c>
      <c r="M86" s="1"/>
      <c r="N86" s="5">
        <f t="shared" si="39"/>
        <v>0</v>
      </c>
      <c r="O86" s="13"/>
      <c r="P86" s="1">
        <f>SUM(OSRRefP22_10x_0)</f>
        <v>1100</v>
      </c>
      <c r="Q86" s="1"/>
      <c r="R86" s="5">
        <f t="shared" si="40"/>
        <v>3.8460326826766748E-3</v>
      </c>
      <c r="S86" s="1"/>
      <c r="T86" s="1">
        <f>SUM(OSRRefT22_10x_0)</f>
        <v>1100</v>
      </c>
      <c r="U86" s="1"/>
      <c r="V86" s="5">
        <f t="shared" si="41"/>
        <v>2.0730505315490022E-3</v>
      </c>
      <c r="W86" s="1"/>
      <c r="X86" s="1">
        <f t="shared" si="42"/>
        <v>0</v>
      </c>
      <c r="Y86" s="1"/>
      <c r="Z86" s="5">
        <f t="shared" si="43"/>
        <v>0</v>
      </c>
    </row>
    <row r="87" spans="1:26" s="24" customFormat="1" hidden="1" outlineLevel="2" x14ac:dyDescent="0.25">
      <c r="A87" s="25"/>
      <c r="B87" s="11" t="str">
        <f>CONCATENATE("          ", "6408", " - ", "INVENTORY ADJUSTMENT")</f>
        <v xml:space="preserve">          6408 - INVENTORY ADJUSTMENT</v>
      </c>
      <c r="C87" s="11"/>
      <c r="D87" s="7">
        <v>100</v>
      </c>
      <c r="E87" s="2"/>
      <c r="F87" s="6">
        <f t="shared" si="36"/>
        <v>2.8814972720865332E-3</v>
      </c>
      <c r="G87" s="2"/>
      <c r="H87" s="7">
        <v>100</v>
      </c>
      <c r="I87" s="2"/>
      <c r="J87" s="6">
        <f t="shared" si="37"/>
        <v>1.7177998419624146E-3</v>
      </c>
      <c r="K87" s="2"/>
      <c r="L87" s="7">
        <f t="shared" si="38"/>
        <v>0</v>
      </c>
      <c r="M87" s="2"/>
      <c r="N87" s="6">
        <f t="shared" si="39"/>
        <v>0</v>
      </c>
      <c r="O87" s="11"/>
      <c r="P87" s="7">
        <v>1100</v>
      </c>
      <c r="Q87" s="2"/>
      <c r="R87" s="6">
        <f t="shared" si="40"/>
        <v>3.8460326826766748E-3</v>
      </c>
      <c r="S87" s="2"/>
      <c r="T87" s="7">
        <v>1100</v>
      </c>
      <c r="U87" s="2"/>
      <c r="V87" s="6">
        <f t="shared" si="41"/>
        <v>2.0730505315490022E-3</v>
      </c>
      <c r="W87" s="2"/>
      <c r="X87" s="7">
        <f t="shared" si="42"/>
        <v>0</v>
      </c>
      <c r="Y87" s="2"/>
      <c r="Z87" s="6">
        <f t="shared" si="43"/>
        <v>0</v>
      </c>
    </row>
    <row r="88" spans="1:26" s="27" customFormat="1" outlineLevel="1" collapsed="1" x14ac:dyDescent="0.25">
      <c r="A88" s="26"/>
      <c r="B88" s="13" t="str">
        <f>CONCATENATE("     ","Professional Services                             ")</f>
        <v xml:space="preserve">     Professional Services                             </v>
      </c>
      <c r="C88" s="13"/>
      <c r="D88" s="1">
        <f>SUM(OSRRefD22_11x_0)</f>
        <v>0</v>
      </c>
      <c r="E88" s="1"/>
      <c r="F88" s="5">
        <f t="shared" si="36"/>
        <v>0</v>
      </c>
      <c r="G88" s="1"/>
      <c r="H88" s="1">
        <f>SUM(OSRRefH22_11x_0)</f>
        <v>0</v>
      </c>
      <c r="I88" s="1"/>
      <c r="J88" s="5">
        <f t="shared" si="37"/>
        <v>0</v>
      </c>
      <c r="K88" s="1"/>
      <c r="L88" s="1">
        <f t="shared" si="38"/>
        <v>0</v>
      </c>
      <c r="M88" s="1"/>
      <c r="N88" s="5">
        <f t="shared" si="39"/>
        <v>0</v>
      </c>
      <c r="O88" s="13"/>
      <c r="P88" s="1">
        <f>SUM(OSRRefP22_11x_0)</f>
        <v>0</v>
      </c>
      <c r="Q88" s="1"/>
      <c r="R88" s="5">
        <f t="shared" si="40"/>
        <v>0</v>
      </c>
      <c r="S88" s="1"/>
      <c r="T88" s="1">
        <f>SUM(OSRRefT22_11x_0)</f>
        <v>750</v>
      </c>
      <c r="U88" s="1"/>
      <c r="V88" s="5">
        <f t="shared" si="41"/>
        <v>1.413443544237956E-3</v>
      </c>
      <c r="W88" s="1"/>
      <c r="X88" s="1">
        <f t="shared" si="42"/>
        <v>-750</v>
      </c>
      <c r="Y88" s="1"/>
      <c r="Z88" s="5">
        <f t="shared" si="43"/>
        <v>-1</v>
      </c>
    </row>
    <row r="89" spans="1:26" s="24" customFormat="1" hidden="1" outlineLevel="2" x14ac:dyDescent="0.25">
      <c r="A89" s="25"/>
      <c r="B89" s="11" t="str">
        <f>CONCATENATE("          ", "6336", " - ", "PROFESSIONAL SERVICES")</f>
        <v xml:space="preserve">          6336 - PROFESSIONAL SERVICES</v>
      </c>
      <c r="C89" s="11"/>
      <c r="D89" s="7"/>
      <c r="E89" s="2"/>
      <c r="F89" s="6">
        <f t="shared" si="36"/>
        <v>0</v>
      </c>
      <c r="G89" s="2"/>
      <c r="H89" s="7">
        <v>0</v>
      </c>
      <c r="I89" s="2"/>
      <c r="J89" s="6">
        <f t="shared" si="37"/>
        <v>0</v>
      </c>
      <c r="K89" s="2"/>
      <c r="L89" s="7">
        <f t="shared" si="38"/>
        <v>0</v>
      </c>
      <c r="M89" s="2"/>
      <c r="N89" s="6">
        <f t="shared" si="39"/>
        <v>0</v>
      </c>
      <c r="O89" s="11"/>
      <c r="P89" s="7"/>
      <c r="Q89" s="2"/>
      <c r="R89" s="6">
        <f t="shared" si="40"/>
        <v>0</v>
      </c>
      <c r="S89" s="2"/>
      <c r="T89" s="7">
        <v>750</v>
      </c>
      <c r="U89" s="2"/>
      <c r="V89" s="6">
        <f t="shared" si="41"/>
        <v>1.413443544237956E-3</v>
      </c>
      <c r="W89" s="2"/>
      <c r="X89" s="7">
        <f t="shared" si="42"/>
        <v>-750</v>
      </c>
      <c r="Y89" s="2"/>
      <c r="Z89" s="6">
        <f t="shared" si="43"/>
        <v>-1</v>
      </c>
    </row>
    <row r="90" spans="1:26" s="27" customFormat="1" outlineLevel="1" collapsed="1" x14ac:dyDescent="0.25">
      <c r="A90" s="26"/>
      <c r="B90" s="13" t="str">
        <f>CONCATENATE("     ","Rent                                              ")</f>
        <v xml:space="preserve">     Rent                                              </v>
      </c>
      <c r="C90" s="13"/>
      <c r="D90" s="1">
        <f>SUM(OSRRefD22_12x_0)</f>
        <v>6900</v>
      </c>
      <c r="E90" s="1"/>
      <c r="F90" s="5">
        <f t="shared" si="36"/>
        <v>0.19882331177397078</v>
      </c>
      <c r="G90" s="1"/>
      <c r="H90" s="1">
        <f>SUM(OSRRefH22_12x_0)</f>
        <v>6900</v>
      </c>
      <c r="I90" s="1"/>
      <c r="J90" s="5">
        <f t="shared" si="37"/>
        <v>0.11852818909540661</v>
      </c>
      <c r="K90" s="1"/>
      <c r="L90" s="1">
        <f t="shared" si="38"/>
        <v>0</v>
      </c>
      <c r="M90" s="1"/>
      <c r="N90" s="5">
        <f t="shared" si="39"/>
        <v>0</v>
      </c>
      <c r="O90" s="13"/>
      <c r="P90" s="1">
        <f>SUM(OSRRefP22_12x_0)</f>
        <v>75900</v>
      </c>
      <c r="Q90" s="1"/>
      <c r="R90" s="5">
        <f t="shared" si="40"/>
        <v>0.26537625510469059</v>
      </c>
      <c r="S90" s="1"/>
      <c r="T90" s="1">
        <f>SUM(OSRRefT22_12x_0)</f>
        <v>75901</v>
      </c>
      <c r="U90" s="1"/>
      <c r="V90" s="5">
        <f t="shared" si="41"/>
        <v>0.14304237126827346</v>
      </c>
      <c r="W90" s="1"/>
      <c r="X90" s="1">
        <f t="shared" si="42"/>
        <v>-1</v>
      </c>
      <c r="Y90" s="1"/>
      <c r="Z90" s="5">
        <f t="shared" si="43"/>
        <v>-1.3175056982121448E-5</v>
      </c>
    </row>
    <row r="91" spans="1:26" s="24" customFormat="1" hidden="1" outlineLevel="2" x14ac:dyDescent="0.25">
      <c r="A91" s="25"/>
      <c r="B91" s="11" t="str">
        <f>CONCATENATE("          ", "6273", " - ", "RENT")</f>
        <v xml:space="preserve">          6273 - RENT</v>
      </c>
      <c r="C91" s="11"/>
      <c r="D91" s="7">
        <v>6900</v>
      </c>
      <c r="E91" s="2"/>
      <c r="F91" s="6">
        <f t="shared" si="36"/>
        <v>0.19882331177397078</v>
      </c>
      <c r="G91" s="2"/>
      <c r="H91" s="7">
        <v>6900</v>
      </c>
      <c r="I91" s="2"/>
      <c r="J91" s="6">
        <f t="shared" si="37"/>
        <v>0.11852818909540661</v>
      </c>
      <c r="K91" s="2"/>
      <c r="L91" s="7">
        <f t="shared" si="38"/>
        <v>0</v>
      </c>
      <c r="M91" s="2"/>
      <c r="N91" s="6">
        <f t="shared" si="39"/>
        <v>0</v>
      </c>
      <c r="O91" s="11"/>
      <c r="P91" s="7">
        <v>75900</v>
      </c>
      <c r="Q91" s="2"/>
      <c r="R91" s="6">
        <f t="shared" si="40"/>
        <v>0.26537625510469059</v>
      </c>
      <c r="S91" s="2"/>
      <c r="T91" s="7">
        <v>75901</v>
      </c>
      <c r="U91" s="2"/>
      <c r="V91" s="6">
        <f t="shared" si="41"/>
        <v>0.14304237126827346</v>
      </c>
      <c r="W91" s="2"/>
      <c r="X91" s="7">
        <f t="shared" si="42"/>
        <v>-1</v>
      </c>
      <c r="Y91" s="2"/>
      <c r="Z91" s="6">
        <f t="shared" si="43"/>
        <v>-1.3175056982121448E-5</v>
      </c>
    </row>
    <row r="92" spans="1:26" s="27" customFormat="1" outlineLevel="1" collapsed="1" x14ac:dyDescent="0.25">
      <c r="A92" s="26"/>
      <c r="B92" s="13" t="str">
        <f>CONCATENATE("     ","Repair and Maintenance                            ")</f>
        <v xml:space="preserve">     Repair and Maintenance                            </v>
      </c>
      <c r="C92" s="13"/>
      <c r="D92" s="1">
        <f>SUM(OSRRefD22_13x_0)</f>
        <v>0</v>
      </c>
      <c r="E92" s="1"/>
      <c r="F92" s="5">
        <f t="shared" si="36"/>
        <v>0</v>
      </c>
      <c r="G92" s="1"/>
      <c r="H92" s="1">
        <f>SUM(OSRRefH22_13x_0)</f>
        <v>100</v>
      </c>
      <c r="I92" s="1"/>
      <c r="J92" s="5">
        <f t="shared" si="37"/>
        <v>1.7177998419624146E-3</v>
      </c>
      <c r="K92" s="1"/>
      <c r="L92" s="1">
        <f t="shared" si="38"/>
        <v>-100</v>
      </c>
      <c r="M92" s="1"/>
      <c r="N92" s="5">
        <f t="shared" si="39"/>
        <v>-1</v>
      </c>
      <c r="O92" s="13"/>
      <c r="P92" s="1">
        <f>SUM(OSRRefP22_13x_0)</f>
        <v>309.70999999999998</v>
      </c>
      <c r="Q92" s="1"/>
      <c r="R92" s="5">
        <f t="shared" si="40"/>
        <v>1.0828679837743573E-3</v>
      </c>
      <c r="S92" s="1"/>
      <c r="T92" s="1">
        <f>SUM(OSRRefT22_13x_0)</f>
        <v>1100</v>
      </c>
      <c r="U92" s="1"/>
      <c r="V92" s="5">
        <f t="shared" si="41"/>
        <v>2.0730505315490022E-3</v>
      </c>
      <c r="W92" s="1"/>
      <c r="X92" s="1">
        <f t="shared" si="42"/>
        <v>-790.29</v>
      </c>
      <c r="Y92" s="1"/>
      <c r="Z92" s="5">
        <f t="shared" si="43"/>
        <v>-0.7184454545454545</v>
      </c>
    </row>
    <row r="93" spans="1:26" s="24" customFormat="1" hidden="1" outlineLevel="2" x14ac:dyDescent="0.25">
      <c r="A93" s="25"/>
      <c r="B93" s="11" t="str">
        <f>CONCATENATE("          ", "6372", " - ", "COMPUTER HARDWARE MAINTENANCE")</f>
        <v xml:space="preserve">          6372 - COMPUTER HARDWARE MAINTENANCE</v>
      </c>
      <c r="C93" s="11"/>
      <c r="D93" s="7"/>
      <c r="E93" s="2"/>
      <c r="F93" s="6">
        <f t="shared" si="36"/>
        <v>0</v>
      </c>
      <c r="G93" s="2"/>
      <c r="H93" s="7"/>
      <c r="I93" s="2"/>
      <c r="J93" s="6">
        <f t="shared" si="37"/>
        <v>0</v>
      </c>
      <c r="K93" s="2"/>
      <c r="L93" s="7">
        <f t="shared" si="38"/>
        <v>0</v>
      </c>
      <c r="M93" s="2"/>
      <c r="N93" s="6">
        <f t="shared" si="39"/>
        <v>0</v>
      </c>
      <c r="O93" s="11"/>
      <c r="P93" s="7">
        <v>-0.52</v>
      </c>
      <c r="Q93" s="2"/>
      <c r="R93" s="6">
        <f t="shared" si="40"/>
        <v>-1.818124540901701E-6</v>
      </c>
      <c r="S93" s="2"/>
      <c r="T93" s="7"/>
      <c r="U93" s="2"/>
      <c r="V93" s="6">
        <f t="shared" si="41"/>
        <v>0</v>
      </c>
      <c r="W93" s="2"/>
      <c r="X93" s="7">
        <f t="shared" si="42"/>
        <v>-0.52</v>
      </c>
      <c r="Y93" s="2"/>
      <c r="Z93" s="6">
        <f t="shared" si="43"/>
        <v>0</v>
      </c>
    </row>
    <row r="94" spans="1:26" s="24" customFormat="1" hidden="1" outlineLevel="2" x14ac:dyDescent="0.25">
      <c r="A94" s="25"/>
      <c r="B94" s="11" t="str">
        <f>CONCATENATE("          ", "6373", " - ", "MAINTENANCE CONTRACTS")</f>
        <v xml:space="preserve">          6373 - MAINTENANCE CONTRACTS</v>
      </c>
      <c r="C94" s="11"/>
      <c r="D94" s="7"/>
      <c r="E94" s="2"/>
      <c r="F94" s="6">
        <f t="shared" si="36"/>
        <v>0</v>
      </c>
      <c r="G94" s="2"/>
      <c r="H94" s="7"/>
      <c r="I94" s="2"/>
      <c r="J94" s="6">
        <f t="shared" si="37"/>
        <v>0</v>
      </c>
      <c r="K94" s="2"/>
      <c r="L94" s="7">
        <f t="shared" si="38"/>
        <v>0</v>
      </c>
      <c r="M94" s="2"/>
      <c r="N94" s="6">
        <f t="shared" si="39"/>
        <v>0</v>
      </c>
      <c r="O94" s="11"/>
      <c r="P94" s="7">
        <v>144.66999999999999</v>
      </c>
      <c r="Q94" s="2"/>
      <c r="R94" s="6">
        <f t="shared" si="40"/>
        <v>5.0582322563894045E-4</v>
      </c>
      <c r="S94" s="2"/>
      <c r="T94" s="7"/>
      <c r="U94" s="2"/>
      <c r="V94" s="6">
        <f t="shared" si="41"/>
        <v>0</v>
      </c>
      <c r="W94" s="2"/>
      <c r="X94" s="7">
        <f t="shared" si="42"/>
        <v>144.66999999999999</v>
      </c>
      <c r="Y94" s="2"/>
      <c r="Z94" s="6">
        <f t="shared" si="43"/>
        <v>0</v>
      </c>
    </row>
    <row r="95" spans="1:26" s="24" customFormat="1" hidden="1" outlineLevel="2" x14ac:dyDescent="0.25">
      <c r="A95" s="25"/>
      <c r="B95" s="11" t="str">
        <f>CONCATENATE("          ", "6375", " - ", "OUTSIDE REPAIRS &amp; MAINTENANCE")</f>
        <v xml:space="preserve">          6375 - OUTSIDE REPAIRS &amp; MAINTENANCE</v>
      </c>
      <c r="C95" s="11"/>
      <c r="D95" s="7"/>
      <c r="E95" s="2"/>
      <c r="F95" s="6">
        <f t="shared" si="36"/>
        <v>0</v>
      </c>
      <c r="G95" s="2"/>
      <c r="H95" s="7">
        <v>100</v>
      </c>
      <c r="I95" s="2"/>
      <c r="J95" s="6">
        <f t="shared" si="37"/>
        <v>1.7177998419624146E-3</v>
      </c>
      <c r="K95" s="2"/>
      <c r="L95" s="7">
        <f t="shared" si="38"/>
        <v>-100</v>
      </c>
      <c r="M95" s="2"/>
      <c r="N95" s="6">
        <f t="shared" si="39"/>
        <v>-1</v>
      </c>
      <c r="O95" s="11"/>
      <c r="P95" s="7">
        <v>165.56</v>
      </c>
      <c r="Q95" s="2"/>
      <c r="R95" s="6">
        <f t="shared" si="40"/>
        <v>5.7886288267631851E-4</v>
      </c>
      <c r="S95" s="2"/>
      <c r="T95" s="7">
        <v>1100</v>
      </c>
      <c r="U95" s="2"/>
      <c r="V95" s="6">
        <f t="shared" si="41"/>
        <v>2.0730505315490022E-3</v>
      </c>
      <c r="W95" s="2"/>
      <c r="X95" s="7">
        <f t="shared" si="42"/>
        <v>-934.44</v>
      </c>
      <c r="Y95" s="2"/>
      <c r="Z95" s="6">
        <f t="shared" si="43"/>
        <v>-0.84949090909090919</v>
      </c>
    </row>
    <row r="96" spans="1:26" s="27" customFormat="1" outlineLevel="1" collapsed="1" x14ac:dyDescent="0.25">
      <c r="A96" s="26"/>
      <c r="B96" s="13" t="str">
        <f>CONCATENATE("     ","Services                                          ")</f>
        <v xml:space="preserve">     Services                                          </v>
      </c>
      <c r="C96" s="13"/>
      <c r="D96" s="1">
        <f>SUM(OSRRefD22_14x_0)</f>
        <v>155.59</v>
      </c>
      <c r="E96" s="1"/>
      <c r="F96" s="5">
        <f t="shared" ref="F96:F99" si="44">IF(D$12=0,0,D96/D$12)</f>
        <v>4.4833216056394372E-3</v>
      </c>
      <c r="G96" s="1"/>
      <c r="H96" s="1">
        <f>SUM(OSRRefH22_14x_0)</f>
        <v>155</v>
      </c>
      <c r="I96" s="1"/>
      <c r="J96" s="5">
        <f t="shared" ref="J96:J99" si="45">IF(H$12=0,0,H96/H$12)</f>
        <v>2.6625897550417426E-3</v>
      </c>
      <c r="K96" s="1"/>
      <c r="L96" s="1">
        <f t="shared" ref="L96:L99" si="46">+D96-H96</f>
        <v>0.59000000000000341</v>
      </c>
      <c r="M96" s="1"/>
      <c r="N96" s="5">
        <f t="shared" ref="N96:N99" si="47">IF(H96=0,0,L96/H96)</f>
        <v>3.8064516129032479E-3</v>
      </c>
      <c r="O96" s="13"/>
      <c r="P96" s="1">
        <f>SUM(OSRRefP22_14x_0)</f>
        <v>918.51999999999987</v>
      </c>
      <c r="Q96" s="1"/>
      <c r="R96" s="5">
        <f t="shared" ref="R96:R99" si="48">IF(P$12=0,0,P96/P$12)</f>
        <v>3.2115072179019809E-3</v>
      </c>
      <c r="S96" s="1"/>
      <c r="T96" s="1">
        <f>SUM(OSRRefT22_14x_0)</f>
        <v>2295</v>
      </c>
      <c r="U96" s="1"/>
      <c r="V96" s="5">
        <f t="shared" ref="V96:V99" si="49">IF(T$12=0,0,T96/T$12)</f>
        <v>4.3251372453681457E-3</v>
      </c>
      <c r="W96" s="1"/>
      <c r="X96" s="1">
        <f t="shared" ref="X96:X99" si="50">+P96-T96</f>
        <v>-1376.48</v>
      </c>
      <c r="Y96" s="1"/>
      <c r="Z96" s="5">
        <f t="shared" ref="Z96:Z99" si="51">IF(T96=0,0,X96/T96)</f>
        <v>-0.59977342047930282</v>
      </c>
    </row>
    <row r="97" spans="1:26" s="24" customFormat="1" hidden="1" outlineLevel="2" x14ac:dyDescent="0.25">
      <c r="A97" s="25"/>
      <c r="B97" s="11" t="str">
        <f>CONCATENATE("          ", "6283", " - ", "PLANT SERVICE")</f>
        <v xml:space="preserve">          6283 - PLANT SERVICE</v>
      </c>
      <c r="C97" s="11"/>
      <c r="D97" s="7"/>
      <c r="E97" s="2"/>
      <c r="F97" s="6">
        <f t="shared" si="44"/>
        <v>0</v>
      </c>
      <c r="G97" s="2"/>
      <c r="H97" s="7">
        <v>0</v>
      </c>
      <c r="I97" s="2"/>
      <c r="J97" s="6">
        <f t="shared" si="45"/>
        <v>0</v>
      </c>
      <c r="K97" s="2"/>
      <c r="L97" s="7">
        <f t="shared" si="46"/>
        <v>0</v>
      </c>
      <c r="M97" s="2"/>
      <c r="N97" s="6">
        <f t="shared" si="47"/>
        <v>0</v>
      </c>
      <c r="O97" s="11"/>
      <c r="P97" s="7">
        <v>41.31</v>
      </c>
      <c r="Q97" s="2"/>
      <c r="R97" s="6">
        <f t="shared" si="48"/>
        <v>1.4443600920124861E-4</v>
      </c>
      <c r="S97" s="2"/>
      <c r="T97" s="7">
        <v>0</v>
      </c>
      <c r="U97" s="2"/>
      <c r="V97" s="6">
        <f t="shared" si="49"/>
        <v>0</v>
      </c>
      <c r="W97" s="2"/>
      <c r="X97" s="7">
        <f t="shared" si="50"/>
        <v>41.31</v>
      </c>
      <c r="Y97" s="2"/>
      <c r="Z97" s="6">
        <f t="shared" si="51"/>
        <v>0</v>
      </c>
    </row>
    <row r="98" spans="1:26" s="24" customFormat="1" hidden="1" outlineLevel="2" x14ac:dyDescent="0.25">
      <c r="A98" s="25"/>
      <c r="B98" s="11" t="str">
        <f>CONCATENATE("          ", "6284", " - ", "TRASH REMOVAL EXPENSE")</f>
        <v xml:space="preserve">          6284 - TRASH REMOVAL EXPENSE</v>
      </c>
      <c r="C98" s="11"/>
      <c r="D98" s="7">
        <v>142.57</v>
      </c>
      <c r="E98" s="2"/>
      <c r="F98" s="6">
        <f t="shared" si="44"/>
        <v>4.1081506608137697E-3</v>
      </c>
      <c r="G98" s="2"/>
      <c r="H98" s="7">
        <v>55</v>
      </c>
      <c r="I98" s="2"/>
      <c r="J98" s="6">
        <f t="shared" si="45"/>
        <v>9.4478991307932799E-4</v>
      </c>
      <c r="K98" s="2"/>
      <c r="L98" s="7">
        <f t="shared" si="46"/>
        <v>87.57</v>
      </c>
      <c r="M98" s="2"/>
      <c r="N98" s="6">
        <f t="shared" si="47"/>
        <v>1.5921818181818181</v>
      </c>
      <c r="O98" s="11"/>
      <c r="P98" s="7">
        <v>1583.29</v>
      </c>
      <c r="Q98" s="2"/>
      <c r="R98" s="6">
        <f t="shared" si="48"/>
        <v>5.5358046237774117E-3</v>
      </c>
      <c r="S98" s="2"/>
      <c r="T98" s="7">
        <v>770</v>
      </c>
      <c r="U98" s="2"/>
      <c r="V98" s="6">
        <f t="shared" si="49"/>
        <v>1.4511353720843016E-3</v>
      </c>
      <c r="W98" s="2"/>
      <c r="X98" s="7">
        <f t="shared" si="50"/>
        <v>813.29</v>
      </c>
      <c r="Y98" s="2"/>
      <c r="Z98" s="6">
        <f t="shared" si="51"/>
        <v>1.0562207792207792</v>
      </c>
    </row>
    <row r="99" spans="1:26" s="24" customFormat="1" hidden="1" outlineLevel="2" x14ac:dyDescent="0.25">
      <c r="A99" s="25"/>
      <c r="B99" s="11" t="str">
        <f>CONCATENATE("          ", "6285", " - ", "JANITORIAL SERVICES")</f>
        <v xml:space="preserve">          6285 - JANITORIAL SERVICES</v>
      </c>
      <c r="C99" s="11"/>
      <c r="D99" s="7">
        <v>13.02</v>
      </c>
      <c r="E99" s="2"/>
      <c r="F99" s="6">
        <f t="shared" si="44"/>
        <v>3.7517094482566657E-4</v>
      </c>
      <c r="G99" s="2"/>
      <c r="H99" s="7">
        <v>100</v>
      </c>
      <c r="I99" s="2"/>
      <c r="J99" s="6">
        <f t="shared" si="45"/>
        <v>1.7177998419624146E-3</v>
      </c>
      <c r="K99" s="2"/>
      <c r="L99" s="7">
        <f t="shared" si="46"/>
        <v>-86.98</v>
      </c>
      <c r="M99" s="2"/>
      <c r="N99" s="6">
        <f t="shared" si="47"/>
        <v>-0.86980000000000002</v>
      </c>
      <c r="O99" s="11"/>
      <c r="P99" s="7">
        <v>-706.08</v>
      </c>
      <c r="Q99" s="2"/>
      <c r="R99" s="6">
        <f t="shared" si="48"/>
        <v>-2.4687334150766791E-3</v>
      </c>
      <c r="S99" s="2"/>
      <c r="T99" s="7">
        <v>1525</v>
      </c>
      <c r="U99" s="2"/>
      <c r="V99" s="6">
        <f t="shared" si="49"/>
        <v>2.8740018732838438E-3</v>
      </c>
      <c r="W99" s="2"/>
      <c r="X99" s="7">
        <f t="shared" si="50"/>
        <v>-2231.08</v>
      </c>
      <c r="Y99" s="2"/>
      <c r="Z99" s="6">
        <f t="shared" si="51"/>
        <v>-1.4630032786885245</v>
      </c>
    </row>
    <row r="100" spans="1:26" s="27" customFormat="1" outlineLevel="1" collapsed="1" x14ac:dyDescent="0.25">
      <c r="A100" s="26"/>
      <c r="B100" s="13" t="str">
        <f>CONCATENATE("     ","Subscriptions &amp; Dues                              ")</f>
        <v xml:space="preserve">     Subscriptions &amp; Dues                              </v>
      </c>
      <c r="C100" s="13"/>
      <c r="D100" s="1">
        <f>SUM(OSRRefD22_15x_0)</f>
        <v>0</v>
      </c>
      <c r="E100" s="1"/>
      <c r="F100" s="5">
        <f t="shared" ref="F100:F102" si="52">IF(D$12=0,0,D100/D$12)</f>
        <v>0</v>
      </c>
      <c r="G100" s="1"/>
      <c r="H100" s="1">
        <f>SUM(OSRRefH22_15x_0)</f>
        <v>0</v>
      </c>
      <c r="I100" s="1"/>
      <c r="J100" s="5">
        <f t="shared" ref="J100:J102" si="53">IF(H$12=0,0,H100/H$12)</f>
        <v>0</v>
      </c>
      <c r="K100" s="1"/>
      <c r="L100" s="1">
        <f t="shared" ref="L100:L102" si="54">+D100-H100</f>
        <v>0</v>
      </c>
      <c r="M100" s="1"/>
      <c r="N100" s="5">
        <f t="shared" ref="N100:N102" si="55">IF(H100=0,0,L100/H100)</f>
        <v>0</v>
      </c>
      <c r="O100" s="13"/>
      <c r="P100" s="1">
        <f>SUM(OSRRefP22_15x_0)</f>
        <v>2254.14</v>
      </c>
      <c r="Q100" s="1"/>
      <c r="R100" s="5">
        <f t="shared" ref="R100:R102" si="56">IF(P$12=0,0,P100/P$12)</f>
        <v>7.881360101207999E-3</v>
      </c>
      <c r="S100" s="1"/>
      <c r="T100" s="1">
        <f>SUM(OSRRefT22_15x_0)</f>
        <v>395</v>
      </c>
      <c r="U100" s="1"/>
      <c r="V100" s="5">
        <f t="shared" ref="V100:V102" si="57">IF(T$12=0,0,T100/T$12)</f>
        <v>7.4441359996532349E-4</v>
      </c>
      <c r="W100" s="1"/>
      <c r="X100" s="1">
        <f t="shared" ref="X100:X102" si="58">+P100-T100</f>
        <v>1859.1399999999999</v>
      </c>
      <c r="Y100" s="1"/>
      <c r="Z100" s="5">
        <f t="shared" ref="Z100:Z102" si="59">IF(T100=0,0,X100/T100)</f>
        <v>4.7066835443037975</v>
      </c>
    </row>
    <row r="101" spans="1:26" s="24" customFormat="1" hidden="1" outlineLevel="2" x14ac:dyDescent="0.25">
      <c r="A101" s="25"/>
      <c r="B101" s="11" t="str">
        <f>CONCATENATE("          ", "6258", " - ", "MEMBERSHIP DUES")</f>
        <v xml:space="preserve">          6258 - MEMBERSHIP DUES</v>
      </c>
      <c r="C101" s="11"/>
      <c r="D101" s="7"/>
      <c r="E101" s="2"/>
      <c r="F101" s="6">
        <f t="shared" si="52"/>
        <v>0</v>
      </c>
      <c r="G101" s="2"/>
      <c r="H101" s="7">
        <v>0</v>
      </c>
      <c r="I101" s="2"/>
      <c r="J101" s="6">
        <f t="shared" si="53"/>
        <v>0</v>
      </c>
      <c r="K101" s="2"/>
      <c r="L101" s="7">
        <f t="shared" si="54"/>
        <v>0</v>
      </c>
      <c r="M101" s="2"/>
      <c r="N101" s="6">
        <f t="shared" si="55"/>
        <v>0</v>
      </c>
      <c r="O101" s="11"/>
      <c r="P101" s="7">
        <v>-60.73</v>
      </c>
      <c r="Q101" s="2"/>
      <c r="R101" s="6">
        <f t="shared" si="56"/>
        <v>-2.1233596801723133E-4</v>
      </c>
      <c r="S101" s="2"/>
      <c r="T101" s="7">
        <v>395</v>
      </c>
      <c r="U101" s="2"/>
      <c r="V101" s="6">
        <f t="shared" si="57"/>
        <v>7.4441359996532349E-4</v>
      </c>
      <c r="W101" s="2"/>
      <c r="X101" s="7">
        <f t="shared" si="58"/>
        <v>-455.73</v>
      </c>
      <c r="Y101" s="2"/>
      <c r="Z101" s="6">
        <f t="shared" si="59"/>
        <v>-1.153746835443038</v>
      </c>
    </row>
    <row r="102" spans="1:26" s="24" customFormat="1" hidden="1" outlineLevel="2" x14ac:dyDescent="0.25">
      <c r="A102" s="25"/>
      <c r="B102" s="11" t="str">
        <f>CONCATENATE("          ", "6275", " - ", "SUBSCRIPTIONS")</f>
        <v xml:space="preserve">          6275 - SUBSCRIPTIONS</v>
      </c>
      <c r="C102" s="11"/>
      <c r="D102" s="7"/>
      <c r="E102" s="2"/>
      <c r="F102" s="6">
        <f t="shared" si="52"/>
        <v>0</v>
      </c>
      <c r="G102" s="2"/>
      <c r="H102" s="7">
        <v>0</v>
      </c>
      <c r="I102" s="2"/>
      <c r="J102" s="6">
        <f t="shared" si="53"/>
        <v>0</v>
      </c>
      <c r="K102" s="2"/>
      <c r="L102" s="7">
        <f t="shared" si="54"/>
        <v>0</v>
      </c>
      <c r="M102" s="2"/>
      <c r="N102" s="6">
        <f t="shared" si="55"/>
        <v>0</v>
      </c>
      <c r="O102" s="11"/>
      <c r="P102" s="7">
        <v>2314.87</v>
      </c>
      <c r="Q102" s="2"/>
      <c r="R102" s="6">
        <f t="shared" si="56"/>
        <v>8.0936960692252306E-3</v>
      </c>
      <c r="S102" s="2"/>
      <c r="T102" s="7">
        <v>0</v>
      </c>
      <c r="U102" s="2"/>
      <c r="V102" s="6">
        <f t="shared" si="57"/>
        <v>0</v>
      </c>
      <c r="W102" s="2"/>
      <c r="X102" s="7">
        <f t="shared" si="58"/>
        <v>2314.87</v>
      </c>
      <c r="Y102" s="2"/>
      <c r="Z102" s="6">
        <f t="shared" si="59"/>
        <v>0</v>
      </c>
    </row>
    <row r="103" spans="1:26" s="27" customFormat="1" outlineLevel="1" collapsed="1" x14ac:dyDescent="0.25">
      <c r="A103" s="26"/>
      <c r="B103" s="13" t="str">
        <f>CONCATENATE("     ","Supplies                                          ")</f>
        <v xml:space="preserve">     Supplies                                          </v>
      </c>
      <c r="C103" s="13"/>
      <c r="D103" s="1">
        <f>SUM(OSRRefD22_16x_0)</f>
        <v>0</v>
      </c>
      <c r="E103" s="1"/>
      <c r="F103" s="5">
        <f t="shared" ref="F103:F109" si="60">IF(D$12=0,0,D103/D$12)</f>
        <v>0</v>
      </c>
      <c r="G103" s="1"/>
      <c r="H103" s="1">
        <f>SUM(OSRRefH22_16x_0)</f>
        <v>170</v>
      </c>
      <c r="I103" s="1"/>
      <c r="J103" s="5">
        <f t="shared" ref="J103:J109" si="61">IF(H$12=0,0,H103/H$12)</f>
        <v>2.9202597313361047E-3</v>
      </c>
      <c r="K103" s="1"/>
      <c r="L103" s="1">
        <f t="shared" ref="L103:L109" si="62">+D103-H103</f>
        <v>-170</v>
      </c>
      <c r="M103" s="1"/>
      <c r="N103" s="5">
        <f t="shared" ref="N103:N109" si="63">IF(H103=0,0,L103/H103)</f>
        <v>-1</v>
      </c>
      <c r="O103" s="13"/>
      <c r="P103" s="1">
        <f>SUM(OSRRefP22_16x_0)</f>
        <v>829.24</v>
      </c>
      <c r="Q103" s="1"/>
      <c r="R103" s="5">
        <f t="shared" ref="R103:R109" si="64">IF(P$12=0,0,P103/P$12)</f>
        <v>2.899349219802551E-3</v>
      </c>
      <c r="S103" s="1"/>
      <c r="T103" s="1">
        <f>SUM(OSRRefT22_16x_0)</f>
        <v>1950</v>
      </c>
      <c r="U103" s="1"/>
      <c r="V103" s="5">
        <f t="shared" ref="V103:V109" si="65">IF(T$12=0,0,T103/T$12)</f>
        <v>3.6749532150186859E-3</v>
      </c>
      <c r="W103" s="1"/>
      <c r="X103" s="1">
        <f t="shared" ref="X103:X109" si="66">+P103-T103</f>
        <v>-1120.76</v>
      </c>
      <c r="Y103" s="1"/>
      <c r="Z103" s="5">
        <f t="shared" ref="Z103:Z109" si="67">IF(T103=0,0,X103/T103)</f>
        <v>-0.57474871794871796</v>
      </c>
    </row>
    <row r="104" spans="1:26" s="24" customFormat="1" hidden="1" outlineLevel="2" x14ac:dyDescent="0.25">
      <c r="A104" s="25"/>
      <c r="B104" s="11" t="str">
        <f>CONCATENATE("          ", "6234", " - ", "EXPENDABLE SUPPLIES &amp; EQUIPMEN")</f>
        <v xml:space="preserve">          6234 - EXPENDABLE SUPPLIES &amp; EQUIPMEN</v>
      </c>
      <c r="C104" s="11"/>
      <c r="D104" s="7"/>
      <c r="E104" s="2"/>
      <c r="F104" s="6">
        <f t="shared" si="60"/>
        <v>0</v>
      </c>
      <c r="G104" s="2"/>
      <c r="H104" s="7">
        <v>0</v>
      </c>
      <c r="I104" s="2"/>
      <c r="J104" s="6">
        <f t="shared" si="61"/>
        <v>0</v>
      </c>
      <c r="K104" s="2"/>
      <c r="L104" s="7">
        <f t="shared" si="62"/>
        <v>0</v>
      </c>
      <c r="M104" s="2"/>
      <c r="N104" s="6">
        <f t="shared" si="63"/>
        <v>0</v>
      </c>
      <c r="O104" s="11"/>
      <c r="P104" s="7"/>
      <c r="Q104" s="2"/>
      <c r="R104" s="6">
        <f t="shared" si="64"/>
        <v>0</v>
      </c>
      <c r="S104" s="2"/>
      <c r="T104" s="7">
        <v>0</v>
      </c>
      <c r="U104" s="2"/>
      <c r="V104" s="6">
        <f t="shared" si="65"/>
        <v>0</v>
      </c>
      <c r="W104" s="2"/>
      <c r="X104" s="7">
        <f t="shared" si="66"/>
        <v>0</v>
      </c>
      <c r="Y104" s="2"/>
      <c r="Z104" s="6">
        <f t="shared" si="67"/>
        <v>0</v>
      </c>
    </row>
    <row r="105" spans="1:26" s="24" customFormat="1" hidden="1" outlineLevel="2" x14ac:dyDescent="0.25">
      <c r="A105" s="25"/>
      <c r="B105" s="11" t="str">
        <f>CONCATENATE("          ", "6235", " - ", "COVID-19 EXPENSES")</f>
        <v xml:space="preserve">          6235 - COVID-19 EXPENSES</v>
      </c>
      <c r="C105" s="11"/>
      <c r="D105" s="7"/>
      <c r="E105" s="2"/>
      <c r="F105" s="6">
        <f t="shared" si="60"/>
        <v>0</v>
      </c>
      <c r="G105" s="2"/>
      <c r="H105" s="7">
        <v>100</v>
      </c>
      <c r="I105" s="2"/>
      <c r="J105" s="6">
        <f t="shared" si="61"/>
        <v>1.7177998419624146E-3</v>
      </c>
      <c r="K105" s="2"/>
      <c r="L105" s="7">
        <f t="shared" si="62"/>
        <v>-100</v>
      </c>
      <c r="M105" s="2"/>
      <c r="N105" s="6">
        <f t="shared" si="63"/>
        <v>-1</v>
      </c>
      <c r="O105" s="11"/>
      <c r="P105" s="7">
        <v>265.7</v>
      </c>
      <c r="Q105" s="2"/>
      <c r="R105" s="6">
        <f t="shared" si="64"/>
        <v>9.2899171253381136E-4</v>
      </c>
      <c r="S105" s="2"/>
      <c r="T105" s="7">
        <v>1100</v>
      </c>
      <c r="U105" s="2"/>
      <c r="V105" s="6">
        <f t="shared" si="65"/>
        <v>2.0730505315490022E-3</v>
      </c>
      <c r="W105" s="2"/>
      <c r="X105" s="7">
        <f t="shared" si="66"/>
        <v>-834.3</v>
      </c>
      <c r="Y105" s="2"/>
      <c r="Z105" s="6">
        <f t="shared" si="67"/>
        <v>-0.75845454545454538</v>
      </c>
    </row>
    <row r="106" spans="1:26" s="24" customFormat="1" hidden="1" outlineLevel="2" x14ac:dyDescent="0.25">
      <c r="A106" s="25"/>
      <c r="B106" s="11" t="str">
        <f>CONCATENATE("          ", "6237", " - ", "JANITORIAL SUPPLIES")</f>
        <v xml:space="preserve">          6237 - JANITORIAL SUPPLIES</v>
      </c>
      <c r="C106" s="11"/>
      <c r="D106" s="7"/>
      <c r="E106" s="2"/>
      <c r="F106" s="6">
        <f t="shared" si="60"/>
        <v>0</v>
      </c>
      <c r="G106" s="2"/>
      <c r="H106" s="7">
        <v>20</v>
      </c>
      <c r="I106" s="2"/>
      <c r="J106" s="6">
        <f t="shared" si="61"/>
        <v>3.4355996839248291E-4</v>
      </c>
      <c r="K106" s="2"/>
      <c r="L106" s="7">
        <f t="shared" si="62"/>
        <v>-20</v>
      </c>
      <c r="M106" s="2"/>
      <c r="N106" s="6">
        <f t="shared" si="63"/>
        <v>-1</v>
      </c>
      <c r="O106" s="11"/>
      <c r="P106" s="7">
        <v>191.74</v>
      </c>
      <c r="Q106" s="2"/>
      <c r="R106" s="6">
        <f t="shared" si="64"/>
        <v>6.7039846052402332E-4</v>
      </c>
      <c r="S106" s="2"/>
      <c r="T106" s="7">
        <v>200</v>
      </c>
      <c r="U106" s="2"/>
      <c r="V106" s="6">
        <f t="shared" si="65"/>
        <v>3.7691827846345494E-4</v>
      </c>
      <c r="W106" s="2"/>
      <c r="X106" s="7">
        <f t="shared" si="66"/>
        <v>-8.2599999999999909</v>
      </c>
      <c r="Y106" s="2"/>
      <c r="Z106" s="6">
        <f t="shared" si="67"/>
        <v>-4.1299999999999955E-2</v>
      </c>
    </row>
    <row r="107" spans="1:26" s="24" customFormat="1" hidden="1" outlineLevel="2" x14ac:dyDescent="0.25">
      <c r="A107" s="25"/>
      <c r="B107" s="11" t="str">
        <f>CONCATENATE("          ", "6241", " - ", "OFFICE EXPENSE")</f>
        <v xml:space="preserve">          6241 - OFFICE EXPENSE</v>
      </c>
      <c r="C107" s="11"/>
      <c r="D107" s="7"/>
      <c r="E107" s="2"/>
      <c r="F107" s="6">
        <f t="shared" si="60"/>
        <v>0</v>
      </c>
      <c r="G107" s="2"/>
      <c r="H107" s="7">
        <v>25</v>
      </c>
      <c r="I107" s="2"/>
      <c r="J107" s="6">
        <f t="shared" si="61"/>
        <v>4.2944996049060365E-4</v>
      </c>
      <c r="K107" s="2"/>
      <c r="L107" s="7">
        <f t="shared" si="62"/>
        <v>-25</v>
      </c>
      <c r="M107" s="2"/>
      <c r="N107" s="6">
        <f t="shared" si="63"/>
        <v>-1</v>
      </c>
      <c r="O107" s="11"/>
      <c r="P107" s="7">
        <v>371.8</v>
      </c>
      <c r="Q107" s="2"/>
      <c r="R107" s="6">
        <f t="shared" si="64"/>
        <v>1.2999590467447162E-3</v>
      </c>
      <c r="S107" s="2"/>
      <c r="T107" s="7">
        <v>275</v>
      </c>
      <c r="U107" s="2"/>
      <c r="V107" s="6">
        <f t="shared" si="65"/>
        <v>5.1826263288725055E-4</v>
      </c>
      <c r="W107" s="2"/>
      <c r="X107" s="7">
        <f t="shared" si="66"/>
        <v>96.800000000000011</v>
      </c>
      <c r="Y107" s="2"/>
      <c r="Z107" s="6">
        <f t="shared" si="67"/>
        <v>0.35200000000000004</v>
      </c>
    </row>
    <row r="108" spans="1:26" s="24" customFormat="1" hidden="1" outlineLevel="2" x14ac:dyDescent="0.25">
      <c r="A108" s="25"/>
      <c r="B108" s="11" t="str">
        <f>CONCATENATE("          ", "6244", " - ", "SAFETY SUPPLY EXPENSE")</f>
        <v xml:space="preserve">          6244 - SAFETY SUPPLY EXPENSE</v>
      </c>
      <c r="C108" s="11"/>
      <c r="D108" s="7"/>
      <c r="E108" s="2"/>
      <c r="F108" s="6">
        <f t="shared" si="60"/>
        <v>0</v>
      </c>
      <c r="G108" s="2"/>
      <c r="H108" s="7">
        <v>0</v>
      </c>
      <c r="I108" s="2"/>
      <c r="J108" s="6">
        <f t="shared" si="61"/>
        <v>0</v>
      </c>
      <c r="K108" s="2"/>
      <c r="L108" s="7">
        <f t="shared" si="62"/>
        <v>0</v>
      </c>
      <c r="M108" s="2"/>
      <c r="N108" s="6">
        <f t="shared" si="63"/>
        <v>0</v>
      </c>
      <c r="O108" s="11"/>
      <c r="P108" s="7"/>
      <c r="Q108" s="2"/>
      <c r="R108" s="6">
        <f t="shared" si="64"/>
        <v>0</v>
      </c>
      <c r="S108" s="2"/>
      <c r="T108" s="7">
        <v>100</v>
      </c>
      <c r="U108" s="2"/>
      <c r="V108" s="6">
        <f t="shared" si="65"/>
        <v>1.8845913923172747E-4</v>
      </c>
      <c r="W108" s="2"/>
      <c r="X108" s="7">
        <f t="shared" si="66"/>
        <v>-100</v>
      </c>
      <c r="Y108" s="2"/>
      <c r="Z108" s="6">
        <f t="shared" si="67"/>
        <v>-1</v>
      </c>
    </row>
    <row r="109" spans="1:26" s="24" customFormat="1" hidden="1" outlineLevel="2" x14ac:dyDescent="0.25">
      <c r="A109" s="25"/>
      <c r="B109" s="11" t="str">
        <f>CONCATENATE("          ", "6247", " - ", "STORE SUPPLIES")</f>
        <v xml:space="preserve">          6247 - STORE SUPPLIES</v>
      </c>
      <c r="C109" s="11"/>
      <c r="D109" s="7"/>
      <c r="E109" s="2"/>
      <c r="F109" s="6">
        <f t="shared" si="60"/>
        <v>0</v>
      </c>
      <c r="G109" s="2"/>
      <c r="H109" s="7">
        <v>25</v>
      </c>
      <c r="I109" s="2"/>
      <c r="J109" s="6">
        <f t="shared" si="61"/>
        <v>4.2944996049060365E-4</v>
      </c>
      <c r="K109" s="2"/>
      <c r="L109" s="7">
        <f t="shared" si="62"/>
        <v>-25</v>
      </c>
      <c r="M109" s="2"/>
      <c r="N109" s="6">
        <f t="shared" si="63"/>
        <v>-1</v>
      </c>
      <c r="O109" s="11"/>
      <c r="P109" s="7"/>
      <c r="Q109" s="2"/>
      <c r="R109" s="6">
        <f t="shared" si="64"/>
        <v>0</v>
      </c>
      <c r="S109" s="2"/>
      <c r="T109" s="7">
        <v>275</v>
      </c>
      <c r="U109" s="2"/>
      <c r="V109" s="6">
        <f t="shared" si="65"/>
        <v>5.1826263288725055E-4</v>
      </c>
      <c r="W109" s="2"/>
      <c r="X109" s="7">
        <f t="shared" si="66"/>
        <v>-275</v>
      </c>
      <c r="Y109" s="2"/>
      <c r="Z109" s="6">
        <f t="shared" si="67"/>
        <v>-1</v>
      </c>
    </row>
    <row r="110" spans="1:26" s="27" customFormat="1" outlineLevel="1" collapsed="1" x14ac:dyDescent="0.25">
      <c r="A110" s="26"/>
      <c r="B110" s="13" t="str">
        <f>CONCATENATE("     ","Telephone/Data Lines                              ")</f>
        <v xml:space="preserve">     Telephone/Data Lines                              </v>
      </c>
      <c r="C110" s="13"/>
      <c r="D110" s="1">
        <f>SUM(OSRRefD22_17x_0)</f>
        <v>307.14999999999998</v>
      </c>
      <c r="E110" s="1"/>
      <c r="F110" s="5">
        <f t="shared" ref="F110:F112" si="68">IF(D$12=0,0,D110/D$12)</f>
        <v>8.8505188712137851E-3</v>
      </c>
      <c r="G110" s="1"/>
      <c r="H110" s="1">
        <f>SUM(OSRRefH22_17x_0)</f>
        <v>230</v>
      </c>
      <c r="I110" s="1"/>
      <c r="J110" s="5">
        <f t="shared" ref="J110:J112" si="69">IF(H$12=0,0,H110/H$12)</f>
        <v>3.9509396365135533E-3</v>
      </c>
      <c r="K110" s="1"/>
      <c r="L110" s="1">
        <f t="shared" ref="L110:L112" si="70">+D110-H110</f>
        <v>77.149999999999977</v>
      </c>
      <c r="M110" s="1"/>
      <c r="N110" s="5">
        <f t="shared" ref="N110:N112" si="71">IF(H110=0,0,L110/H110)</f>
        <v>0.33543478260869558</v>
      </c>
      <c r="O110" s="13"/>
      <c r="P110" s="1">
        <f>SUM(OSRRefP22_17x_0)</f>
        <v>3098.09</v>
      </c>
      <c r="Q110" s="1"/>
      <c r="R110" s="5">
        <f t="shared" ref="R110:R112" si="72">IF(P$12=0,0,P110/P$12)</f>
        <v>1.0832141267157981E-2</v>
      </c>
      <c r="S110" s="1"/>
      <c r="T110" s="1">
        <f>SUM(OSRRefT22_17x_0)</f>
        <v>2530</v>
      </c>
      <c r="U110" s="1"/>
      <c r="V110" s="5">
        <f t="shared" ref="V110:V112" si="73">IF(T$12=0,0,T110/T$12)</f>
        <v>4.7680162225627052E-3</v>
      </c>
      <c r="W110" s="1"/>
      <c r="X110" s="1">
        <f t="shared" ref="X110:X112" si="74">+P110-T110</f>
        <v>568.09000000000015</v>
      </c>
      <c r="Y110" s="1"/>
      <c r="Z110" s="5">
        <f t="shared" ref="Z110:Z112" si="75">IF(T110=0,0,X110/T110)</f>
        <v>0.22454150197628464</v>
      </c>
    </row>
    <row r="111" spans="1:26" s="24" customFormat="1" hidden="1" outlineLevel="2" x14ac:dyDescent="0.25">
      <c r="A111" s="25"/>
      <c r="B111" s="11" t="str">
        <f>CONCATENATE("          ", "6303", " - ", "DATA PHONE LINES")</f>
        <v xml:space="preserve">          6303 - DATA PHONE LINES</v>
      </c>
      <c r="C111" s="11"/>
      <c r="D111" s="7"/>
      <c r="E111" s="2"/>
      <c r="F111" s="6">
        <f t="shared" si="68"/>
        <v>0</v>
      </c>
      <c r="G111" s="2"/>
      <c r="H111" s="7">
        <v>230</v>
      </c>
      <c r="I111" s="2"/>
      <c r="J111" s="6">
        <f t="shared" si="69"/>
        <v>3.9509396365135533E-3</v>
      </c>
      <c r="K111" s="2"/>
      <c r="L111" s="7">
        <f t="shared" si="70"/>
        <v>-230</v>
      </c>
      <c r="M111" s="2"/>
      <c r="N111" s="6">
        <f t="shared" si="71"/>
        <v>-1</v>
      </c>
      <c r="O111" s="11"/>
      <c r="P111" s="7"/>
      <c r="Q111" s="2"/>
      <c r="R111" s="6">
        <f t="shared" si="72"/>
        <v>0</v>
      </c>
      <c r="S111" s="2"/>
      <c r="T111" s="7">
        <v>2530</v>
      </c>
      <c r="U111" s="2"/>
      <c r="V111" s="6">
        <f t="shared" si="73"/>
        <v>4.7680162225627052E-3</v>
      </c>
      <c r="W111" s="2"/>
      <c r="X111" s="7">
        <f t="shared" si="74"/>
        <v>-2530</v>
      </c>
      <c r="Y111" s="2"/>
      <c r="Z111" s="6">
        <f t="shared" si="75"/>
        <v>-1</v>
      </c>
    </row>
    <row r="112" spans="1:26" s="24" customFormat="1" hidden="1" outlineLevel="2" x14ac:dyDescent="0.25">
      <c r="A112" s="25"/>
      <c r="B112" s="11" t="str">
        <f>CONCATENATE("          ", "6309", " - ", "TELEPHONE")</f>
        <v xml:space="preserve">          6309 - TELEPHONE</v>
      </c>
      <c r="C112" s="11"/>
      <c r="D112" s="7">
        <v>307.14999999999998</v>
      </c>
      <c r="E112" s="2"/>
      <c r="F112" s="6">
        <f t="shared" si="68"/>
        <v>8.8505188712137851E-3</v>
      </c>
      <c r="G112" s="2"/>
      <c r="H112" s="7"/>
      <c r="I112" s="2"/>
      <c r="J112" s="6">
        <f t="shared" si="69"/>
        <v>0</v>
      </c>
      <c r="K112" s="2"/>
      <c r="L112" s="7">
        <f t="shared" si="70"/>
        <v>307.14999999999998</v>
      </c>
      <c r="M112" s="2"/>
      <c r="N112" s="6">
        <f t="shared" si="71"/>
        <v>0</v>
      </c>
      <c r="O112" s="11"/>
      <c r="P112" s="7">
        <v>3098.09</v>
      </c>
      <c r="Q112" s="2"/>
      <c r="R112" s="6">
        <f t="shared" si="72"/>
        <v>1.0832141267157981E-2</v>
      </c>
      <c r="S112" s="2"/>
      <c r="T112" s="7"/>
      <c r="U112" s="2"/>
      <c r="V112" s="6">
        <f t="shared" si="73"/>
        <v>0</v>
      </c>
      <c r="W112" s="2"/>
      <c r="X112" s="7">
        <f t="shared" si="74"/>
        <v>3098.09</v>
      </c>
      <c r="Y112" s="2"/>
      <c r="Z112" s="6">
        <f t="shared" si="75"/>
        <v>0</v>
      </c>
    </row>
    <row r="113" spans="1:26" s="27" customFormat="1" outlineLevel="1" collapsed="1" x14ac:dyDescent="0.25">
      <c r="A113" s="26"/>
      <c r="B113" s="13" t="str">
        <f>CONCATENATE("     ","Training                                          ")</f>
        <v xml:space="preserve">     Training                                          </v>
      </c>
      <c r="C113" s="13"/>
      <c r="D113" s="1">
        <f>SUM(OSRRefD22_18x_0)</f>
        <v>0</v>
      </c>
      <c r="E113" s="1"/>
      <c r="F113" s="5">
        <f t="shared" ref="F113:F117" si="76">IF(D$12=0,0,D113/D$12)</f>
        <v>0</v>
      </c>
      <c r="G113" s="1"/>
      <c r="H113" s="1">
        <f>SUM(OSRRefH22_18x_0)</f>
        <v>0</v>
      </c>
      <c r="I113" s="1"/>
      <c r="J113" s="5">
        <f t="shared" ref="J113:J117" si="77">IF(H$12=0,0,H113/H$12)</f>
        <v>0</v>
      </c>
      <c r="K113" s="1"/>
      <c r="L113" s="1">
        <f t="shared" ref="L113:L117" si="78">+D113-H113</f>
        <v>0</v>
      </c>
      <c r="M113" s="1"/>
      <c r="N113" s="5">
        <f t="shared" ref="N113:N117" si="79">IF(H113=0,0,L113/H113)</f>
        <v>0</v>
      </c>
      <c r="O113" s="13"/>
      <c r="P113" s="1">
        <f>SUM(OSRRefP22_18x_0)</f>
        <v>0</v>
      </c>
      <c r="Q113" s="1"/>
      <c r="R113" s="5">
        <f t="shared" ref="R113:R117" si="80">IF(P$12=0,0,P113/P$12)</f>
        <v>0</v>
      </c>
      <c r="S113" s="1"/>
      <c r="T113" s="1">
        <f>SUM(OSRRefT22_18x_0)</f>
        <v>0</v>
      </c>
      <c r="U113" s="1"/>
      <c r="V113" s="5">
        <f t="shared" ref="V113:V117" si="81">IF(T$12=0,0,T113/T$12)</f>
        <v>0</v>
      </c>
      <c r="W113" s="1"/>
      <c r="X113" s="1">
        <f t="shared" ref="X113:X117" si="82">+P113-T113</f>
        <v>0</v>
      </c>
      <c r="Y113" s="1"/>
      <c r="Z113" s="5">
        <f t="shared" ref="Z113:Z117" si="83">IF(T113=0,0,X113/T113)</f>
        <v>0</v>
      </c>
    </row>
    <row r="114" spans="1:26" s="24" customFormat="1" hidden="1" outlineLevel="2" x14ac:dyDescent="0.25">
      <c r="A114" s="25"/>
      <c r="B114" s="11" t="str">
        <f>CONCATENATE("          ", "6376", " - ", "TRAINING")</f>
        <v xml:space="preserve">          6376 - TRAINING</v>
      </c>
      <c r="C114" s="11"/>
      <c r="D114" s="7"/>
      <c r="E114" s="2"/>
      <c r="F114" s="6">
        <f t="shared" si="76"/>
        <v>0</v>
      </c>
      <c r="G114" s="2"/>
      <c r="H114" s="7">
        <v>0</v>
      </c>
      <c r="I114" s="2"/>
      <c r="J114" s="6">
        <f t="shared" si="77"/>
        <v>0</v>
      </c>
      <c r="K114" s="2"/>
      <c r="L114" s="7">
        <f t="shared" si="78"/>
        <v>0</v>
      </c>
      <c r="M114" s="2"/>
      <c r="N114" s="6">
        <f t="shared" si="79"/>
        <v>0</v>
      </c>
      <c r="O114" s="11"/>
      <c r="P114" s="7"/>
      <c r="Q114" s="2"/>
      <c r="R114" s="6">
        <f t="shared" si="80"/>
        <v>0</v>
      </c>
      <c r="S114" s="2"/>
      <c r="T114" s="7">
        <v>0</v>
      </c>
      <c r="U114" s="2"/>
      <c r="V114" s="6">
        <f t="shared" si="81"/>
        <v>0</v>
      </c>
      <c r="W114" s="2"/>
      <c r="X114" s="7">
        <f t="shared" si="82"/>
        <v>0</v>
      </c>
      <c r="Y114" s="2"/>
      <c r="Z114" s="6">
        <f t="shared" si="83"/>
        <v>0</v>
      </c>
    </row>
    <row r="115" spans="1:26" s="27" customFormat="1" outlineLevel="1" collapsed="1" x14ac:dyDescent="0.25">
      <c r="A115" s="26"/>
      <c r="B115" s="13" t="str">
        <f>CONCATENATE("     ","Travel                                            ")</f>
        <v xml:space="preserve">     Travel                                            </v>
      </c>
      <c r="C115" s="13"/>
      <c r="D115" s="1">
        <f>SUM(OSRRefD22_19x_0)</f>
        <v>0</v>
      </c>
      <c r="E115" s="1"/>
      <c r="F115" s="5">
        <f t="shared" si="76"/>
        <v>0</v>
      </c>
      <c r="G115" s="1"/>
      <c r="H115" s="1">
        <f>SUM(OSRRefH22_19x_0)</f>
        <v>25</v>
      </c>
      <c r="I115" s="1"/>
      <c r="J115" s="5">
        <f t="shared" si="77"/>
        <v>4.2944996049060365E-4</v>
      </c>
      <c r="K115" s="1"/>
      <c r="L115" s="1">
        <f t="shared" si="78"/>
        <v>-25</v>
      </c>
      <c r="M115" s="1"/>
      <c r="N115" s="5">
        <f t="shared" si="79"/>
        <v>-1</v>
      </c>
      <c r="O115" s="13"/>
      <c r="P115" s="1">
        <f>SUM(OSRRefP22_19x_0)</f>
        <v>499.53</v>
      </c>
      <c r="Q115" s="1"/>
      <c r="R115" s="5">
        <f t="shared" si="80"/>
        <v>1.7465533690704358E-3</v>
      </c>
      <c r="S115" s="1"/>
      <c r="T115" s="1">
        <f>SUM(OSRRefT22_19x_0)</f>
        <v>475</v>
      </c>
      <c r="U115" s="1"/>
      <c r="V115" s="5">
        <f t="shared" si="81"/>
        <v>8.9518091135070549E-4</v>
      </c>
      <c r="W115" s="1"/>
      <c r="X115" s="1">
        <f t="shared" si="82"/>
        <v>24.529999999999973</v>
      </c>
      <c r="Y115" s="1"/>
      <c r="Z115" s="5">
        <f t="shared" si="83"/>
        <v>5.1642105263157836E-2</v>
      </c>
    </row>
    <row r="116" spans="1:26" s="24" customFormat="1" hidden="1" outlineLevel="2" x14ac:dyDescent="0.25">
      <c r="A116" s="25"/>
      <c r="B116" s="11" t="str">
        <f>CONCATENATE("          ", "6294", " - ", "TRAVEL OPERATIONAL")</f>
        <v xml:space="preserve">          6294 - TRAVEL OPERATIONAL</v>
      </c>
      <c r="C116" s="11"/>
      <c r="D116" s="7"/>
      <c r="E116" s="2"/>
      <c r="F116" s="6">
        <f t="shared" si="76"/>
        <v>0</v>
      </c>
      <c r="G116" s="2"/>
      <c r="H116" s="7"/>
      <c r="I116" s="2"/>
      <c r="J116" s="6">
        <f t="shared" si="77"/>
        <v>0</v>
      </c>
      <c r="K116" s="2"/>
      <c r="L116" s="7">
        <f t="shared" si="78"/>
        <v>0</v>
      </c>
      <c r="M116" s="2"/>
      <c r="N116" s="6">
        <f t="shared" si="79"/>
        <v>0</v>
      </c>
      <c r="O116" s="11"/>
      <c r="P116" s="7">
        <v>499.53</v>
      </c>
      <c r="Q116" s="2"/>
      <c r="R116" s="6">
        <f t="shared" si="80"/>
        <v>1.7465533690704358E-3</v>
      </c>
      <c r="S116" s="2"/>
      <c r="T116" s="7"/>
      <c r="U116" s="2"/>
      <c r="V116" s="6">
        <f t="shared" si="81"/>
        <v>0</v>
      </c>
      <c r="W116" s="2"/>
      <c r="X116" s="7">
        <f t="shared" si="82"/>
        <v>499.53</v>
      </c>
      <c r="Y116" s="2"/>
      <c r="Z116" s="6">
        <f t="shared" si="83"/>
        <v>0</v>
      </c>
    </row>
    <row r="117" spans="1:26" s="24" customFormat="1" hidden="1" outlineLevel="2" x14ac:dyDescent="0.25">
      <c r="A117" s="25"/>
      <c r="B117" s="11" t="str">
        <f>CONCATENATE("          ", "6298", " - ", "VEHICLE MILEAGE")</f>
        <v xml:space="preserve">          6298 - VEHICLE MILEAGE</v>
      </c>
      <c r="C117" s="11"/>
      <c r="D117" s="7"/>
      <c r="E117" s="2"/>
      <c r="F117" s="6">
        <f t="shared" si="76"/>
        <v>0</v>
      </c>
      <c r="G117" s="2"/>
      <c r="H117" s="7">
        <v>25</v>
      </c>
      <c r="I117" s="2"/>
      <c r="J117" s="6">
        <f t="shared" si="77"/>
        <v>4.2944996049060365E-4</v>
      </c>
      <c r="K117" s="2"/>
      <c r="L117" s="7">
        <f t="shared" si="78"/>
        <v>-25</v>
      </c>
      <c r="M117" s="2"/>
      <c r="N117" s="6">
        <f t="shared" si="79"/>
        <v>-1</v>
      </c>
      <c r="O117" s="11"/>
      <c r="P117" s="7"/>
      <c r="Q117" s="2"/>
      <c r="R117" s="6">
        <f t="shared" si="80"/>
        <v>0</v>
      </c>
      <c r="S117" s="2"/>
      <c r="T117" s="7">
        <v>475</v>
      </c>
      <c r="U117" s="2"/>
      <c r="V117" s="6">
        <f t="shared" si="81"/>
        <v>8.9518091135070549E-4</v>
      </c>
      <c r="W117" s="2"/>
      <c r="X117" s="7">
        <f t="shared" si="82"/>
        <v>-475</v>
      </c>
      <c r="Y117" s="2"/>
      <c r="Z117" s="6">
        <f t="shared" si="83"/>
        <v>-1</v>
      </c>
    </row>
    <row r="118" spans="1:26" s="27" customFormat="1" outlineLevel="1" collapsed="1" x14ac:dyDescent="0.25">
      <c r="A118" s="26"/>
      <c r="B118" s="13" t="str">
        <f>CONCATENATE("     ","Utilities                                         ")</f>
        <v xml:space="preserve">     Utilities                                         </v>
      </c>
      <c r="C118" s="13"/>
      <c r="D118" s="1">
        <f>SUM(OSRRefD22_20x_0)</f>
        <v>29.9</v>
      </c>
      <c r="E118" s="1"/>
      <c r="F118" s="5">
        <f t="shared" ref="F118:F119" si="84">IF(D$12=0,0,D118/D$12)</f>
        <v>8.6156768435387331E-4</v>
      </c>
      <c r="G118" s="1"/>
      <c r="H118" s="1">
        <f>SUM(OSRRefH22_20x_0)</f>
        <v>105</v>
      </c>
      <c r="I118" s="1"/>
      <c r="J118" s="5">
        <f t="shared" ref="J118:J119" si="85">IF(H$12=0,0,H118/H$12)</f>
        <v>1.8036898340605353E-3</v>
      </c>
      <c r="K118" s="1"/>
      <c r="L118" s="1">
        <f t="shared" ref="L118:L119" si="86">+D118-H118</f>
        <v>-75.099999999999994</v>
      </c>
      <c r="M118" s="1"/>
      <c r="N118" s="5">
        <f t="shared" ref="N118:N119" si="87">IF(H118=0,0,L118/H118)</f>
        <v>-0.71523809523809523</v>
      </c>
      <c r="O118" s="13"/>
      <c r="P118" s="1">
        <f>SUM(OSRRefP22_20x_0)</f>
        <v>294.43</v>
      </c>
      <c r="Q118" s="1"/>
      <c r="R118" s="5">
        <f t="shared" ref="R118:R119" si="88">IF(P$12=0,0,P118/P$12)</f>
        <v>1.0294430934186304E-3</v>
      </c>
      <c r="S118" s="1"/>
      <c r="T118" s="1">
        <f>SUM(OSRRefT22_20x_0)</f>
        <v>4135</v>
      </c>
      <c r="U118" s="1"/>
      <c r="V118" s="5">
        <f t="shared" ref="V118:V119" si="89">IF(T$12=0,0,T118/T$12)</f>
        <v>7.7927854072319313E-3</v>
      </c>
      <c r="W118" s="1"/>
      <c r="X118" s="1">
        <f t="shared" ref="X118:X119" si="90">+P118-T118</f>
        <v>-3840.57</v>
      </c>
      <c r="Y118" s="1"/>
      <c r="Z118" s="5">
        <f t="shared" ref="Z118:Z119" si="91">IF(T118=0,0,X118/T118)</f>
        <v>-0.92879564691656591</v>
      </c>
    </row>
    <row r="119" spans="1:26" s="24" customFormat="1" hidden="1" outlineLevel="2" x14ac:dyDescent="0.25">
      <c r="A119" s="25"/>
      <c r="B119" s="11" t="str">
        <f>CONCATENATE("          ", "6274", " - ", "UTILITIES")</f>
        <v xml:space="preserve">          6274 - UTILITIES</v>
      </c>
      <c r="C119" s="11"/>
      <c r="D119" s="7">
        <v>29.9</v>
      </c>
      <c r="E119" s="2"/>
      <c r="F119" s="6">
        <f t="shared" si="84"/>
        <v>8.6156768435387331E-4</v>
      </c>
      <c r="G119" s="2"/>
      <c r="H119" s="7">
        <v>105</v>
      </c>
      <c r="I119" s="2"/>
      <c r="J119" s="6">
        <f t="shared" si="85"/>
        <v>1.8036898340605353E-3</v>
      </c>
      <c r="K119" s="2"/>
      <c r="L119" s="7">
        <f t="shared" si="86"/>
        <v>-75.099999999999994</v>
      </c>
      <c r="M119" s="2"/>
      <c r="N119" s="6">
        <f t="shared" si="87"/>
        <v>-0.71523809523809523</v>
      </c>
      <c r="O119" s="11"/>
      <c r="P119" s="7">
        <v>294.43</v>
      </c>
      <c r="Q119" s="2"/>
      <c r="R119" s="6">
        <f t="shared" si="88"/>
        <v>1.0294430934186304E-3</v>
      </c>
      <c r="S119" s="2"/>
      <c r="T119" s="7">
        <v>4135</v>
      </c>
      <c r="U119" s="2"/>
      <c r="V119" s="6">
        <f t="shared" si="89"/>
        <v>7.7927854072319313E-3</v>
      </c>
      <c r="W119" s="2"/>
      <c r="X119" s="7">
        <f t="shared" si="90"/>
        <v>-3840.57</v>
      </c>
      <c r="Y119" s="2"/>
      <c r="Z119" s="6">
        <f t="shared" si="91"/>
        <v>-0.92879564691656591</v>
      </c>
    </row>
    <row r="120" spans="1:26" s="56" customFormat="1" x14ac:dyDescent="0.25">
      <c r="A120" s="36"/>
      <c r="B120" s="36"/>
      <c r="C120" s="36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x14ac:dyDescent="0.25">
      <c r="A121" s="10"/>
      <c r="B121" s="29" t="s">
        <v>293</v>
      </c>
      <c r="C121" s="10"/>
      <c r="D121" s="4">
        <f>SUM(0)</f>
        <v>0</v>
      </c>
      <c r="E121" s="4"/>
      <c r="F121" s="12">
        <f>IF(D$12=0,0,D121/D$12)</f>
        <v>0</v>
      </c>
      <c r="G121" s="4"/>
      <c r="H121" s="4">
        <f>SUM(0)</f>
        <v>0</v>
      </c>
      <c r="I121" s="4"/>
      <c r="J121" s="12">
        <f>IF(H$12=0,0,H121/H$12)</f>
        <v>0</v>
      </c>
      <c r="K121" s="4"/>
      <c r="L121" s="4">
        <f>+D121-H121</f>
        <v>0</v>
      </c>
      <c r="M121" s="4"/>
      <c r="N121" s="12">
        <f>IF(H121=0,0,L121/H121)</f>
        <v>0</v>
      </c>
      <c r="O121" s="10"/>
      <c r="P121" s="4">
        <f>SUM(0)</f>
        <v>0</v>
      </c>
      <c r="Q121" s="4"/>
      <c r="R121" s="12">
        <f>IF(P$12=0,0,P121/P$12)</f>
        <v>0</v>
      </c>
      <c r="S121" s="4"/>
      <c r="T121" s="4">
        <f>SUM(0)</f>
        <v>0</v>
      </c>
      <c r="U121" s="4"/>
      <c r="V121" s="12">
        <f>IF(T$12=0,0,T121/T$12)</f>
        <v>0</v>
      </c>
      <c r="W121" s="4"/>
      <c r="X121" s="4">
        <f>+P121-T121</f>
        <v>0</v>
      </c>
      <c r="Y121" s="4"/>
      <c r="Z121" s="12">
        <f>IF(T121=0,0,X121/T121)</f>
        <v>0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10"/>
      <c r="B123" s="28" t="s">
        <v>277</v>
      </c>
      <c r="C123" s="28"/>
      <c r="D123" s="20">
        <f>+D45-D47+D121</f>
        <v>-4884.8400000000074</v>
      </c>
      <c r="E123" s="14"/>
      <c r="F123" s="21">
        <f>IF(D$12=0,0,D123/D$12)</f>
        <v>-0.14075653134579202</v>
      </c>
      <c r="G123" s="14"/>
      <c r="H123" s="20">
        <f>+H45-H47+H121</f>
        <v>7136.8212381538469</v>
      </c>
      <c r="I123" s="14"/>
      <c r="J123" s="21">
        <f>IF(H$12=0,0,H123/H$12)</f>
        <v>0.12259630395014683</v>
      </c>
      <c r="K123" s="15"/>
      <c r="L123" s="20">
        <f>+D123-H123</f>
        <v>-12021.661238153854</v>
      </c>
      <c r="M123" s="15"/>
      <c r="N123" s="21">
        <f>IF(H123=0,0,L123/H123)</f>
        <v>-1.6844559835526465</v>
      </c>
      <c r="O123" s="29"/>
      <c r="P123" s="20">
        <f>+P45-P47+P121</f>
        <v>-81260.520000000019</v>
      </c>
      <c r="Q123" s="14"/>
      <c r="R123" s="21">
        <f>IF(P$12=0,0,P123/P$12)</f>
        <v>-0.28411874157391059</v>
      </c>
      <c r="S123" s="14"/>
      <c r="T123" s="20">
        <f>+T45-T47+T121</f>
        <v>14744.690509846201</v>
      </c>
      <c r="U123" s="14"/>
      <c r="V123" s="21">
        <f>IF(T$12=0,0,T123/T$12)</f>
        <v>2.7787716817238361E-2</v>
      </c>
      <c r="W123" s="15"/>
      <c r="X123" s="20">
        <f>+P123-T123</f>
        <v>-96005.21050984622</v>
      </c>
      <c r="Y123" s="15"/>
      <c r="Z123" s="21">
        <f>IF(T123=0,0,X123/T123)</f>
        <v>-6.5111716278979141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52"/>
      <c r="B125" s="10" t="s">
        <v>128</v>
      </c>
      <c r="C125" s="10"/>
      <c r="D125" s="4">
        <v>8543.42</v>
      </c>
      <c r="E125" s="4"/>
      <c r="F125" s="12">
        <f>IF(D$12=0,0,D125/D$12)</f>
        <v>0.2461784142428953</v>
      </c>
      <c r="G125" s="4"/>
      <c r="H125" s="4">
        <v>12386</v>
      </c>
      <c r="I125" s="4"/>
      <c r="J125" s="12">
        <f>IF(H$12=0,0,H125/H$12)</f>
        <v>0.21276668842546467</v>
      </c>
      <c r="K125" s="4"/>
      <c r="L125" s="4">
        <f>+D125-H125</f>
        <v>-3842.58</v>
      </c>
      <c r="M125" s="4"/>
      <c r="N125" s="12">
        <f>IF(H125=0,0,L125/H125)</f>
        <v>-0.31023575004036813</v>
      </c>
      <c r="O125" s="10"/>
      <c r="P125" s="4">
        <v>61117.41</v>
      </c>
      <c r="Q125" s="4"/>
      <c r="R125" s="12">
        <f>IF(P$12=0,0,P125/P$12)</f>
        <v>0.21369050576413659</v>
      </c>
      <c r="S125" s="4"/>
      <c r="T125" s="4">
        <v>97961</v>
      </c>
      <c r="U125" s="4"/>
      <c r="V125" s="12">
        <f>IF(T$12=0,0,T125/T$12)</f>
        <v>0.18461645738279256</v>
      </c>
      <c r="W125" s="4"/>
      <c r="X125" s="4">
        <f>+P125-T125</f>
        <v>-36843.589999999997</v>
      </c>
      <c r="Y125" s="4"/>
      <c r="Z125" s="12">
        <f>IF(T125=0,0,X125/T125)</f>
        <v>-0.37610467430916383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8" t="s">
        <v>126</v>
      </c>
      <c r="C127" s="28"/>
      <c r="D127" s="35">
        <f>+D123-D125</f>
        <v>-13428.260000000007</v>
      </c>
      <c r="E127" s="14"/>
      <c r="F127" s="34">
        <f>IF(D$12=0,0,D127/D$12)</f>
        <v>-0.3869349455886873</v>
      </c>
      <c r="G127" s="14"/>
      <c r="H127" s="35">
        <f>+H123-H125</f>
        <v>-5249.1787618461531</v>
      </c>
      <c r="I127" s="14"/>
      <c r="J127" s="34">
        <f>IF(H$12=0,0,H127/H$12)</f>
        <v>-9.0170384475317847E-2</v>
      </c>
      <c r="K127" s="15"/>
      <c r="L127" s="35">
        <f>D127-H127</f>
        <v>-8179.0812381538544</v>
      </c>
      <c r="M127" s="15"/>
      <c r="N127" s="34">
        <f>IF(H127=0,0,L127/H127)</f>
        <v>1.5581639736874278</v>
      </c>
      <c r="O127" s="29"/>
      <c r="P127" s="35">
        <f>+P123-P125</f>
        <v>-142377.93000000002</v>
      </c>
      <c r="Q127" s="14"/>
      <c r="R127" s="34">
        <f>IF(P$12=0,0,P127/P$12)</f>
        <v>-0.49780924733804721</v>
      </c>
      <c r="S127" s="14"/>
      <c r="T127" s="35">
        <f>+T123-T125</f>
        <v>-83216.309490153799</v>
      </c>
      <c r="U127" s="14"/>
      <c r="V127" s="34">
        <f>IF(T$12=0,0,T127/T$12)</f>
        <v>-0.15682874056555418</v>
      </c>
      <c r="W127" s="15"/>
      <c r="X127" s="35">
        <f>P127-T127</f>
        <v>-59161.620509846223</v>
      </c>
      <c r="Y127" s="15"/>
      <c r="Z127" s="34">
        <f>IF(T127=0,0,X127/T127)</f>
        <v>0.7109378062102869</v>
      </c>
    </row>
    <row r="128" spans="1:26" ht="15.75" thickTop="1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8" t="s">
        <v>294</v>
      </c>
      <c r="C130" s="28"/>
      <c r="D130" s="33">
        <f>SUM(D127:D129)</f>
        <v>-13428.260000000007</v>
      </c>
      <c r="E130" s="14"/>
      <c r="F130" s="32">
        <f>IF(D$12=0,0,D130/D$12)</f>
        <v>-0.3869349455886873</v>
      </c>
      <c r="G130" s="14"/>
      <c r="H130" s="33">
        <f>SUM(H127:H129)</f>
        <v>-5249.1787618461531</v>
      </c>
      <c r="I130" s="14"/>
      <c r="J130" s="32">
        <f>IF(H$12=0,0,H130/H$12)</f>
        <v>-9.0170384475317847E-2</v>
      </c>
      <c r="K130" s="15"/>
      <c r="L130" s="33">
        <f>+D130-H130</f>
        <v>-8179.0812381538544</v>
      </c>
      <c r="M130" s="15"/>
      <c r="N130" s="32">
        <f>IF(H130=0,0,L130/H130)</f>
        <v>1.5581639736874278</v>
      </c>
      <c r="O130" s="29"/>
      <c r="P130" s="33">
        <f>SUM(P127:P129)</f>
        <v>-142377.93000000002</v>
      </c>
      <c r="Q130" s="14"/>
      <c r="R130" s="32">
        <f>IF(P$12=0,0,P130/P$12)</f>
        <v>-0.49780924733804721</v>
      </c>
      <c r="S130" s="14"/>
      <c r="T130" s="33">
        <f>SUM(T127:T129)</f>
        <v>-83216.309490153799</v>
      </c>
      <c r="U130" s="14"/>
      <c r="V130" s="32">
        <f>IF(T$12=0,0,T130/T$12)</f>
        <v>-0.15682874056555418</v>
      </c>
      <c r="W130" s="15"/>
      <c r="X130" s="33">
        <f>+P130-T130</f>
        <v>-59161.620509846223</v>
      </c>
      <c r="Y130" s="15"/>
      <c r="Z130" s="32">
        <f>IF(T130=0,0,X130/T130)</f>
        <v>0.7109378062102869</v>
      </c>
    </row>
    <row r="131" spans="1:26" ht="15.75" thickTop="1" x14ac:dyDescent="0.25">
      <c r="A131" s="9"/>
      <c r="C131" s="9"/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6" x14ac:dyDescent="0.25">
      <c r="A132" s="9"/>
      <c r="B132" s="60">
        <v>44356.891834571761</v>
      </c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6" x14ac:dyDescent="0.25">
      <c r="A133" s="9"/>
      <c r="B133" s="55" t="s">
        <v>56</v>
      </c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  <row r="134" spans="1:26" x14ac:dyDescent="0.25">
      <c r="A134" s="9"/>
      <c r="B134" s="63"/>
      <c r="D134" s="18"/>
      <c r="E134" s="18"/>
      <c r="G134" s="18"/>
      <c r="H134" s="18"/>
      <c r="I134" s="18"/>
      <c r="J134" s="42"/>
      <c r="K134" s="18"/>
      <c r="L134" s="18"/>
      <c r="M134" s="18"/>
      <c r="P134" s="18"/>
      <c r="Q134" s="18"/>
      <c r="R134" s="42"/>
      <c r="S134" s="18"/>
      <c r="T134" s="18"/>
      <c r="U134" s="18"/>
      <c r="V134" s="42"/>
      <c r="W134" s="18"/>
      <c r="X134" s="18"/>
    </row>
    <row r="135" spans="1:26" x14ac:dyDescent="0.25">
      <c r="D135" s="18"/>
      <c r="E135" s="18"/>
      <c r="G135" s="18"/>
      <c r="H135" s="18"/>
      <c r="I135" s="18"/>
      <c r="J135" s="42"/>
      <c r="K135" s="18"/>
      <c r="L135" s="18"/>
      <c r="M135" s="18"/>
      <c r="P135" s="18"/>
      <c r="Q135" s="18"/>
      <c r="R135" s="42"/>
      <c r="S135" s="18"/>
      <c r="T135" s="18"/>
      <c r="U135" s="18"/>
      <c r="V135" s="42"/>
      <c r="W135" s="18"/>
      <c r="X135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218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125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12946.13</v>
      </c>
      <c r="E12" s="4"/>
      <c r="F12" s="12"/>
      <c r="G12" s="4"/>
      <c r="H12" s="4">
        <f>SUM(OSRRefH13x_0)</f>
        <v>43000</v>
      </c>
      <c r="I12" s="4"/>
      <c r="J12" s="12"/>
      <c r="K12" s="4"/>
      <c r="L12" s="4">
        <f t="shared" ref="L12:L24" si="0">+D12-H12</f>
        <v>-30053.870000000003</v>
      </c>
      <c r="M12" s="4"/>
      <c r="N12" s="12">
        <f t="shared" ref="N12:N24" si="1">IF(H12=0,0,L12/H12)</f>
        <v>-0.69892720930232566</v>
      </c>
      <c r="O12" s="10"/>
      <c r="P12" s="4">
        <f>SUM(OSRRefP13x_0)</f>
        <v>127643.60999999999</v>
      </c>
      <c r="Q12" s="4"/>
      <c r="R12" s="12"/>
      <c r="S12" s="4"/>
      <c r="T12" s="4">
        <f>SUM(OSRRefT13x_0)</f>
        <v>387713</v>
      </c>
      <c r="U12" s="4"/>
      <c r="V12" s="12"/>
      <c r="W12" s="4"/>
      <c r="X12" s="4">
        <f t="shared" ref="X12:X24" si="2">+P12-T12</f>
        <v>-260069.39</v>
      </c>
      <c r="Y12" s="4"/>
      <c r="Z12" s="12">
        <f t="shared" ref="Z12:Z24" si="3">IF(T12=0,0,X12/T12)</f>
        <v>-0.67077810132752835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</f>
        <v>-1</v>
      </c>
      <c r="E13" s="2"/>
      <c r="F13" s="19"/>
      <c r="G13" s="2"/>
      <c r="H13" s="2">
        <v>18000</v>
      </c>
      <c r="I13" s="2"/>
      <c r="J13" s="19"/>
      <c r="K13" s="2"/>
      <c r="L13" s="2">
        <f t="shared" si="0"/>
        <v>-18001</v>
      </c>
      <c r="M13" s="2"/>
      <c r="N13" s="19">
        <f t="shared" si="1"/>
        <v>-1.0000555555555555</v>
      </c>
      <c r="O13" s="11"/>
      <c r="P13" s="2">
        <f>-10.28</f>
        <v>-10.28</v>
      </c>
      <c r="Q13" s="2"/>
      <c r="R13" s="19"/>
      <c r="S13" s="2"/>
      <c r="T13" s="2">
        <v>255213</v>
      </c>
      <c r="U13" s="2"/>
      <c r="V13" s="19"/>
      <c r="W13" s="2"/>
      <c r="X13" s="2">
        <f t="shared" si="2"/>
        <v>-255223.28</v>
      </c>
      <c r="Y13" s="2"/>
      <c r="Z13" s="19">
        <f t="shared" si="3"/>
        <v>-1.0000402800797765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--381.55</f>
        <v>381.55</v>
      </c>
      <c r="E14" s="2"/>
      <c r="F14" s="19"/>
      <c r="G14" s="2"/>
      <c r="H14" s="2"/>
      <c r="I14" s="2"/>
      <c r="J14" s="19"/>
      <c r="K14" s="2"/>
      <c r="L14" s="2">
        <f t="shared" si="0"/>
        <v>381.55</v>
      </c>
      <c r="M14" s="2"/>
      <c r="N14" s="19">
        <f t="shared" si="1"/>
        <v>0</v>
      </c>
      <c r="O14" s="11"/>
      <c r="P14" s="2">
        <f>--93301.72</f>
        <v>93301.72</v>
      </c>
      <c r="Q14" s="2"/>
      <c r="R14" s="19"/>
      <c r="S14" s="2"/>
      <c r="T14" s="2"/>
      <c r="U14" s="2"/>
      <c r="V14" s="19"/>
      <c r="W14" s="2"/>
      <c r="X14" s="2">
        <f t="shared" si="2"/>
        <v>93301.72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--1225.83</f>
        <v>1225.83</v>
      </c>
      <c r="E15" s="2"/>
      <c r="F15" s="19"/>
      <c r="G15" s="2"/>
      <c r="H15" s="2"/>
      <c r="I15" s="2"/>
      <c r="J15" s="19"/>
      <c r="K15" s="2"/>
      <c r="L15" s="2">
        <f t="shared" si="0"/>
        <v>1225.83</v>
      </c>
      <c r="M15" s="2"/>
      <c r="N15" s="19">
        <f t="shared" si="1"/>
        <v>0</v>
      </c>
      <c r="O15" s="11"/>
      <c r="P15" s="2">
        <f>--18325.67</f>
        <v>18325.669999999998</v>
      </c>
      <c r="Q15" s="2"/>
      <c r="R15" s="19"/>
      <c r="S15" s="2"/>
      <c r="T15" s="2"/>
      <c r="U15" s="2"/>
      <c r="V15" s="19"/>
      <c r="W15" s="2"/>
      <c r="X15" s="2">
        <f t="shared" si="2"/>
        <v>18325.669999999998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--9.47</f>
        <v>9.4700000000000006</v>
      </c>
      <c r="E16" s="2"/>
      <c r="F16" s="19"/>
      <c r="G16" s="2"/>
      <c r="H16" s="2"/>
      <c r="I16" s="2"/>
      <c r="J16" s="19"/>
      <c r="K16" s="2"/>
      <c r="L16" s="2">
        <f t="shared" si="0"/>
        <v>9.4700000000000006</v>
      </c>
      <c r="M16" s="2"/>
      <c r="N16" s="19">
        <f t="shared" si="1"/>
        <v>0</v>
      </c>
      <c r="O16" s="11"/>
      <c r="P16" s="2">
        <f>--62.15</f>
        <v>62.15</v>
      </c>
      <c r="Q16" s="2"/>
      <c r="R16" s="19"/>
      <c r="S16" s="2"/>
      <c r="T16" s="2"/>
      <c r="U16" s="2"/>
      <c r="V16" s="19"/>
      <c r="W16" s="2"/>
      <c r="X16" s="2">
        <f t="shared" si="2"/>
        <v>62.15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"4095", " - ", "TAXABLE SALES-CUSTOMER SERVICE")</f>
        <v xml:space="preserve">          4095 - TAXABLE SALES-CUSTOMER SERVICE</v>
      </c>
      <c r="C17" s="11"/>
      <c r="D17" s="2">
        <f>--10891.24</f>
        <v>10891.24</v>
      </c>
      <c r="E17" s="2"/>
      <c r="F17" s="19"/>
      <c r="G17" s="2"/>
      <c r="H17" s="2"/>
      <c r="I17" s="2"/>
      <c r="J17" s="19"/>
      <c r="K17" s="2"/>
      <c r="L17" s="2">
        <f t="shared" si="0"/>
        <v>10891.24</v>
      </c>
      <c r="M17" s="2"/>
      <c r="N17" s="19">
        <f t="shared" si="1"/>
        <v>0</v>
      </c>
      <c r="O17" s="11"/>
      <c r="P17" s="2">
        <f>--13925.83</f>
        <v>13925.83</v>
      </c>
      <c r="Q17" s="2"/>
      <c r="R17" s="19"/>
      <c r="S17" s="2"/>
      <c r="T17" s="2"/>
      <c r="U17" s="2"/>
      <c r="V17" s="19"/>
      <c r="W17" s="2"/>
      <c r="X17" s="2">
        <f t="shared" si="2"/>
        <v>13925.83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>0</f>
        <v>0</v>
      </c>
      <c r="E18" s="2"/>
      <c r="F18" s="19"/>
      <c r="G18" s="2"/>
      <c r="H18" s="2">
        <v>25000</v>
      </c>
      <c r="I18" s="2"/>
      <c r="J18" s="19"/>
      <c r="K18" s="2"/>
      <c r="L18" s="2">
        <f t="shared" si="0"/>
        <v>-25000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132500</v>
      </c>
      <c r="U18" s="2"/>
      <c r="V18" s="19"/>
      <c r="W18" s="2"/>
      <c r="X18" s="2">
        <f t="shared" si="2"/>
        <v>-132500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>--476.8</f>
        <v>476.8</v>
      </c>
      <c r="E19" s="2"/>
      <c r="F19" s="19"/>
      <c r="G19" s="2"/>
      <c r="H19" s="2"/>
      <c r="I19" s="2"/>
      <c r="J19" s="19"/>
      <c r="K19" s="2"/>
      <c r="L19" s="2">
        <f t="shared" si="0"/>
        <v>476.8</v>
      </c>
      <c r="M19" s="2"/>
      <c r="N19" s="19">
        <f t="shared" si="1"/>
        <v>0</v>
      </c>
      <c r="O19" s="11"/>
      <c r="P19" s="2">
        <f>--1756.04</f>
        <v>1756.04</v>
      </c>
      <c r="Q19" s="2"/>
      <c r="R19" s="19"/>
      <c r="S19" s="2"/>
      <c r="T19" s="2"/>
      <c r="U19" s="2"/>
      <c r="V19" s="19"/>
      <c r="W19" s="2"/>
      <c r="X19" s="2">
        <f t="shared" si="2"/>
        <v>1756.04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--4.39</f>
        <v>4.3899999999999997</v>
      </c>
      <c r="E20" s="2"/>
      <c r="F20" s="19"/>
      <c r="G20" s="2"/>
      <c r="H20" s="2"/>
      <c r="I20" s="2"/>
      <c r="J20" s="19"/>
      <c r="K20" s="2"/>
      <c r="L20" s="2">
        <f t="shared" si="0"/>
        <v>4.3899999999999997</v>
      </c>
      <c r="M20" s="2"/>
      <c r="N20" s="19">
        <f t="shared" si="1"/>
        <v>0</v>
      </c>
      <c r="O20" s="11"/>
      <c r="P20" s="2">
        <f>--1137.08</f>
        <v>1137.08</v>
      </c>
      <c r="Q20" s="2"/>
      <c r="R20" s="19"/>
      <c r="S20" s="2"/>
      <c r="T20" s="2"/>
      <c r="U20" s="2"/>
      <c r="V20" s="19"/>
      <c r="W20" s="2"/>
      <c r="X20" s="2">
        <f t="shared" si="2"/>
        <v>1137.08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--56.6</f>
        <v>56.6</v>
      </c>
      <c r="E21" s="2"/>
      <c r="F21" s="19"/>
      <c r="G21" s="2"/>
      <c r="H21" s="2"/>
      <c r="I21" s="2"/>
      <c r="J21" s="19"/>
      <c r="K21" s="2"/>
      <c r="L21" s="2">
        <f t="shared" si="0"/>
        <v>56.6</v>
      </c>
      <c r="M21" s="2"/>
      <c r="N21" s="19">
        <f t="shared" si="1"/>
        <v>0</v>
      </c>
      <c r="O21" s="11"/>
      <c r="P21" s="2">
        <f>--385.9</f>
        <v>385.9</v>
      </c>
      <c r="Q21" s="2"/>
      <c r="R21" s="19"/>
      <c r="S21" s="2"/>
      <c r="T21" s="2"/>
      <c r="U21" s="2"/>
      <c r="V21" s="19"/>
      <c r="W21" s="2"/>
      <c r="X21" s="2">
        <f t="shared" si="2"/>
        <v>385.9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--13.5</f>
        <v>13.5</v>
      </c>
      <c r="E22" s="2"/>
      <c r="F22" s="19"/>
      <c r="G22" s="2"/>
      <c r="H22" s="2"/>
      <c r="I22" s="2"/>
      <c r="J22" s="19"/>
      <c r="K22" s="2"/>
      <c r="L22" s="2">
        <f t="shared" si="0"/>
        <v>13.5</v>
      </c>
      <c r="M22" s="2"/>
      <c r="N22" s="19">
        <f t="shared" si="1"/>
        <v>0</v>
      </c>
      <c r="O22" s="11"/>
      <c r="P22" s="2">
        <f>--168</f>
        <v>168</v>
      </c>
      <c r="Q22" s="2"/>
      <c r="R22" s="19"/>
      <c r="S22" s="2"/>
      <c r="T22" s="2"/>
      <c r="U22" s="2"/>
      <c r="V22" s="19"/>
      <c r="W22" s="2"/>
      <c r="X22" s="2">
        <f t="shared" si="2"/>
        <v>168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-7.95</f>
        <v>-7.95</v>
      </c>
      <c r="E23" s="2"/>
      <c r="F23" s="19"/>
      <c r="G23" s="2"/>
      <c r="H23" s="2"/>
      <c r="I23" s="2"/>
      <c r="J23" s="19"/>
      <c r="K23" s="2"/>
      <c r="L23" s="2">
        <f t="shared" si="0"/>
        <v>-7.95</v>
      </c>
      <c r="M23" s="2"/>
      <c r="N23" s="19">
        <f t="shared" si="1"/>
        <v>0</v>
      </c>
      <c r="O23" s="11"/>
      <c r="P23" s="2">
        <f>-1293</f>
        <v>-1293</v>
      </c>
      <c r="Q23" s="2"/>
      <c r="R23" s="19"/>
      <c r="S23" s="2"/>
      <c r="T23" s="2"/>
      <c r="U23" s="2"/>
      <c r="V23" s="19"/>
      <c r="W23" s="2"/>
      <c r="X23" s="2">
        <f t="shared" si="2"/>
        <v>-1293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>-104.3</f>
        <v>-104.3</v>
      </c>
      <c r="E24" s="2"/>
      <c r="F24" s="19"/>
      <c r="G24" s="2"/>
      <c r="H24" s="2"/>
      <c r="I24" s="2"/>
      <c r="J24" s="19"/>
      <c r="K24" s="2"/>
      <c r="L24" s="2">
        <f t="shared" si="0"/>
        <v>-104.3</v>
      </c>
      <c r="M24" s="2"/>
      <c r="N24" s="19">
        <f t="shared" si="1"/>
        <v>0</v>
      </c>
      <c r="O24" s="11"/>
      <c r="P24" s="2">
        <f>-115.5</f>
        <v>-115.5</v>
      </c>
      <c r="Q24" s="2"/>
      <c r="R24" s="19"/>
      <c r="S24" s="2"/>
      <c r="T24" s="2"/>
      <c r="U24" s="2"/>
      <c r="V24" s="19"/>
      <c r="W24" s="2"/>
      <c r="X24" s="2">
        <f t="shared" si="2"/>
        <v>-115.5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9" t="s">
        <v>257</v>
      </c>
      <c r="C26" s="10"/>
      <c r="D26" s="4">
        <f>SUM(OSRRefD16x_0)</f>
        <v>0</v>
      </c>
      <c r="E26" s="4"/>
      <c r="F26" s="12">
        <f t="shared" ref="F26:F28" si="4">IF(D$12=0,0,D26/D$12)</f>
        <v>0</v>
      </c>
      <c r="G26" s="4"/>
      <c r="H26" s="4">
        <f>SUM(OSRRefH16x_0)</f>
        <v>0</v>
      </c>
      <c r="I26" s="4"/>
      <c r="J26" s="12">
        <f t="shared" ref="J26:J28" si="5">IF(H$12=0,0,H26/H$12)</f>
        <v>0</v>
      </c>
      <c r="K26" s="4"/>
      <c r="L26" s="4">
        <f t="shared" ref="L26:L28" si="6">+D26-H26</f>
        <v>0</v>
      </c>
      <c r="M26" s="4"/>
      <c r="N26" s="12">
        <f t="shared" ref="N26:N28" si="7">IF(H26=0,0,L26/H26)</f>
        <v>0</v>
      </c>
      <c r="O26" s="10"/>
      <c r="P26" s="4">
        <f>SUM(OSRRefP16x_0)</f>
        <v>0</v>
      </c>
      <c r="Q26" s="4"/>
      <c r="R26" s="12">
        <f t="shared" ref="R26:R28" si="8">IF(P$12=0,0,P26/P$12)</f>
        <v>0</v>
      </c>
      <c r="S26" s="4"/>
      <c r="T26" s="4">
        <f>SUM(OSRRefT16x_0)</f>
        <v>0</v>
      </c>
      <c r="U26" s="4"/>
      <c r="V26" s="12">
        <f t="shared" ref="V26:V28" si="9">IF(T$12=0,0,T26/T$12)</f>
        <v>0</v>
      </c>
      <c r="W26" s="4"/>
      <c r="X26" s="4">
        <f t="shared" ref="X26:X28" si="10">+P26-T26</f>
        <v>0</v>
      </c>
      <c r="Y26" s="4"/>
      <c r="Z26" s="12">
        <f t="shared" ref="Z26:Z28" si="11">IF(T26=0,0,X26/T26)</f>
        <v>0</v>
      </c>
    </row>
    <row r="27" spans="1:26" s="24" customFormat="1" hidden="1" outlineLevel="1" x14ac:dyDescent="0.25">
      <c r="A27" s="44"/>
      <c r="B27" s="11" t="str">
        <f>CONCATENATE("          ", "5092", " - ", "PURCHASES @ COST-GRAD MERCH")</f>
        <v xml:space="preserve">          5092 - PURCHASES @ COST-GRAD MERCH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"5592", " - ", "FREIGHT-IN-GRAD MERCH")</f>
        <v xml:space="preserve">          5592 - FREIGHT-IN-GRAD MERCH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108</v>
      </c>
      <c r="C30" s="28"/>
      <c r="D30" s="20">
        <f>D12-D26</f>
        <v>12946.13</v>
      </c>
      <c r="E30" s="14"/>
      <c r="F30" s="21">
        <f>IF(D$12=0,0,D30/D$12)</f>
        <v>1</v>
      </c>
      <c r="G30" s="14"/>
      <c r="H30" s="20">
        <f>H12-H26</f>
        <v>43000</v>
      </c>
      <c r="I30" s="14"/>
      <c r="J30" s="21">
        <f>IF(H$12=0,0,H30/H$12)</f>
        <v>1</v>
      </c>
      <c r="K30" s="15"/>
      <c r="L30" s="20">
        <f>+D30-H30</f>
        <v>-30053.870000000003</v>
      </c>
      <c r="M30" s="15"/>
      <c r="N30" s="21">
        <f>IF(H30=0,0,L30/H30)</f>
        <v>-0.69892720930232566</v>
      </c>
      <c r="O30" s="29"/>
      <c r="P30" s="20">
        <f>P12-P26</f>
        <v>127643.60999999999</v>
      </c>
      <c r="Q30" s="14"/>
      <c r="R30" s="21">
        <f>IF(P$12=0,0,P30/P$12)</f>
        <v>1</v>
      </c>
      <c r="S30" s="14"/>
      <c r="T30" s="20">
        <f>T12-T26</f>
        <v>387713</v>
      </c>
      <c r="U30" s="14"/>
      <c r="V30" s="21">
        <f>IF(T$12=0,0,T30/T$12)</f>
        <v>1</v>
      </c>
      <c r="W30" s="15"/>
      <c r="X30" s="20">
        <f>+P30-T30</f>
        <v>-260069.39</v>
      </c>
      <c r="Y30" s="15"/>
      <c r="Z30" s="21">
        <f>IF(T30=0,0,X30/T30)</f>
        <v>-0.67077810132752835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9" t="s">
        <v>295</v>
      </c>
      <c r="C32" s="10"/>
      <c r="D32" s="22">
        <f>SUM(OSRRefD22x_0)</f>
        <v>13000.159999999991</v>
      </c>
      <c r="E32" s="22"/>
      <c r="F32" s="31">
        <f t="shared" ref="F32:F42" si="12">IF(D$12=0,0,D32/D$12)</f>
        <v>1.0041734479724822</v>
      </c>
      <c r="G32" s="22"/>
      <c r="H32" s="22">
        <f>SUM(OSRRefH22x_0)</f>
        <v>31319.207191492344</v>
      </c>
      <c r="I32" s="22"/>
      <c r="J32" s="31">
        <f t="shared" ref="J32:J42" si="13">IF(H$12=0,0,H32/H$12)</f>
        <v>0.72835365561610099</v>
      </c>
      <c r="K32" s="4"/>
      <c r="L32" s="22">
        <f t="shared" ref="L32:L42" si="14">+D32-H32</f>
        <v>-18319.047191492355</v>
      </c>
      <c r="M32" s="4"/>
      <c r="N32" s="31">
        <f t="shared" ref="N32:N42" si="15">IF(H32=0,0,L32/H32)</f>
        <v>-0.58491414164751276</v>
      </c>
      <c r="O32" s="10"/>
      <c r="P32" s="22">
        <f>SUM(OSRRefP22x_0)</f>
        <v>285559.93</v>
      </c>
      <c r="Q32" s="22"/>
      <c r="R32" s="31">
        <f t="shared" ref="R32:R42" si="16">IF(P$12=0,0,P32/P$12)</f>
        <v>2.2371658871133464</v>
      </c>
      <c r="S32" s="22"/>
      <c r="T32" s="22">
        <f>SUM(OSRRefT22x_0)</f>
        <v>350309.930768408</v>
      </c>
      <c r="U32" s="22"/>
      <c r="V32" s="31">
        <f t="shared" ref="V32:V42" si="17">IF(T$12=0,0,T32/T$12)</f>
        <v>0.90352897831232892</v>
      </c>
      <c r="W32" s="4"/>
      <c r="X32" s="22">
        <f t="shared" ref="X32:X42" si="18">+P32-T32</f>
        <v>-64750.000768408005</v>
      </c>
      <c r="Y32" s="4"/>
      <c r="Z32" s="31">
        <f t="shared" ref="Z32:Z42" si="19">IF(T32=0,0,X32/T32)</f>
        <v>-0.18483632658194502</v>
      </c>
    </row>
    <row r="33" spans="1:26" s="27" customFormat="1" outlineLevel="1" collapsed="1" x14ac:dyDescent="0.25">
      <c r="A33" s="26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9093.39</v>
      </c>
      <c r="E33" s="1"/>
      <c r="F33" s="5">
        <f t="shared" si="12"/>
        <v>0.70240218505452978</v>
      </c>
      <c r="G33" s="1"/>
      <c r="H33" s="1">
        <f>SUM(OSRRefH22_0x_0)</f>
        <v>6430.6986299538439</v>
      </c>
      <c r="I33" s="1"/>
      <c r="J33" s="5">
        <f t="shared" si="13"/>
        <v>0.14955113092915917</v>
      </c>
      <c r="K33" s="1"/>
      <c r="L33" s="1">
        <f t="shared" si="14"/>
        <v>2662.6913700461555</v>
      </c>
      <c r="M33" s="1"/>
      <c r="N33" s="5">
        <f t="shared" si="15"/>
        <v>0.41405942390823358</v>
      </c>
      <c r="O33" s="13"/>
      <c r="P33" s="1">
        <f>SUM(OSRRefP22_0x_0)</f>
        <v>103991.72000000002</v>
      </c>
      <c r="Q33" s="1"/>
      <c r="R33" s="5">
        <f t="shared" si="16"/>
        <v>0.81470368943654936</v>
      </c>
      <c r="S33" s="1"/>
      <c r="T33" s="1">
        <f>SUM(OSRRefT22_0x_0)</f>
        <v>74120.828029946031</v>
      </c>
      <c r="U33" s="1"/>
      <c r="V33" s="5">
        <f t="shared" si="17"/>
        <v>0.19117447191594306</v>
      </c>
      <c r="W33" s="1"/>
      <c r="X33" s="1">
        <f t="shared" si="18"/>
        <v>29870.891970053985</v>
      </c>
      <c r="Y33" s="1"/>
      <c r="Z33" s="5">
        <f t="shared" si="19"/>
        <v>0.4030026750103986</v>
      </c>
    </row>
    <row r="34" spans="1:26" s="24" customFormat="1" hidden="1" outlineLevel="2" x14ac:dyDescent="0.25">
      <c r="A34" s="25"/>
      <c r="B34" s="11" t="str">
        <f>CONCATENATE("          ", "6111", " - ", "F.I.C.A.")</f>
        <v xml:space="preserve">          6111 - F.I.C.A.</v>
      </c>
      <c r="C34" s="11"/>
      <c r="D34" s="7">
        <v>1240.76</v>
      </c>
      <c r="E34" s="2"/>
      <c r="F34" s="6">
        <f t="shared" si="12"/>
        <v>9.584022406696055E-2</v>
      </c>
      <c r="G34" s="2"/>
      <c r="H34" s="7">
        <v>1068.6674513769201</v>
      </c>
      <c r="I34" s="2"/>
      <c r="J34" s="6">
        <f t="shared" si="13"/>
        <v>2.4852731427370236E-2</v>
      </c>
      <c r="K34" s="2"/>
      <c r="L34" s="7">
        <f t="shared" si="14"/>
        <v>172.09254862307989</v>
      </c>
      <c r="M34" s="2"/>
      <c r="N34" s="6">
        <f t="shared" si="15"/>
        <v>0.16103470579303972</v>
      </c>
      <c r="O34" s="11"/>
      <c r="P34" s="7">
        <v>14531.78</v>
      </c>
      <c r="Q34" s="2"/>
      <c r="R34" s="6">
        <f t="shared" si="16"/>
        <v>0.11384651374244274</v>
      </c>
      <c r="S34" s="2"/>
      <c r="T34" s="7">
        <v>12556.230946522999</v>
      </c>
      <c r="U34" s="2"/>
      <c r="V34" s="6">
        <f t="shared" si="17"/>
        <v>3.2385375126763864E-2</v>
      </c>
      <c r="W34" s="2"/>
      <c r="X34" s="7">
        <f t="shared" si="18"/>
        <v>1975.5490534770015</v>
      </c>
      <c r="Y34" s="2"/>
      <c r="Z34" s="6">
        <f t="shared" si="19"/>
        <v>0.1573361514208258</v>
      </c>
    </row>
    <row r="35" spans="1:26" s="24" customFormat="1" hidden="1" outlineLevel="2" x14ac:dyDescent="0.25">
      <c r="A35" s="25"/>
      <c r="B35" s="11" t="str">
        <f>CONCATENATE("          ", "6112", " - ", "COMPENSATION INSURANCE")</f>
        <v xml:space="preserve">          6112 - COMPENSATION INSURANCE</v>
      </c>
      <c r="C35" s="11"/>
      <c r="D35" s="7">
        <v>475.52</v>
      </c>
      <c r="E35" s="2"/>
      <c r="F35" s="6">
        <f t="shared" si="12"/>
        <v>3.6730667774848548E-2</v>
      </c>
      <c r="G35" s="2"/>
      <c r="H35" s="7">
        <v>279.58879942307698</v>
      </c>
      <c r="I35" s="2"/>
      <c r="J35" s="6">
        <f t="shared" si="13"/>
        <v>6.5020651028622556E-3</v>
      </c>
      <c r="K35" s="2"/>
      <c r="L35" s="7">
        <f t="shared" si="14"/>
        <v>195.931200576923</v>
      </c>
      <c r="M35" s="2"/>
      <c r="N35" s="6">
        <f t="shared" si="15"/>
        <v>0.7007834397558883</v>
      </c>
      <c r="O35" s="11"/>
      <c r="P35" s="7">
        <v>3812.67</v>
      </c>
      <c r="Q35" s="2"/>
      <c r="R35" s="6">
        <f t="shared" si="16"/>
        <v>2.9869650349124414E-2</v>
      </c>
      <c r="S35" s="2"/>
      <c r="T35" s="7">
        <v>3294.38291057692</v>
      </c>
      <c r="U35" s="2"/>
      <c r="V35" s="6">
        <f t="shared" si="17"/>
        <v>8.4969627290725873E-3</v>
      </c>
      <c r="W35" s="2"/>
      <c r="X35" s="7">
        <f t="shared" si="18"/>
        <v>518.28708942308003</v>
      </c>
      <c r="Y35" s="2"/>
      <c r="Z35" s="6">
        <f t="shared" si="19"/>
        <v>0.1573244833680601</v>
      </c>
    </row>
    <row r="36" spans="1:26" s="24" customFormat="1" hidden="1" outlineLevel="2" x14ac:dyDescent="0.25">
      <c r="A36" s="25"/>
      <c r="B36" s="11" t="str">
        <f>CONCATENATE("          ", "6113", " - ", "GROUP INSURANCE")</f>
        <v xml:space="preserve">          6113 - GROUP INSURANCE</v>
      </c>
      <c r="C36" s="11"/>
      <c r="D36" s="7">
        <v>3421.48</v>
      </c>
      <c r="E36" s="2"/>
      <c r="F36" s="6">
        <f t="shared" si="12"/>
        <v>0.26428592946309054</v>
      </c>
      <c r="G36" s="2"/>
      <c r="H36" s="7">
        <v>2645</v>
      </c>
      <c r="I36" s="2"/>
      <c r="J36" s="6">
        <f t="shared" si="13"/>
        <v>6.1511627906976743E-2</v>
      </c>
      <c r="K36" s="2"/>
      <c r="L36" s="7">
        <f t="shared" si="14"/>
        <v>776.48</v>
      </c>
      <c r="M36" s="2"/>
      <c r="N36" s="6">
        <f t="shared" si="15"/>
        <v>0.29356521739130437</v>
      </c>
      <c r="O36" s="11"/>
      <c r="P36" s="7">
        <v>39478.730000000003</v>
      </c>
      <c r="Q36" s="2"/>
      <c r="R36" s="6">
        <f t="shared" si="16"/>
        <v>0.30928872976876798</v>
      </c>
      <c r="S36" s="2"/>
      <c r="T36" s="7">
        <v>29095</v>
      </c>
      <c r="U36" s="2"/>
      <c r="V36" s="6">
        <f t="shared" si="17"/>
        <v>7.5042621733086068E-2</v>
      </c>
      <c r="W36" s="2"/>
      <c r="X36" s="7">
        <f t="shared" si="18"/>
        <v>10383.730000000003</v>
      </c>
      <c r="Y36" s="2"/>
      <c r="Z36" s="6">
        <f t="shared" si="19"/>
        <v>0.35689053101907553</v>
      </c>
    </row>
    <row r="37" spans="1:26" s="24" customFormat="1" hidden="1" outlineLevel="2" x14ac:dyDescent="0.25">
      <c r="A37" s="25"/>
      <c r="B37" s="11" t="str">
        <f>CONCATENATE("          ", "6114", " - ", "STATE UNEMPLOYMENT INSURANCE")</f>
        <v xml:space="preserve">          6114 - STATE UNEMPLOYMENT INSURANCE</v>
      </c>
      <c r="C37" s="11"/>
      <c r="D37" s="7">
        <v>66.83</v>
      </c>
      <c r="E37" s="2"/>
      <c r="F37" s="6">
        <f t="shared" si="12"/>
        <v>5.1621604294101791E-3</v>
      </c>
      <c r="G37" s="2"/>
      <c r="H37" s="7">
        <v>43.966073000000002</v>
      </c>
      <c r="I37" s="2"/>
      <c r="J37" s="6">
        <f t="shared" si="13"/>
        <v>1.0224668139534885E-3</v>
      </c>
      <c r="K37" s="2"/>
      <c r="L37" s="7">
        <f t="shared" si="14"/>
        <v>22.863926999999997</v>
      </c>
      <c r="M37" s="2"/>
      <c r="N37" s="6">
        <f t="shared" si="15"/>
        <v>0.52003568751750917</v>
      </c>
      <c r="O37" s="11"/>
      <c r="P37" s="7">
        <v>535.82000000000005</v>
      </c>
      <c r="Q37" s="2"/>
      <c r="R37" s="6">
        <f t="shared" si="16"/>
        <v>4.1977816202471872E-3</v>
      </c>
      <c r="S37" s="2"/>
      <c r="T37" s="7">
        <v>508.24849899999998</v>
      </c>
      <c r="U37" s="2"/>
      <c r="V37" s="6">
        <f t="shared" si="17"/>
        <v>1.3108884638895265E-3</v>
      </c>
      <c r="W37" s="2"/>
      <c r="X37" s="7">
        <f t="shared" si="18"/>
        <v>27.571501000000069</v>
      </c>
      <c r="Y37" s="2"/>
      <c r="Z37" s="6">
        <f t="shared" si="19"/>
        <v>5.4248071670153754E-2</v>
      </c>
    </row>
    <row r="38" spans="1:26" s="24" customFormat="1" hidden="1" outlineLevel="2" x14ac:dyDescent="0.25">
      <c r="A38" s="25"/>
      <c r="B38" s="11" t="str">
        <f>CONCATENATE("          ", "6115", " - ", "P.E.R.S.")</f>
        <v xml:space="preserve">          6115 - P.E.R.S.</v>
      </c>
      <c r="C38" s="11"/>
      <c r="D38" s="7">
        <v>1614.41</v>
      </c>
      <c r="E38" s="2"/>
      <c r="F38" s="6">
        <f t="shared" si="12"/>
        <v>0.1247021310615605</v>
      </c>
      <c r="G38" s="2"/>
      <c r="H38" s="7">
        <v>991.92684461538499</v>
      </c>
      <c r="I38" s="2"/>
      <c r="J38" s="6">
        <f t="shared" si="13"/>
        <v>2.3068066153846163E-2</v>
      </c>
      <c r="K38" s="2"/>
      <c r="L38" s="7">
        <f t="shared" si="14"/>
        <v>622.48315538461509</v>
      </c>
      <c r="M38" s="2"/>
      <c r="N38" s="6">
        <f t="shared" si="15"/>
        <v>0.62754945968417664</v>
      </c>
      <c r="O38" s="11"/>
      <c r="P38" s="7">
        <v>18925.89</v>
      </c>
      <c r="Q38" s="2"/>
      <c r="R38" s="6">
        <f t="shared" si="16"/>
        <v>0.14827134707330827</v>
      </c>
      <c r="S38" s="2"/>
      <c r="T38" s="7">
        <v>11903.122135384599</v>
      </c>
      <c r="U38" s="2"/>
      <c r="V38" s="6">
        <f t="shared" si="17"/>
        <v>3.0700858973995195E-2</v>
      </c>
      <c r="W38" s="2"/>
      <c r="X38" s="7">
        <f t="shared" si="18"/>
        <v>7022.7678646154</v>
      </c>
      <c r="Y38" s="2"/>
      <c r="Z38" s="6">
        <f t="shared" si="19"/>
        <v>0.58999376673945958</v>
      </c>
    </row>
    <row r="39" spans="1:26" s="24" customFormat="1" hidden="1" outlineLevel="2" x14ac:dyDescent="0.25">
      <c r="A39" s="25"/>
      <c r="B39" s="11" t="str">
        <f>CONCATENATE("          ", "6116", " - ", "EDUCATIONAL BENEFITS")</f>
        <v xml:space="preserve">          6116 - EDUCATIONAL BENEFITS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5"/>
      <c r="B40" s="11" t="str">
        <f>CONCATENATE("          ", "6118", " - ", "VACATION")</f>
        <v xml:space="preserve">          6118 - VACATION</v>
      </c>
      <c r="C40" s="11"/>
      <c r="D40" s="7">
        <v>1095.78</v>
      </c>
      <c r="E40" s="2"/>
      <c r="F40" s="6">
        <f t="shared" si="12"/>
        <v>8.4641510629045125E-2</v>
      </c>
      <c r="G40" s="2"/>
      <c r="H40" s="7">
        <v>956.61308461538499</v>
      </c>
      <c r="I40" s="2"/>
      <c r="J40" s="6">
        <f t="shared" si="13"/>
        <v>2.2246815921288025E-2</v>
      </c>
      <c r="K40" s="2"/>
      <c r="L40" s="7">
        <f t="shared" si="14"/>
        <v>139.16691538461498</v>
      </c>
      <c r="M40" s="2"/>
      <c r="N40" s="6">
        <f t="shared" si="15"/>
        <v>0.14547879139722233</v>
      </c>
      <c r="O40" s="11"/>
      <c r="P40" s="7">
        <v>14235.66</v>
      </c>
      <c r="Q40" s="2"/>
      <c r="R40" s="6">
        <f t="shared" si="16"/>
        <v>0.11152661696108408</v>
      </c>
      <c r="S40" s="2"/>
      <c r="T40" s="7">
        <v>11479.357015384599</v>
      </c>
      <c r="U40" s="2"/>
      <c r="V40" s="6">
        <f t="shared" si="17"/>
        <v>2.9607872357606268E-2</v>
      </c>
      <c r="W40" s="2"/>
      <c r="X40" s="7">
        <f t="shared" si="18"/>
        <v>2756.3029846154004</v>
      </c>
      <c r="Y40" s="2"/>
      <c r="Z40" s="6">
        <f t="shared" si="19"/>
        <v>0.24010952712084932</v>
      </c>
    </row>
    <row r="41" spans="1:26" s="24" customFormat="1" hidden="1" outlineLevel="2" x14ac:dyDescent="0.25">
      <c r="A41" s="25"/>
      <c r="B41" s="11" t="str">
        <f>CONCATENATE("          ", "6119", " - ", "SICK LEAVE")</f>
        <v xml:space="preserve">          6119 - SICK LEAVE</v>
      </c>
      <c r="C41" s="11"/>
      <c r="D41" s="7">
        <v>738.5</v>
      </c>
      <c r="E41" s="2"/>
      <c r="F41" s="6">
        <f t="shared" si="12"/>
        <v>5.7044074175062361E-2</v>
      </c>
      <c r="G41" s="2"/>
      <c r="H41" s="7">
        <v>444.93637692307698</v>
      </c>
      <c r="I41" s="2"/>
      <c r="J41" s="6">
        <f t="shared" si="13"/>
        <v>1.0347357602862255E-2</v>
      </c>
      <c r="K41" s="2"/>
      <c r="L41" s="7">
        <f t="shared" si="14"/>
        <v>293.56362307692302</v>
      </c>
      <c r="M41" s="2"/>
      <c r="N41" s="6">
        <f t="shared" si="15"/>
        <v>0.65978786699132019</v>
      </c>
      <c r="O41" s="11"/>
      <c r="P41" s="7">
        <v>8756.02</v>
      </c>
      <c r="Q41" s="2"/>
      <c r="R41" s="6">
        <f t="shared" si="16"/>
        <v>6.8597401781413117E-2</v>
      </c>
      <c r="S41" s="2"/>
      <c r="T41" s="7">
        <v>5284.4865230769201</v>
      </c>
      <c r="U41" s="2"/>
      <c r="V41" s="6">
        <f t="shared" si="17"/>
        <v>1.3629892531529559E-2</v>
      </c>
      <c r="W41" s="2"/>
      <c r="X41" s="7">
        <f t="shared" si="18"/>
        <v>3471.5334769230803</v>
      </c>
      <c r="Y41" s="2"/>
      <c r="Z41" s="6">
        <f t="shared" si="19"/>
        <v>0.65692919487317791</v>
      </c>
    </row>
    <row r="42" spans="1:26" s="24" customFormat="1" hidden="1" outlineLevel="2" x14ac:dyDescent="0.25">
      <c r="A42" s="25"/>
      <c r="B42" s="11" t="str">
        <f>CONCATENATE("          ", "6156", " - ", "EMPLOYEE MEALS")</f>
        <v xml:space="preserve">          6156 - EMPLOYEE MEALS</v>
      </c>
      <c r="C42" s="11"/>
      <c r="D42" s="7">
        <v>440.11</v>
      </c>
      <c r="E42" s="2"/>
      <c r="F42" s="6">
        <f t="shared" si="12"/>
        <v>3.3995487454552061E-2</v>
      </c>
      <c r="G42" s="2"/>
      <c r="H42" s="7"/>
      <c r="I42" s="2"/>
      <c r="J42" s="6">
        <f t="shared" si="13"/>
        <v>0</v>
      </c>
      <c r="K42" s="2"/>
      <c r="L42" s="7">
        <f t="shared" si="14"/>
        <v>440.11</v>
      </c>
      <c r="M42" s="2"/>
      <c r="N42" s="6">
        <f t="shared" si="15"/>
        <v>0</v>
      </c>
      <c r="O42" s="11"/>
      <c r="P42" s="7">
        <v>3715.15</v>
      </c>
      <c r="Q42" s="2"/>
      <c r="R42" s="6">
        <f t="shared" si="16"/>
        <v>2.9105648140161505E-2</v>
      </c>
      <c r="S42" s="2"/>
      <c r="T42" s="7"/>
      <c r="U42" s="2"/>
      <c r="V42" s="6">
        <f t="shared" si="17"/>
        <v>0</v>
      </c>
      <c r="W42" s="2"/>
      <c r="X42" s="7">
        <f t="shared" si="18"/>
        <v>3715.15</v>
      </c>
      <c r="Y42" s="2"/>
      <c r="Z42" s="6">
        <f t="shared" si="19"/>
        <v>0</v>
      </c>
    </row>
    <row r="43" spans="1:26" s="27" customFormat="1" outlineLevel="1" collapsed="1" x14ac:dyDescent="0.25">
      <c r="A43" s="26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15332.29</v>
      </c>
      <c r="E43" s="1"/>
      <c r="F43" s="5">
        <f t="shared" ref="F43:F53" si="20">IF(D$12=0,0,D43/D$12)</f>
        <v>1.184314540329813</v>
      </c>
      <c r="G43" s="1"/>
      <c r="H43" s="1">
        <f>SUM(OSRRefH22_1x_0)</f>
        <v>10197.5085615385</v>
      </c>
      <c r="I43" s="1"/>
      <c r="J43" s="5">
        <f t="shared" ref="J43:J53" si="21">IF(H$12=0,0,H43/H$12)</f>
        <v>0.23715136189624417</v>
      </c>
      <c r="K43" s="1"/>
      <c r="L43" s="1">
        <f t="shared" ref="L43:L53" si="22">+D43-H43</f>
        <v>5134.7814384615012</v>
      </c>
      <c r="M43" s="1"/>
      <c r="N43" s="5">
        <f t="shared" ref="N43:N53" si="23">IF(H43=0,0,L43/H43)</f>
        <v>0.50353293723411363</v>
      </c>
      <c r="O43" s="13"/>
      <c r="P43" s="1">
        <f>SUM(OSRRefP22_1x_0)</f>
        <v>170185.91999999998</v>
      </c>
      <c r="Q43" s="1"/>
      <c r="R43" s="5">
        <f t="shared" ref="R43:R53" si="24">IF(P$12=0,0,P43/P$12)</f>
        <v>1.3332897745527568</v>
      </c>
      <c r="S43" s="1"/>
      <c r="T43" s="1">
        <f>SUM(OSRRefT22_1x_0)</f>
        <v>122370.102738462</v>
      </c>
      <c r="U43" s="1"/>
      <c r="V43" s="5">
        <f t="shared" ref="V43:V53" si="25">IF(T$12=0,0,T43/T$12)</f>
        <v>0.31562032415333507</v>
      </c>
      <c r="W43" s="1"/>
      <c r="X43" s="1">
        <f t="shared" ref="X43:X53" si="26">+P43-T43</f>
        <v>47815.817261537988</v>
      </c>
      <c r="Y43" s="1"/>
      <c r="Z43" s="5">
        <f t="shared" ref="Z43:Z53" si="27">IF(T43=0,0,X43/T43)</f>
        <v>0.3907475452867219</v>
      </c>
    </row>
    <row r="44" spans="1:26" s="24" customFormat="1" hidden="1" outlineLevel="2" x14ac:dyDescent="0.25">
      <c r="A44" s="25"/>
      <c r="B44" s="11" t="str">
        <f>CONCATENATE("          ", "6001", " - ", "ADMINISTRATIVE SALARIES")</f>
        <v xml:space="preserve">          6001 - ADMINISTRATIVE SALARIES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"6002", " - ", "STAFF SALARIES")</f>
        <v xml:space="preserve">          6002 - STAFF SALARIES</v>
      </c>
      <c r="C45" s="11"/>
      <c r="D45" s="7">
        <v>14617.17</v>
      </c>
      <c r="E45" s="2"/>
      <c r="F45" s="6">
        <f t="shared" si="20"/>
        <v>1.1290764112518568</v>
      </c>
      <c r="G45" s="2"/>
      <c r="H45" s="7">
        <v>10197.5085615385</v>
      </c>
      <c r="I45" s="2"/>
      <c r="J45" s="6">
        <f t="shared" si="21"/>
        <v>0.23715136189624417</v>
      </c>
      <c r="K45" s="2"/>
      <c r="L45" s="7">
        <f t="shared" si="22"/>
        <v>4419.6614384615004</v>
      </c>
      <c r="M45" s="2"/>
      <c r="N45" s="6">
        <f t="shared" si="23"/>
        <v>0.43340600420096193</v>
      </c>
      <c r="O45" s="11"/>
      <c r="P45" s="7">
        <v>162474.29999999999</v>
      </c>
      <c r="Q45" s="2"/>
      <c r="R45" s="6">
        <f t="shared" si="24"/>
        <v>1.2728745293242647</v>
      </c>
      <c r="S45" s="2"/>
      <c r="T45" s="7">
        <v>122370.102738462</v>
      </c>
      <c r="U45" s="2"/>
      <c r="V45" s="6">
        <f t="shared" si="25"/>
        <v>0.31562032415333507</v>
      </c>
      <c r="W45" s="2"/>
      <c r="X45" s="7">
        <f t="shared" si="26"/>
        <v>40104.197261537993</v>
      </c>
      <c r="Y45" s="2"/>
      <c r="Z45" s="6">
        <f t="shared" si="27"/>
        <v>0.3277287210198026</v>
      </c>
    </row>
    <row r="46" spans="1:26" s="24" customFormat="1" hidden="1" outlineLevel="2" x14ac:dyDescent="0.25">
      <c r="A46" s="25"/>
      <c r="B46" s="11" t="str">
        <f>CONCATENATE("          ", "6003", " - ", "STAFF HOURLY-9 MONTH")</f>
        <v xml:space="preserve">          6003 - STAFF HOURLY-9 MONTH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5"/>
      <c r="B47" s="11" t="str">
        <f>CONCATENATE("          ", "6004", " - ", "STAFF HOURLY")</f>
        <v xml:space="preserve">          6004 - STAFF HOURLY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5"/>
      <c r="B48" s="11" t="str">
        <f>CONCATENATE("          ", "6005", " - ", "TEMPORARY WAGES-HOURLY")</f>
        <v xml:space="preserve">          6005 - TEMPORARY WAGES-HOURLY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>
        <v>383.25</v>
      </c>
      <c r="Q48" s="2"/>
      <c r="R48" s="6">
        <f t="shared" si="24"/>
        <v>3.0025004776972389E-3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383.25</v>
      </c>
      <c r="Y48" s="2"/>
      <c r="Z48" s="6">
        <f t="shared" si="27"/>
        <v>0</v>
      </c>
    </row>
    <row r="49" spans="1:26" s="24" customFormat="1" hidden="1" outlineLevel="2" x14ac:dyDescent="0.25">
      <c r="A49" s="25"/>
      <c r="B49" s="11" t="str">
        <f>CONCATENATE("          ", "6006", " - ", "TEMPORARY PART TIME")</f>
        <v xml:space="preserve">          6006 - TEMPORARY PART TIME</v>
      </c>
      <c r="C49" s="11"/>
      <c r="D49" s="7"/>
      <c r="E49" s="2"/>
      <c r="F49" s="6">
        <f t="shared" si="20"/>
        <v>0</v>
      </c>
      <c r="G49" s="2"/>
      <c r="H49" s="7">
        <v>0</v>
      </c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/>
      <c r="Q49" s="2"/>
      <c r="R49" s="6">
        <f t="shared" si="24"/>
        <v>0</v>
      </c>
      <c r="S49" s="2"/>
      <c r="T49" s="7">
        <v>0</v>
      </c>
      <c r="U49" s="2"/>
      <c r="V49" s="6">
        <f t="shared" si="25"/>
        <v>0</v>
      </c>
      <c r="W49" s="2"/>
      <c r="X49" s="7">
        <f t="shared" si="26"/>
        <v>0</v>
      </c>
      <c r="Y49" s="2"/>
      <c r="Z49" s="6">
        <f t="shared" si="27"/>
        <v>0</v>
      </c>
    </row>
    <row r="50" spans="1:26" s="24" customFormat="1" hidden="1" outlineLevel="2" x14ac:dyDescent="0.25">
      <c r="A50" s="25"/>
      <c r="B50" s="11" t="str">
        <f>CONCATENATE("          ", "6007", " - ", "STUDENT HOURLY")</f>
        <v xml:space="preserve">          6007 - STUDENT HOURLY</v>
      </c>
      <c r="C50" s="11"/>
      <c r="D50" s="7">
        <v>715.12</v>
      </c>
      <c r="E50" s="2"/>
      <c r="F50" s="6">
        <f t="shared" si="20"/>
        <v>5.5238129077956118E-2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715.12</v>
      </c>
      <c r="M50" s="2"/>
      <c r="N50" s="6">
        <f t="shared" si="23"/>
        <v>0</v>
      </c>
      <c r="O50" s="11"/>
      <c r="P50" s="7">
        <v>7328.37</v>
      </c>
      <c r="Q50" s="2"/>
      <c r="R50" s="6">
        <f t="shared" si="24"/>
        <v>5.7412744750794817E-2</v>
      </c>
      <c r="S50" s="2"/>
      <c r="T50" s="7">
        <v>0</v>
      </c>
      <c r="U50" s="2"/>
      <c r="V50" s="6">
        <f t="shared" si="25"/>
        <v>0</v>
      </c>
      <c r="W50" s="2"/>
      <c r="X50" s="7">
        <f t="shared" si="26"/>
        <v>7328.37</v>
      </c>
      <c r="Y50" s="2"/>
      <c r="Z50" s="6">
        <f t="shared" si="27"/>
        <v>0</v>
      </c>
    </row>
    <row r="51" spans="1:26" s="24" customFormat="1" hidden="1" outlineLevel="2" x14ac:dyDescent="0.25">
      <c r="A51" s="25"/>
      <c r="B51" s="11" t="str">
        <f>CONCATENATE("          ", "6008", " - ", "STUDENT HOURLY-FICA EXEMPT")</f>
        <v xml:space="preserve">          6008 - STUDENT HOURLY-FICA EXEMPT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4" customFormat="1" hidden="1" outlineLevel="2" x14ac:dyDescent="0.25">
      <c r="A52" s="25"/>
      <c r="B52" s="11" t="str">
        <f>CONCATENATE("          ", "6009", " - ", "TEMPORARY-SEASONAL")</f>
        <v xml:space="preserve">          6009 - TEMPORARY-SEASONAL</v>
      </c>
      <c r="C52" s="11"/>
      <c r="D52" s="7"/>
      <c r="E52" s="2"/>
      <c r="F52" s="6">
        <f t="shared" si="20"/>
        <v>0</v>
      </c>
      <c r="G52" s="2"/>
      <c r="H52" s="7">
        <v>0</v>
      </c>
      <c r="I52" s="2"/>
      <c r="J52" s="6">
        <f t="shared" si="21"/>
        <v>0</v>
      </c>
      <c r="K52" s="2"/>
      <c r="L52" s="7">
        <f t="shared" si="22"/>
        <v>0</v>
      </c>
      <c r="M52" s="2"/>
      <c r="N52" s="6">
        <f t="shared" si="23"/>
        <v>0</v>
      </c>
      <c r="O52" s="11"/>
      <c r="P52" s="7"/>
      <c r="Q52" s="2"/>
      <c r="R52" s="6">
        <f t="shared" si="24"/>
        <v>0</v>
      </c>
      <c r="S52" s="2"/>
      <c r="T52" s="7">
        <v>0</v>
      </c>
      <c r="U52" s="2"/>
      <c r="V52" s="6">
        <f t="shared" si="25"/>
        <v>0</v>
      </c>
      <c r="W52" s="2"/>
      <c r="X52" s="7">
        <f t="shared" si="26"/>
        <v>0</v>
      </c>
      <c r="Y52" s="2"/>
      <c r="Z52" s="6">
        <f t="shared" si="27"/>
        <v>0</v>
      </c>
    </row>
    <row r="53" spans="1:26" s="24" customFormat="1" hidden="1" outlineLevel="2" x14ac:dyDescent="0.25">
      <c r="A53" s="25"/>
      <c r="B53" s="11" t="str">
        <f>CONCATENATE("          ", "6010", " - ", "GRATUITY")</f>
        <v xml:space="preserve">          6010 - GRATUITY</v>
      </c>
      <c r="C53" s="11"/>
      <c r="D53" s="7"/>
      <c r="E53" s="2"/>
      <c r="F53" s="6">
        <f t="shared" si="20"/>
        <v>0</v>
      </c>
      <c r="G53" s="2"/>
      <c r="H53" s="7">
        <v>0</v>
      </c>
      <c r="I53" s="2"/>
      <c r="J53" s="6">
        <f t="shared" si="21"/>
        <v>0</v>
      </c>
      <c r="K53" s="2"/>
      <c r="L53" s="7">
        <f t="shared" si="22"/>
        <v>0</v>
      </c>
      <c r="M53" s="2"/>
      <c r="N53" s="6">
        <f t="shared" si="23"/>
        <v>0</v>
      </c>
      <c r="O53" s="11"/>
      <c r="P53" s="7"/>
      <c r="Q53" s="2"/>
      <c r="R53" s="6">
        <f t="shared" si="24"/>
        <v>0</v>
      </c>
      <c r="S53" s="2"/>
      <c r="T53" s="7">
        <v>0</v>
      </c>
      <c r="U53" s="2"/>
      <c r="V53" s="6">
        <f t="shared" si="25"/>
        <v>0</v>
      </c>
      <c r="W53" s="2"/>
      <c r="X53" s="7">
        <f t="shared" si="26"/>
        <v>0</v>
      </c>
      <c r="Y53" s="2"/>
      <c r="Z53" s="6">
        <f t="shared" si="27"/>
        <v>0</v>
      </c>
    </row>
    <row r="54" spans="1:26" s="27" customFormat="1" outlineLevel="1" collapsed="1" x14ac:dyDescent="0.25">
      <c r="A54" s="26"/>
      <c r="B54" s="13" t="str">
        <f>CONCATENATE("     ","Advertising/Promo                                 ")</f>
        <v xml:space="preserve">     Advertising/Promo                                 </v>
      </c>
      <c r="C54" s="13"/>
      <c r="D54" s="1">
        <f>SUM(OSRRefD22_2x_0)</f>
        <v>0</v>
      </c>
      <c r="E54" s="1"/>
      <c r="F54" s="5">
        <f t="shared" ref="F54:F64" si="28">IF(D$12=0,0,D54/D$12)</f>
        <v>0</v>
      </c>
      <c r="G54" s="1"/>
      <c r="H54" s="1">
        <f>SUM(OSRRefH22_2x_0)</f>
        <v>50</v>
      </c>
      <c r="I54" s="1"/>
      <c r="J54" s="5">
        <f t="shared" ref="J54:J64" si="29">IF(H$12=0,0,H54/H$12)</f>
        <v>1.1627906976744186E-3</v>
      </c>
      <c r="K54" s="1"/>
      <c r="L54" s="1">
        <f t="shared" ref="L54:L64" si="30">+D54-H54</f>
        <v>-50</v>
      </c>
      <c r="M54" s="1"/>
      <c r="N54" s="5">
        <f t="shared" ref="N54:N64" si="31">IF(H54=0,0,L54/H54)</f>
        <v>-1</v>
      </c>
      <c r="O54" s="13"/>
      <c r="P54" s="1">
        <f>SUM(OSRRefP22_2x_0)</f>
        <v>0</v>
      </c>
      <c r="Q54" s="1"/>
      <c r="R54" s="5">
        <f t="shared" ref="R54:R64" si="32">IF(P$12=0,0,P54/P$12)</f>
        <v>0</v>
      </c>
      <c r="S54" s="1"/>
      <c r="T54" s="1">
        <f>SUM(OSRRefT22_2x_0)</f>
        <v>550</v>
      </c>
      <c r="U54" s="1"/>
      <c r="V54" s="5">
        <f t="shared" ref="V54:V64" si="33">IF(T$12=0,0,T54/T$12)</f>
        <v>1.4185750800205306E-3</v>
      </c>
      <c r="W54" s="1"/>
      <c r="X54" s="1">
        <f t="shared" ref="X54:X64" si="34">+P54-T54</f>
        <v>-550</v>
      </c>
      <c r="Y54" s="1"/>
      <c r="Z54" s="5">
        <f t="shared" ref="Z54:Z64" si="35">IF(T54=0,0,X54/T54)</f>
        <v>-1</v>
      </c>
    </row>
    <row r="55" spans="1:26" s="24" customFormat="1" hidden="1" outlineLevel="2" x14ac:dyDescent="0.25">
      <c r="A55" s="25"/>
      <c r="B55" s="11" t="str">
        <f>CONCATENATE("          ", "6362", " - ", "ADVERTISING EXPENSE")</f>
        <v xml:space="preserve">          6362 - ADVERTISING EXPENSE</v>
      </c>
      <c r="C55" s="11"/>
      <c r="D55" s="7"/>
      <c r="E55" s="2"/>
      <c r="F55" s="6">
        <f t="shared" si="28"/>
        <v>0</v>
      </c>
      <c r="G55" s="2"/>
      <c r="H55" s="7">
        <v>50</v>
      </c>
      <c r="I55" s="2"/>
      <c r="J55" s="6">
        <f t="shared" si="29"/>
        <v>1.1627906976744186E-3</v>
      </c>
      <c r="K55" s="2"/>
      <c r="L55" s="7">
        <f t="shared" si="30"/>
        <v>-50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550</v>
      </c>
      <c r="U55" s="2"/>
      <c r="V55" s="6">
        <f t="shared" si="33"/>
        <v>1.4185750800205306E-3</v>
      </c>
      <c r="W55" s="2"/>
      <c r="X55" s="7">
        <f t="shared" si="34"/>
        <v>-550</v>
      </c>
      <c r="Y55" s="2"/>
      <c r="Z55" s="6">
        <f t="shared" si="35"/>
        <v>-1</v>
      </c>
    </row>
    <row r="56" spans="1:26" s="27" customFormat="1" outlineLevel="1" collapsed="1" x14ac:dyDescent="0.25">
      <c r="A56" s="26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SUM(OSRRefD22_3x_0)</f>
        <v>169.88</v>
      </c>
      <c r="E56" s="1"/>
      <c r="F56" s="5">
        <f t="shared" si="28"/>
        <v>1.3122068139281778E-2</v>
      </c>
      <c r="G56" s="1"/>
      <c r="H56" s="1">
        <f>SUM(OSRRefH22_3x_0)</f>
        <v>170</v>
      </c>
      <c r="I56" s="1"/>
      <c r="J56" s="5">
        <f t="shared" si="29"/>
        <v>3.9534883720930229E-3</v>
      </c>
      <c r="K56" s="1"/>
      <c r="L56" s="1">
        <f t="shared" si="30"/>
        <v>-0.12000000000000455</v>
      </c>
      <c r="M56" s="1"/>
      <c r="N56" s="5">
        <f t="shared" si="31"/>
        <v>-7.0588235294120319E-4</v>
      </c>
      <c r="O56" s="13"/>
      <c r="P56" s="1">
        <f>SUM(OSRRefP22_3x_0)</f>
        <v>1868.68</v>
      </c>
      <c r="Q56" s="1"/>
      <c r="R56" s="5">
        <f t="shared" si="32"/>
        <v>1.463982411653823E-2</v>
      </c>
      <c r="S56" s="1"/>
      <c r="T56" s="1">
        <f>SUM(OSRRefT22_3x_0)</f>
        <v>1870</v>
      </c>
      <c r="U56" s="1"/>
      <c r="V56" s="5">
        <f t="shared" si="33"/>
        <v>4.8231552720698042E-3</v>
      </c>
      <c r="W56" s="1"/>
      <c r="X56" s="1">
        <f t="shared" si="34"/>
        <v>-1.3199999999999363</v>
      </c>
      <c r="Y56" s="1"/>
      <c r="Z56" s="5">
        <f t="shared" si="35"/>
        <v>-7.0588235294114247E-4</v>
      </c>
    </row>
    <row r="57" spans="1:26" s="24" customFormat="1" hidden="1" outlineLevel="2" x14ac:dyDescent="0.25">
      <c r="A57" s="25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169.88</v>
      </c>
      <c r="E57" s="2"/>
      <c r="F57" s="6">
        <f t="shared" si="28"/>
        <v>1.3122068139281778E-2</v>
      </c>
      <c r="G57" s="2"/>
      <c r="H57" s="7">
        <v>170</v>
      </c>
      <c r="I57" s="2"/>
      <c r="J57" s="6">
        <f t="shared" si="29"/>
        <v>3.9534883720930229E-3</v>
      </c>
      <c r="K57" s="2"/>
      <c r="L57" s="7">
        <f t="shared" si="30"/>
        <v>-0.12000000000000455</v>
      </c>
      <c r="M57" s="2"/>
      <c r="N57" s="6">
        <f t="shared" si="31"/>
        <v>-7.0588235294120319E-4</v>
      </c>
      <c r="O57" s="11"/>
      <c r="P57" s="7">
        <v>1868.68</v>
      </c>
      <c r="Q57" s="2"/>
      <c r="R57" s="6">
        <f t="shared" si="32"/>
        <v>1.463982411653823E-2</v>
      </c>
      <c r="S57" s="2"/>
      <c r="T57" s="7">
        <v>1870</v>
      </c>
      <c r="U57" s="2"/>
      <c r="V57" s="6">
        <f t="shared" si="33"/>
        <v>4.8231552720698042E-3</v>
      </c>
      <c r="W57" s="2"/>
      <c r="X57" s="7">
        <f t="shared" si="34"/>
        <v>-1.3199999999999363</v>
      </c>
      <c r="Y57" s="2"/>
      <c r="Z57" s="6">
        <f t="shared" si="35"/>
        <v>-7.0588235294114247E-4</v>
      </c>
    </row>
    <row r="58" spans="1:26" s="27" customFormat="1" outlineLevel="1" collapsed="1" x14ac:dyDescent="0.25">
      <c r="A58" s="26"/>
      <c r="B58" s="13" t="str">
        <f>CONCATENATE("     ","Discounts and Markdowns                           ")</f>
        <v xml:space="preserve">     Discounts and Markdowns                           </v>
      </c>
      <c r="C58" s="13"/>
      <c r="D58" s="1">
        <f>SUM(OSRRefD22_4x_0)</f>
        <v>0</v>
      </c>
      <c r="E58" s="1"/>
      <c r="F58" s="5">
        <f t="shared" si="28"/>
        <v>0</v>
      </c>
      <c r="G58" s="1"/>
      <c r="H58" s="1">
        <f>SUM(OSRRefH22_4x_0)</f>
        <v>50</v>
      </c>
      <c r="I58" s="1"/>
      <c r="J58" s="5">
        <f t="shared" si="29"/>
        <v>1.1627906976744186E-3</v>
      </c>
      <c r="K58" s="1"/>
      <c r="L58" s="1">
        <f t="shared" si="30"/>
        <v>-50</v>
      </c>
      <c r="M58" s="1"/>
      <c r="N58" s="5">
        <f t="shared" si="31"/>
        <v>-1</v>
      </c>
      <c r="O58" s="13"/>
      <c r="P58" s="1">
        <f>SUM(OSRRefP22_4x_0)</f>
        <v>0</v>
      </c>
      <c r="Q58" s="1"/>
      <c r="R58" s="5">
        <f t="shared" si="32"/>
        <v>0</v>
      </c>
      <c r="S58" s="1"/>
      <c r="T58" s="1">
        <f>SUM(OSRRefT22_4x_0)</f>
        <v>550</v>
      </c>
      <c r="U58" s="1"/>
      <c r="V58" s="5">
        <f t="shared" si="33"/>
        <v>1.4185750800205306E-3</v>
      </c>
      <c r="W58" s="1"/>
      <c r="X58" s="1">
        <f t="shared" si="34"/>
        <v>-550</v>
      </c>
      <c r="Y58" s="1"/>
      <c r="Z58" s="5">
        <f t="shared" si="35"/>
        <v>-1</v>
      </c>
    </row>
    <row r="59" spans="1:26" s="24" customFormat="1" hidden="1" outlineLevel="2" x14ac:dyDescent="0.25">
      <c r="A59" s="25"/>
      <c r="B59" s="11" t="str">
        <f>CONCATENATE("          ", "6382", " - ", "DISCOUNTS/MARK DOWNS")</f>
        <v xml:space="preserve">          6382 - DISCOUNTS/MARK DOWNS</v>
      </c>
      <c r="C59" s="11"/>
      <c r="D59" s="7">
        <v>0</v>
      </c>
      <c r="E59" s="2"/>
      <c r="F59" s="6">
        <f t="shared" si="28"/>
        <v>0</v>
      </c>
      <c r="G59" s="2"/>
      <c r="H59" s="7">
        <v>50</v>
      </c>
      <c r="I59" s="2"/>
      <c r="J59" s="6">
        <f t="shared" si="29"/>
        <v>1.1627906976744186E-3</v>
      </c>
      <c r="K59" s="2"/>
      <c r="L59" s="7">
        <f t="shared" si="30"/>
        <v>-50</v>
      </c>
      <c r="M59" s="2"/>
      <c r="N59" s="6">
        <f t="shared" si="31"/>
        <v>-1</v>
      </c>
      <c r="O59" s="11"/>
      <c r="P59" s="7">
        <v>0</v>
      </c>
      <c r="Q59" s="2"/>
      <c r="R59" s="6">
        <f t="shared" si="32"/>
        <v>0</v>
      </c>
      <c r="S59" s="2"/>
      <c r="T59" s="7">
        <v>550</v>
      </c>
      <c r="U59" s="2"/>
      <c r="V59" s="6">
        <f t="shared" si="33"/>
        <v>1.4185750800205306E-3</v>
      </c>
      <c r="W59" s="2"/>
      <c r="X59" s="7">
        <f t="shared" si="34"/>
        <v>-550</v>
      </c>
      <c r="Y59" s="2"/>
      <c r="Z59" s="6">
        <f t="shared" si="35"/>
        <v>-1</v>
      </c>
    </row>
    <row r="60" spans="1:26" s="27" customFormat="1" outlineLevel="1" collapsed="1" x14ac:dyDescent="0.25">
      <c r="A60" s="26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SUM(OSRRefD22_5x_0)</f>
        <v>1205.6400000000001</v>
      </c>
      <c r="E60" s="1"/>
      <c r="F60" s="5">
        <f t="shared" si="28"/>
        <v>9.3127444263266329E-2</v>
      </c>
      <c r="G60" s="1"/>
      <c r="H60" s="1">
        <f>SUM(OSRRefH22_5x_0)</f>
        <v>1206</v>
      </c>
      <c r="I60" s="1"/>
      <c r="J60" s="5">
        <f t="shared" si="29"/>
        <v>2.8046511627906976E-2</v>
      </c>
      <c r="K60" s="1"/>
      <c r="L60" s="1">
        <f t="shared" si="30"/>
        <v>-0.35999999999989996</v>
      </c>
      <c r="M60" s="1"/>
      <c r="N60" s="5">
        <f t="shared" si="31"/>
        <v>-2.9850746268648423E-4</v>
      </c>
      <c r="O60" s="13"/>
      <c r="P60" s="1">
        <f>SUM(OSRRefP22_5x_0)</f>
        <v>13262.04</v>
      </c>
      <c r="Q60" s="1"/>
      <c r="R60" s="5">
        <f t="shared" si="32"/>
        <v>0.1038989730860793</v>
      </c>
      <c r="S60" s="1"/>
      <c r="T60" s="1">
        <f>SUM(OSRRefT22_5x_0)</f>
        <v>13266</v>
      </c>
      <c r="U60" s="1"/>
      <c r="V60" s="5">
        <f t="shared" si="33"/>
        <v>3.4216030930095197E-2</v>
      </c>
      <c r="W60" s="1"/>
      <c r="X60" s="1">
        <f t="shared" si="34"/>
        <v>-3.9599999999991269</v>
      </c>
      <c r="Y60" s="1"/>
      <c r="Z60" s="5">
        <f t="shared" si="35"/>
        <v>-2.9850746268650136E-4</v>
      </c>
    </row>
    <row r="61" spans="1:26" s="24" customFormat="1" hidden="1" outlineLevel="2" x14ac:dyDescent="0.25">
      <c r="A61" s="25"/>
      <c r="B61" s="11" t="str">
        <f>CONCATENATE("          ", "6351", " - ", "EQUIPMENT RENTAL")</f>
        <v xml:space="preserve">          6351 - EQUIPMENT RENTAL</v>
      </c>
      <c r="C61" s="11"/>
      <c r="D61" s="7">
        <v>1205.6400000000001</v>
      </c>
      <c r="E61" s="2"/>
      <c r="F61" s="6">
        <f t="shared" si="28"/>
        <v>9.3127444263266329E-2</v>
      </c>
      <c r="G61" s="2"/>
      <c r="H61" s="7">
        <v>1206</v>
      </c>
      <c r="I61" s="2"/>
      <c r="J61" s="6">
        <f t="shared" si="29"/>
        <v>2.8046511627906976E-2</v>
      </c>
      <c r="K61" s="2"/>
      <c r="L61" s="7">
        <f t="shared" si="30"/>
        <v>-0.35999999999989996</v>
      </c>
      <c r="M61" s="2"/>
      <c r="N61" s="6">
        <f t="shared" si="31"/>
        <v>-2.9850746268648423E-4</v>
      </c>
      <c r="O61" s="11"/>
      <c r="P61" s="7">
        <v>13262.04</v>
      </c>
      <c r="Q61" s="2"/>
      <c r="R61" s="6">
        <f t="shared" si="32"/>
        <v>0.1038989730860793</v>
      </c>
      <c r="S61" s="2"/>
      <c r="T61" s="7">
        <v>13266</v>
      </c>
      <c r="U61" s="2"/>
      <c r="V61" s="6">
        <f t="shared" si="33"/>
        <v>3.4216030930095197E-2</v>
      </c>
      <c r="W61" s="2"/>
      <c r="X61" s="7">
        <f t="shared" si="34"/>
        <v>-3.9599999999991269</v>
      </c>
      <c r="Y61" s="2"/>
      <c r="Z61" s="6">
        <f t="shared" si="35"/>
        <v>-2.9850746268650136E-4</v>
      </c>
    </row>
    <row r="62" spans="1:26" s="27" customFormat="1" outlineLevel="1" collapsed="1" x14ac:dyDescent="0.25">
      <c r="A62" s="26"/>
      <c r="B62" s="13" t="str">
        <f>CONCATENATE("     ","Freight out/Postage                               ")</f>
        <v xml:space="preserve">     Freight out/Postage                               </v>
      </c>
      <c r="C62" s="13"/>
      <c r="D62" s="1">
        <f>SUM(OSRRefD22_6x_0)</f>
        <v>-23795.970000000005</v>
      </c>
      <c r="E62" s="1"/>
      <c r="F62" s="5">
        <f t="shared" si="28"/>
        <v>-1.8380759346615556</v>
      </c>
      <c r="G62" s="1"/>
      <c r="H62" s="1">
        <f>SUM(OSRRefH22_6x_0)</f>
        <v>-2750</v>
      </c>
      <c r="I62" s="1"/>
      <c r="J62" s="5">
        <f t="shared" si="29"/>
        <v>-6.3953488372093026E-2</v>
      </c>
      <c r="K62" s="1"/>
      <c r="L62" s="1">
        <f t="shared" si="30"/>
        <v>-21045.970000000005</v>
      </c>
      <c r="M62" s="1"/>
      <c r="N62" s="5">
        <f t="shared" si="31"/>
        <v>7.6530800000000019</v>
      </c>
      <c r="O62" s="13"/>
      <c r="P62" s="1">
        <f>SUM(OSRRefP22_6x_0)</f>
        <v>-96469.670000000013</v>
      </c>
      <c r="Q62" s="1"/>
      <c r="R62" s="5">
        <f t="shared" si="32"/>
        <v>-0.75577359493358132</v>
      </c>
      <c r="S62" s="1"/>
      <c r="T62" s="1">
        <f>SUM(OSRRefT22_6x_0)</f>
        <v>8168</v>
      </c>
      <c r="U62" s="1"/>
      <c r="V62" s="5">
        <f t="shared" si="33"/>
        <v>2.106712955201399E-2</v>
      </c>
      <c r="W62" s="1"/>
      <c r="X62" s="1">
        <f t="shared" si="34"/>
        <v>-104637.67000000001</v>
      </c>
      <c r="Y62" s="1"/>
      <c r="Z62" s="5">
        <f t="shared" si="35"/>
        <v>-12.810684378060726</v>
      </c>
    </row>
    <row r="63" spans="1:26" s="24" customFormat="1" hidden="1" outlineLevel="2" x14ac:dyDescent="0.25">
      <c r="A63" s="25"/>
      <c r="B63" s="11" t="str">
        <f>CONCATENATE("          ", "6305", " - ", "FREIGHT OUT")</f>
        <v xml:space="preserve">          6305 - FREIGHT OUT</v>
      </c>
      <c r="C63" s="11"/>
      <c r="D63" s="7">
        <v>19778.009999999998</v>
      </c>
      <c r="E63" s="2"/>
      <c r="F63" s="6">
        <f t="shared" si="28"/>
        <v>1.5277160047056533</v>
      </c>
      <c r="G63" s="2"/>
      <c r="H63" s="7">
        <v>2250</v>
      </c>
      <c r="I63" s="2"/>
      <c r="J63" s="6">
        <f t="shared" si="29"/>
        <v>5.232558139534884E-2</v>
      </c>
      <c r="K63" s="2"/>
      <c r="L63" s="7">
        <f t="shared" si="30"/>
        <v>17528.009999999998</v>
      </c>
      <c r="M63" s="2"/>
      <c r="N63" s="6">
        <f t="shared" si="31"/>
        <v>7.7902266666666655</v>
      </c>
      <c r="O63" s="11"/>
      <c r="P63" s="7">
        <v>197787.91</v>
      </c>
      <c r="Q63" s="2"/>
      <c r="R63" s="6">
        <f t="shared" si="32"/>
        <v>1.5495324051082544</v>
      </c>
      <c r="S63" s="2"/>
      <c r="T63" s="7">
        <v>37710</v>
      </c>
      <c r="U63" s="2"/>
      <c r="V63" s="6">
        <f t="shared" si="33"/>
        <v>9.7262665941044019E-2</v>
      </c>
      <c r="W63" s="2"/>
      <c r="X63" s="7">
        <f t="shared" si="34"/>
        <v>160077.91</v>
      </c>
      <c r="Y63" s="2"/>
      <c r="Z63" s="6">
        <f t="shared" si="35"/>
        <v>4.244972421108459</v>
      </c>
    </row>
    <row r="64" spans="1:26" s="24" customFormat="1" hidden="1" outlineLevel="2" x14ac:dyDescent="0.25">
      <c r="A64" s="25"/>
      <c r="B64" s="11" t="str">
        <f>CONCATENATE("          ", "6307", " - ", "POSTAGE")</f>
        <v xml:space="preserve">          6307 - POSTAGE</v>
      </c>
      <c r="C64" s="11"/>
      <c r="D64" s="7">
        <v>-43573.98</v>
      </c>
      <c r="E64" s="2"/>
      <c r="F64" s="6">
        <f t="shared" si="28"/>
        <v>-3.3657919393672091</v>
      </c>
      <c r="G64" s="2"/>
      <c r="H64" s="7">
        <v>-5000</v>
      </c>
      <c r="I64" s="2"/>
      <c r="J64" s="6">
        <f t="shared" si="29"/>
        <v>-0.11627906976744186</v>
      </c>
      <c r="K64" s="2"/>
      <c r="L64" s="7">
        <f t="shared" si="30"/>
        <v>-38573.980000000003</v>
      </c>
      <c r="M64" s="2"/>
      <c r="N64" s="6">
        <f t="shared" si="31"/>
        <v>7.7147960000000007</v>
      </c>
      <c r="O64" s="11"/>
      <c r="P64" s="7">
        <v>-294257.58</v>
      </c>
      <c r="Q64" s="2"/>
      <c r="R64" s="6">
        <f t="shared" si="32"/>
        <v>-2.3053060000418357</v>
      </c>
      <c r="S64" s="2"/>
      <c r="T64" s="7">
        <v>-29542</v>
      </c>
      <c r="U64" s="2"/>
      <c r="V64" s="6">
        <f t="shared" si="33"/>
        <v>-7.6195536389030025E-2</v>
      </c>
      <c r="W64" s="2"/>
      <c r="X64" s="7">
        <f t="shared" si="34"/>
        <v>-264715.58</v>
      </c>
      <c r="Y64" s="2"/>
      <c r="Z64" s="6">
        <f t="shared" si="35"/>
        <v>8.9606519531514461</v>
      </c>
    </row>
    <row r="65" spans="1:26" s="27" customFormat="1" outlineLevel="1" collapsed="1" x14ac:dyDescent="0.25">
      <c r="A65" s="26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SUM(OSRRefD22_7x_0)</f>
        <v>3783.1099999999997</v>
      </c>
      <c r="E65" s="1"/>
      <c r="F65" s="5">
        <f t="shared" ref="F65:F68" si="36">IF(D$12=0,0,D65/D$12)</f>
        <v>0.29221937366610717</v>
      </c>
      <c r="G65" s="1"/>
      <c r="H65" s="1">
        <f>SUM(OSRRefH22_7x_0)</f>
        <v>7400</v>
      </c>
      <c r="I65" s="1"/>
      <c r="J65" s="5">
        <f t="shared" ref="J65:J68" si="37">IF(H$12=0,0,H65/H$12)</f>
        <v>0.17209302325581396</v>
      </c>
      <c r="K65" s="1"/>
      <c r="L65" s="1">
        <f t="shared" ref="L65:L68" si="38">+D65-H65</f>
        <v>-3616.8900000000003</v>
      </c>
      <c r="M65" s="1"/>
      <c r="N65" s="5">
        <f t="shared" ref="N65:N68" si="39">IF(H65=0,0,L65/H65)</f>
        <v>-0.48876891891891894</v>
      </c>
      <c r="O65" s="13"/>
      <c r="P65" s="1">
        <f>SUM(OSRRefP22_7x_0)</f>
        <v>34876.81</v>
      </c>
      <c r="Q65" s="1"/>
      <c r="R65" s="5">
        <f t="shared" ref="R65:R68" si="40">IF(P$12=0,0,P65/P$12)</f>
        <v>0.27323584784228527</v>
      </c>
      <c r="S65" s="1"/>
      <c r="T65" s="1">
        <f>SUM(OSRRefT22_7x_0)</f>
        <v>62500</v>
      </c>
      <c r="U65" s="1"/>
      <c r="V65" s="5">
        <f t="shared" ref="V65:V68" si="41">IF(T$12=0,0,T65/T$12)</f>
        <v>0.16120171363869668</v>
      </c>
      <c r="W65" s="1"/>
      <c r="X65" s="1">
        <f t="shared" ref="X65:X68" si="42">+P65-T65</f>
        <v>-27623.190000000002</v>
      </c>
      <c r="Y65" s="1"/>
      <c r="Z65" s="5">
        <f t="shared" ref="Z65:Z68" si="43">IF(T65=0,0,X65/T65)</f>
        <v>-0.44197104000000004</v>
      </c>
    </row>
    <row r="66" spans="1:26" s="24" customFormat="1" hidden="1" outlineLevel="2" x14ac:dyDescent="0.25">
      <c r="A66" s="25"/>
      <c r="B66" s="11" t="str">
        <f>CONCATENATE("          ", "6371", " - ", "COMPUTER SOFTWARE MAINTENANCE")</f>
        <v xml:space="preserve">          6371 - COMPUTER SOFTWARE MAINTENANCE</v>
      </c>
      <c r="C66" s="11"/>
      <c r="D66" s="7"/>
      <c r="E66" s="2"/>
      <c r="F66" s="6">
        <f t="shared" si="36"/>
        <v>0</v>
      </c>
      <c r="G66" s="2"/>
      <c r="H66" s="7"/>
      <c r="I66" s="2"/>
      <c r="J66" s="6">
        <f t="shared" si="37"/>
        <v>0</v>
      </c>
      <c r="K66" s="2"/>
      <c r="L66" s="7">
        <f t="shared" si="38"/>
        <v>0</v>
      </c>
      <c r="M66" s="2"/>
      <c r="N66" s="6">
        <f t="shared" si="39"/>
        <v>0</v>
      </c>
      <c r="O66" s="11"/>
      <c r="P66" s="7">
        <v>7.69</v>
      </c>
      <c r="Q66" s="2"/>
      <c r="R66" s="6">
        <f t="shared" si="40"/>
        <v>6.0245867380278581E-5</v>
      </c>
      <c r="S66" s="2"/>
      <c r="T66" s="7"/>
      <c r="U66" s="2"/>
      <c r="V66" s="6">
        <f t="shared" si="41"/>
        <v>0</v>
      </c>
      <c r="W66" s="2"/>
      <c r="X66" s="7">
        <f t="shared" si="42"/>
        <v>7.69</v>
      </c>
      <c r="Y66" s="2"/>
      <c r="Z66" s="6">
        <f t="shared" si="43"/>
        <v>0</v>
      </c>
    </row>
    <row r="67" spans="1:26" s="24" customFormat="1" hidden="1" outlineLevel="2" x14ac:dyDescent="0.25">
      <c r="A67" s="25"/>
      <c r="B67" s="11" t="str">
        <f>CONCATENATE("          ", "6373", " - ", "MAINTENANCE CONTRACTS")</f>
        <v xml:space="preserve">          6373 - MAINTENANCE CONTRACTS</v>
      </c>
      <c r="C67" s="11"/>
      <c r="D67" s="7">
        <v>270.93</v>
      </c>
      <c r="E67" s="2"/>
      <c r="F67" s="6">
        <f t="shared" si="36"/>
        <v>2.092748952775849E-2</v>
      </c>
      <c r="G67" s="2"/>
      <c r="H67" s="7">
        <v>7400</v>
      </c>
      <c r="I67" s="2"/>
      <c r="J67" s="6">
        <f t="shared" si="37"/>
        <v>0.17209302325581396</v>
      </c>
      <c r="K67" s="2"/>
      <c r="L67" s="7">
        <f t="shared" si="38"/>
        <v>-7129.07</v>
      </c>
      <c r="M67" s="2"/>
      <c r="N67" s="6">
        <f t="shared" si="39"/>
        <v>-0.96338783783783777</v>
      </c>
      <c r="O67" s="11"/>
      <c r="P67" s="7">
        <v>31352.34</v>
      </c>
      <c r="Q67" s="2"/>
      <c r="R67" s="6">
        <f t="shared" si="40"/>
        <v>0.24562404651513697</v>
      </c>
      <c r="S67" s="2"/>
      <c r="T67" s="7">
        <v>62500</v>
      </c>
      <c r="U67" s="2"/>
      <c r="V67" s="6">
        <f t="shared" si="41"/>
        <v>0.16120171363869668</v>
      </c>
      <c r="W67" s="2"/>
      <c r="X67" s="7">
        <f t="shared" si="42"/>
        <v>-31147.66</v>
      </c>
      <c r="Y67" s="2"/>
      <c r="Z67" s="6">
        <f t="shared" si="43"/>
        <v>-0.49836256000000001</v>
      </c>
    </row>
    <row r="68" spans="1:26" s="24" customFormat="1" hidden="1" outlineLevel="2" x14ac:dyDescent="0.25">
      <c r="A68" s="25"/>
      <c r="B68" s="11" t="str">
        <f>CONCATENATE("          ", "6375", " - ", "OUTSIDE REPAIRS &amp; MAINTENANCE")</f>
        <v xml:space="preserve">          6375 - OUTSIDE REPAIRS &amp; MAINTENANCE</v>
      </c>
      <c r="C68" s="11"/>
      <c r="D68" s="7">
        <v>3512.18</v>
      </c>
      <c r="E68" s="2"/>
      <c r="F68" s="6">
        <f t="shared" si="36"/>
        <v>0.2712918841383487</v>
      </c>
      <c r="G68" s="2"/>
      <c r="H68" s="7"/>
      <c r="I68" s="2"/>
      <c r="J68" s="6">
        <f t="shared" si="37"/>
        <v>0</v>
      </c>
      <c r="K68" s="2"/>
      <c r="L68" s="7">
        <f t="shared" si="38"/>
        <v>3512.18</v>
      </c>
      <c r="M68" s="2"/>
      <c r="N68" s="6">
        <f t="shared" si="39"/>
        <v>0</v>
      </c>
      <c r="O68" s="11"/>
      <c r="P68" s="7">
        <v>3516.78</v>
      </c>
      <c r="Q68" s="2"/>
      <c r="R68" s="6">
        <f t="shared" si="40"/>
        <v>2.7551555459768024E-2</v>
      </c>
      <c r="S68" s="2"/>
      <c r="T68" s="7"/>
      <c r="U68" s="2"/>
      <c r="V68" s="6">
        <f t="shared" si="41"/>
        <v>0</v>
      </c>
      <c r="W68" s="2"/>
      <c r="X68" s="7">
        <f t="shared" si="42"/>
        <v>3516.78</v>
      </c>
      <c r="Y68" s="2"/>
      <c r="Z68" s="6">
        <f t="shared" si="43"/>
        <v>0</v>
      </c>
    </row>
    <row r="69" spans="1:26" s="27" customFormat="1" outlineLevel="1" collapsed="1" x14ac:dyDescent="0.25">
      <c r="A69" s="26"/>
      <c r="B69" s="13" t="str">
        <f>CONCATENATE("     ","Royalty &amp; Commissions                             ")</f>
        <v xml:space="preserve">     Royalty &amp; Commissions                             </v>
      </c>
      <c r="C69" s="13"/>
      <c r="D69" s="1">
        <f>SUM(OSRRefD22_8x_0)</f>
        <v>393.98</v>
      </c>
      <c r="E69" s="1"/>
      <c r="F69" s="5">
        <f t="shared" ref="F69:F78" si="44">IF(D$12=0,0,D69/D$12)</f>
        <v>3.0432260451578968E-2</v>
      </c>
      <c r="G69" s="1"/>
      <c r="H69" s="1">
        <f>SUM(OSRRefH22_8x_0)</f>
        <v>3000</v>
      </c>
      <c r="I69" s="1"/>
      <c r="J69" s="5">
        <f t="shared" ref="J69:J78" si="45">IF(H$12=0,0,H69/H$12)</f>
        <v>6.9767441860465115E-2</v>
      </c>
      <c r="K69" s="1"/>
      <c r="L69" s="1">
        <f t="shared" ref="L69:L78" si="46">+D69-H69</f>
        <v>-2606.02</v>
      </c>
      <c r="M69" s="1"/>
      <c r="N69" s="5">
        <f t="shared" ref="N69:N78" si="47">IF(H69=0,0,L69/H69)</f>
        <v>-0.8686733333333333</v>
      </c>
      <c r="O69" s="13"/>
      <c r="P69" s="1">
        <f>SUM(OSRRefP22_8x_0)</f>
        <v>13627.87</v>
      </c>
      <c r="Q69" s="1"/>
      <c r="R69" s="5">
        <f t="shared" ref="R69:R78" si="48">IF(P$12=0,0,P69/P$12)</f>
        <v>0.10676499983038715</v>
      </c>
      <c r="S69" s="1"/>
      <c r="T69" s="1">
        <f>SUM(OSRRefT22_8x_0)</f>
        <v>35250</v>
      </c>
      <c r="U69" s="1"/>
      <c r="V69" s="5">
        <f t="shared" ref="V69:V78" si="49">IF(T$12=0,0,T69/T$12)</f>
        <v>9.0917766492224925E-2</v>
      </c>
      <c r="W69" s="1"/>
      <c r="X69" s="1">
        <f t="shared" ref="X69:X78" si="50">+P69-T69</f>
        <v>-21622.129999999997</v>
      </c>
      <c r="Y69" s="1"/>
      <c r="Z69" s="5">
        <f t="shared" ref="Z69:Z78" si="51">IF(T69=0,0,X69/T69)</f>
        <v>-0.61339375886524816</v>
      </c>
    </row>
    <row r="70" spans="1:26" s="24" customFormat="1" hidden="1" outlineLevel="2" x14ac:dyDescent="0.25">
      <c r="A70" s="25"/>
      <c r="B70" s="11" t="str">
        <f>CONCATENATE("          ", "6259", " - ", "ROYALTY &amp; COMMISSIONS")</f>
        <v xml:space="preserve">          6259 - ROYALTY &amp; COMMISSIONS</v>
      </c>
      <c r="C70" s="11"/>
      <c r="D70" s="7">
        <v>393.98</v>
      </c>
      <c r="E70" s="2"/>
      <c r="F70" s="6">
        <f t="shared" si="44"/>
        <v>3.0432260451578968E-2</v>
      </c>
      <c r="G70" s="2"/>
      <c r="H70" s="7">
        <v>3000</v>
      </c>
      <c r="I70" s="2"/>
      <c r="J70" s="6">
        <f t="shared" si="45"/>
        <v>6.9767441860465115E-2</v>
      </c>
      <c r="K70" s="2"/>
      <c r="L70" s="7">
        <f t="shared" si="46"/>
        <v>-2606.02</v>
      </c>
      <c r="M70" s="2"/>
      <c r="N70" s="6">
        <f t="shared" si="47"/>
        <v>-0.8686733333333333</v>
      </c>
      <c r="O70" s="11"/>
      <c r="P70" s="7">
        <v>13627.87</v>
      </c>
      <c r="Q70" s="2"/>
      <c r="R70" s="6">
        <f t="shared" si="48"/>
        <v>0.10676499983038715</v>
      </c>
      <c r="S70" s="2"/>
      <c r="T70" s="7">
        <v>35250</v>
      </c>
      <c r="U70" s="2"/>
      <c r="V70" s="6">
        <f t="shared" si="49"/>
        <v>9.0917766492224925E-2</v>
      </c>
      <c r="W70" s="2"/>
      <c r="X70" s="7">
        <f t="shared" si="50"/>
        <v>-21622.129999999997</v>
      </c>
      <c r="Y70" s="2"/>
      <c r="Z70" s="6">
        <f t="shared" si="51"/>
        <v>-0.61339375886524816</v>
      </c>
    </row>
    <row r="71" spans="1:26" s="27" customFormat="1" outlineLevel="1" collapsed="1" x14ac:dyDescent="0.25">
      <c r="A71" s="26"/>
      <c r="B71" s="13" t="str">
        <f>CONCATENATE("     ","Subscriptions &amp; Dues                              ")</f>
        <v xml:space="preserve">     Subscriptions &amp; Dues                              </v>
      </c>
      <c r="C71" s="13"/>
      <c r="D71" s="1">
        <f>SUM(OSRRefD22_9x_0)</f>
        <v>31.75</v>
      </c>
      <c r="E71" s="1"/>
      <c r="F71" s="5">
        <f t="shared" si="44"/>
        <v>2.4524703521438453E-3</v>
      </c>
      <c r="G71" s="1"/>
      <c r="H71" s="1">
        <f>SUM(OSRRefH22_9x_0)</f>
        <v>0</v>
      </c>
      <c r="I71" s="1"/>
      <c r="J71" s="5">
        <f t="shared" si="45"/>
        <v>0</v>
      </c>
      <c r="K71" s="1"/>
      <c r="L71" s="1">
        <f t="shared" si="46"/>
        <v>31.75</v>
      </c>
      <c r="M71" s="1"/>
      <c r="N71" s="5">
        <f t="shared" si="47"/>
        <v>0</v>
      </c>
      <c r="O71" s="13"/>
      <c r="P71" s="1">
        <f>SUM(OSRRefP22_9x_0)</f>
        <v>31.75</v>
      </c>
      <c r="Q71" s="1"/>
      <c r="R71" s="5">
        <f t="shared" si="48"/>
        <v>2.48739439443933E-4</v>
      </c>
      <c r="S71" s="1"/>
      <c r="T71" s="1">
        <f>SUM(OSRRefT22_9x_0)</f>
        <v>0</v>
      </c>
      <c r="U71" s="1"/>
      <c r="V71" s="5">
        <f t="shared" si="49"/>
        <v>0</v>
      </c>
      <c r="W71" s="1"/>
      <c r="X71" s="1">
        <f t="shared" si="50"/>
        <v>31.75</v>
      </c>
      <c r="Y71" s="1"/>
      <c r="Z71" s="5">
        <f t="shared" si="51"/>
        <v>0</v>
      </c>
    </row>
    <row r="72" spans="1:26" s="24" customFormat="1" hidden="1" outlineLevel="2" x14ac:dyDescent="0.25">
      <c r="A72" s="25"/>
      <c r="B72" s="11" t="str">
        <f>CONCATENATE("          ", "6258", " - ", "MEMBERSHIP DUES")</f>
        <v xml:space="preserve">          6258 - MEMBERSHIP DUES</v>
      </c>
      <c r="C72" s="11"/>
      <c r="D72" s="7">
        <v>31.75</v>
      </c>
      <c r="E72" s="2"/>
      <c r="F72" s="6">
        <f t="shared" si="44"/>
        <v>2.4524703521438453E-3</v>
      </c>
      <c r="G72" s="2"/>
      <c r="H72" s="7"/>
      <c r="I72" s="2"/>
      <c r="J72" s="6">
        <f t="shared" si="45"/>
        <v>0</v>
      </c>
      <c r="K72" s="2"/>
      <c r="L72" s="7">
        <f t="shared" si="46"/>
        <v>31.75</v>
      </c>
      <c r="M72" s="2"/>
      <c r="N72" s="6">
        <f t="shared" si="47"/>
        <v>0</v>
      </c>
      <c r="O72" s="11"/>
      <c r="P72" s="7">
        <v>31.75</v>
      </c>
      <c r="Q72" s="2"/>
      <c r="R72" s="6">
        <f t="shared" si="48"/>
        <v>2.48739439443933E-4</v>
      </c>
      <c r="S72" s="2"/>
      <c r="T72" s="7"/>
      <c r="U72" s="2"/>
      <c r="V72" s="6">
        <f t="shared" si="49"/>
        <v>0</v>
      </c>
      <c r="W72" s="2"/>
      <c r="X72" s="7">
        <f t="shared" si="50"/>
        <v>31.75</v>
      </c>
      <c r="Y72" s="2"/>
      <c r="Z72" s="6">
        <f t="shared" si="51"/>
        <v>0</v>
      </c>
    </row>
    <row r="73" spans="1:26" s="27" customFormat="1" outlineLevel="1" collapsed="1" x14ac:dyDescent="0.25">
      <c r="A73" s="26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SUM(OSRRefD22_10x_0)</f>
        <v>6628.24</v>
      </c>
      <c r="E73" s="1"/>
      <c r="F73" s="5">
        <f t="shared" si="44"/>
        <v>0.51198620746122592</v>
      </c>
      <c r="G73" s="1"/>
      <c r="H73" s="1">
        <f>SUM(OSRRefH22_10x_0)</f>
        <v>5400</v>
      </c>
      <c r="I73" s="1"/>
      <c r="J73" s="5">
        <f t="shared" si="45"/>
        <v>0.12558139534883722</v>
      </c>
      <c r="K73" s="1"/>
      <c r="L73" s="1">
        <f t="shared" si="46"/>
        <v>1228.2399999999998</v>
      </c>
      <c r="M73" s="1"/>
      <c r="N73" s="5">
        <f t="shared" si="47"/>
        <v>0.22745185185185182</v>
      </c>
      <c r="O73" s="13"/>
      <c r="P73" s="1">
        <f>SUM(OSRRefP22_10x_0)</f>
        <v>42426.44</v>
      </c>
      <c r="Q73" s="1"/>
      <c r="R73" s="5">
        <f t="shared" si="48"/>
        <v>0.33238201269926482</v>
      </c>
      <c r="S73" s="1"/>
      <c r="T73" s="1">
        <f>SUM(OSRRefT22_10x_0)</f>
        <v>29850</v>
      </c>
      <c r="U73" s="1"/>
      <c r="V73" s="5">
        <f t="shared" si="49"/>
        <v>7.6989938433841526E-2</v>
      </c>
      <c r="W73" s="1"/>
      <c r="X73" s="1">
        <f t="shared" si="50"/>
        <v>12576.440000000002</v>
      </c>
      <c r="Y73" s="1"/>
      <c r="Z73" s="5">
        <f t="shared" si="51"/>
        <v>0.42132127303182587</v>
      </c>
    </row>
    <row r="74" spans="1:26" s="24" customFormat="1" hidden="1" outlineLevel="2" x14ac:dyDescent="0.25">
      <c r="A74" s="25"/>
      <c r="B74" s="11" t="str">
        <f>CONCATENATE("          ", "6235", " - ", "COVID-19 EXPENSES")</f>
        <v xml:space="preserve">          6235 - COVID-19 EXPENSES</v>
      </c>
      <c r="C74" s="11"/>
      <c r="D74" s="7"/>
      <c r="E74" s="2"/>
      <c r="F74" s="6">
        <f t="shared" si="44"/>
        <v>0</v>
      </c>
      <c r="G74" s="2"/>
      <c r="H74" s="7"/>
      <c r="I74" s="2"/>
      <c r="J74" s="6">
        <f t="shared" si="45"/>
        <v>0</v>
      </c>
      <c r="K74" s="2"/>
      <c r="L74" s="7">
        <f t="shared" si="46"/>
        <v>0</v>
      </c>
      <c r="M74" s="2"/>
      <c r="N74" s="6">
        <f t="shared" si="47"/>
        <v>0</v>
      </c>
      <c r="O74" s="11"/>
      <c r="P74" s="7">
        <v>310.91000000000003</v>
      </c>
      <c r="Q74" s="2"/>
      <c r="R74" s="6">
        <f t="shared" si="48"/>
        <v>2.4357662714177392E-3</v>
      </c>
      <c r="S74" s="2"/>
      <c r="T74" s="7"/>
      <c r="U74" s="2"/>
      <c r="V74" s="6">
        <f t="shared" si="49"/>
        <v>0</v>
      </c>
      <c r="W74" s="2"/>
      <c r="X74" s="7">
        <f t="shared" si="50"/>
        <v>310.91000000000003</v>
      </c>
      <c r="Y74" s="2"/>
      <c r="Z74" s="6">
        <f t="shared" si="51"/>
        <v>0</v>
      </c>
    </row>
    <row r="75" spans="1:26" s="24" customFormat="1" hidden="1" outlineLevel="2" x14ac:dyDescent="0.25">
      <c r="A75" s="25"/>
      <c r="B75" s="11" t="str">
        <f>CONCATENATE("          ", "6241", " - ", "OFFICE EXPENSE")</f>
        <v xml:space="preserve">          6241 - OFFICE EXPENSE</v>
      </c>
      <c r="C75" s="11"/>
      <c r="D75" s="7">
        <v>18.25</v>
      </c>
      <c r="E75" s="2"/>
      <c r="F75" s="6">
        <f t="shared" si="44"/>
        <v>1.4096876827283521E-3</v>
      </c>
      <c r="G75" s="2"/>
      <c r="H75" s="7"/>
      <c r="I75" s="2"/>
      <c r="J75" s="6">
        <f t="shared" si="45"/>
        <v>0</v>
      </c>
      <c r="K75" s="2"/>
      <c r="L75" s="7">
        <f t="shared" si="46"/>
        <v>18.25</v>
      </c>
      <c r="M75" s="2"/>
      <c r="N75" s="6">
        <f t="shared" si="47"/>
        <v>0</v>
      </c>
      <c r="O75" s="11"/>
      <c r="P75" s="7">
        <v>4676.01</v>
      </c>
      <c r="Q75" s="2"/>
      <c r="R75" s="6">
        <f t="shared" si="48"/>
        <v>3.6633326180605524E-2</v>
      </c>
      <c r="S75" s="2"/>
      <c r="T75" s="7"/>
      <c r="U75" s="2"/>
      <c r="V75" s="6">
        <f t="shared" si="49"/>
        <v>0</v>
      </c>
      <c r="W75" s="2"/>
      <c r="X75" s="7">
        <f t="shared" si="50"/>
        <v>4676.01</v>
      </c>
      <c r="Y75" s="2"/>
      <c r="Z75" s="6">
        <f t="shared" si="51"/>
        <v>0</v>
      </c>
    </row>
    <row r="76" spans="1:26" s="24" customFormat="1" hidden="1" outlineLevel="2" x14ac:dyDescent="0.25">
      <c r="A76" s="25"/>
      <c r="B76" s="11" t="str">
        <f>CONCATENATE("          ", "6243", " - ", "PAPER SUPPLIES")</f>
        <v xml:space="preserve">          6243 - PAPER SUPPLIES</v>
      </c>
      <c r="C76" s="11"/>
      <c r="D76" s="7"/>
      <c r="E76" s="2"/>
      <c r="F76" s="6">
        <f t="shared" si="44"/>
        <v>0</v>
      </c>
      <c r="G76" s="2"/>
      <c r="H76" s="7">
        <v>5000</v>
      </c>
      <c r="I76" s="2"/>
      <c r="J76" s="6">
        <f t="shared" si="45"/>
        <v>0.11627906976744186</v>
      </c>
      <c r="K76" s="2"/>
      <c r="L76" s="7">
        <f t="shared" si="46"/>
        <v>-5000</v>
      </c>
      <c r="M76" s="2"/>
      <c r="N76" s="6">
        <f t="shared" si="47"/>
        <v>-1</v>
      </c>
      <c r="O76" s="11"/>
      <c r="P76" s="7">
        <v>6682.58</v>
      </c>
      <c r="Q76" s="2"/>
      <c r="R76" s="6">
        <f t="shared" si="48"/>
        <v>5.2353423724070487E-2</v>
      </c>
      <c r="S76" s="2"/>
      <c r="T76" s="7">
        <v>26400</v>
      </c>
      <c r="U76" s="2"/>
      <c r="V76" s="6">
        <f t="shared" si="49"/>
        <v>6.8091603840985476E-2</v>
      </c>
      <c r="W76" s="2"/>
      <c r="X76" s="7">
        <f t="shared" si="50"/>
        <v>-19717.419999999998</v>
      </c>
      <c r="Y76" s="2"/>
      <c r="Z76" s="6">
        <f t="shared" si="51"/>
        <v>-0.74687196969696967</v>
      </c>
    </row>
    <row r="77" spans="1:26" s="24" customFormat="1" hidden="1" outlineLevel="2" x14ac:dyDescent="0.25">
      <c r="A77" s="25"/>
      <c r="B77" s="11" t="str">
        <f>CONCATENATE("          ", "6245", " - ", "PRINTING")</f>
        <v xml:space="preserve">          6245 - PRINTING</v>
      </c>
      <c r="C77" s="11"/>
      <c r="D77" s="7">
        <v>5963.79</v>
      </c>
      <c r="E77" s="2"/>
      <c r="F77" s="6">
        <f t="shared" si="44"/>
        <v>0.46066198933580926</v>
      </c>
      <c r="G77" s="2"/>
      <c r="H77" s="7">
        <v>200</v>
      </c>
      <c r="I77" s="2"/>
      <c r="J77" s="6">
        <f t="shared" si="45"/>
        <v>4.6511627906976744E-3</v>
      </c>
      <c r="K77" s="2"/>
      <c r="L77" s="7">
        <f t="shared" si="46"/>
        <v>5763.79</v>
      </c>
      <c r="M77" s="2"/>
      <c r="N77" s="6">
        <f t="shared" si="47"/>
        <v>28.818950000000001</v>
      </c>
      <c r="O77" s="11"/>
      <c r="P77" s="7">
        <v>9015.7199999999993</v>
      </c>
      <c r="Q77" s="2"/>
      <c r="R77" s="6">
        <f t="shared" si="48"/>
        <v>7.0631972881368688E-2</v>
      </c>
      <c r="S77" s="2"/>
      <c r="T77" s="7">
        <v>2300</v>
      </c>
      <c r="U77" s="2"/>
      <c r="V77" s="6">
        <f t="shared" si="49"/>
        <v>5.9322230619040369E-3</v>
      </c>
      <c r="W77" s="2"/>
      <c r="X77" s="7">
        <f t="shared" si="50"/>
        <v>6715.7199999999993</v>
      </c>
      <c r="Y77" s="2"/>
      <c r="Z77" s="6">
        <f t="shared" si="51"/>
        <v>2.9198782608695648</v>
      </c>
    </row>
    <row r="78" spans="1:26" s="24" customFormat="1" hidden="1" outlineLevel="2" x14ac:dyDescent="0.25">
      <c r="A78" s="25"/>
      <c r="B78" s="11" t="str">
        <f>CONCATENATE("          ", "6247", " - ", "STORE SUPPLIES")</f>
        <v xml:space="preserve">          6247 - STORE SUPPLIES</v>
      </c>
      <c r="C78" s="11"/>
      <c r="D78" s="7">
        <v>646.20000000000005</v>
      </c>
      <c r="E78" s="2"/>
      <c r="F78" s="6">
        <f t="shared" si="44"/>
        <v>4.9914530442688287E-2</v>
      </c>
      <c r="G78" s="2"/>
      <c r="H78" s="7">
        <v>200</v>
      </c>
      <c r="I78" s="2"/>
      <c r="J78" s="6">
        <f t="shared" si="45"/>
        <v>4.6511627906976744E-3</v>
      </c>
      <c r="K78" s="2"/>
      <c r="L78" s="7">
        <f t="shared" si="46"/>
        <v>446.20000000000005</v>
      </c>
      <c r="M78" s="2"/>
      <c r="N78" s="6">
        <f t="shared" si="47"/>
        <v>2.2310000000000003</v>
      </c>
      <c r="O78" s="11"/>
      <c r="P78" s="7">
        <v>21741.22</v>
      </c>
      <c r="Q78" s="2"/>
      <c r="R78" s="6">
        <f t="shared" si="48"/>
        <v>0.1703275236418024</v>
      </c>
      <c r="S78" s="2"/>
      <c r="T78" s="7">
        <v>1150</v>
      </c>
      <c r="U78" s="2"/>
      <c r="V78" s="6">
        <f t="shared" si="49"/>
        <v>2.9661115309520185E-3</v>
      </c>
      <c r="W78" s="2"/>
      <c r="X78" s="7">
        <f t="shared" si="50"/>
        <v>20591.22</v>
      </c>
      <c r="Y78" s="2"/>
      <c r="Z78" s="6">
        <f t="shared" si="51"/>
        <v>17.905408695652174</v>
      </c>
    </row>
    <row r="79" spans="1:26" s="27" customFormat="1" outlineLevel="1" collapsed="1" x14ac:dyDescent="0.25">
      <c r="A79" s="26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SUM(OSRRefD22_11x_0)</f>
        <v>157.85</v>
      </c>
      <c r="E79" s="1"/>
      <c r="F79" s="5">
        <f t="shared" ref="F79:F82" si="52">IF(D$12=0,0,D79/D$12)</f>
        <v>1.2192832916091528E-2</v>
      </c>
      <c r="G79" s="1"/>
      <c r="H79" s="1">
        <f>SUM(OSRRefH22_11x_0)</f>
        <v>165</v>
      </c>
      <c r="I79" s="1"/>
      <c r="J79" s="5">
        <f t="shared" ref="J79:J82" si="53">IF(H$12=0,0,H79/H$12)</f>
        <v>3.8372093023255815E-3</v>
      </c>
      <c r="K79" s="1"/>
      <c r="L79" s="1">
        <f t="shared" ref="L79:L82" si="54">+D79-H79</f>
        <v>-7.1500000000000057</v>
      </c>
      <c r="M79" s="1"/>
      <c r="N79" s="5">
        <f t="shared" ref="N79:N82" si="55">IF(H79=0,0,L79/H79)</f>
        <v>-4.333333333333337E-2</v>
      </c>
      <c r="O79" s="13"/>
      <c r="P79" s="1">
        <f>SUM(OSRRefP22_11x_0)</f>
        <v>1743.35</v>
      </c>
      <c r="Q79" s="1"/>
      <c r="R79" s="5">
        <f t="shared" ref="R79:R82" si="56">IF(P$12=0,0,P79/P$12)</f>
        <v>1.3657949661561595E-2</v>
      </c>
      <c r="S79" s="1"/>
      <c r="T79" s="1">
        <f>SUM(OSRRefT22_11x_0)</f>
        <v>1815</v>
      </c>
      <c r="U79" s="1"/>
      <c r="V79" s="5">
        <f t="shared" ref="V79:V82" si="57">IF(T$12=0,0,T79/T$12)</f>
        <v>4.681297764067751E-3</v>
      </c>
      <c r="W79" s="1"/>
      <c r="X79" s="1">
        <f t="shared" ref="X79:X82" si="58">+P79-T79</f>
        <v>-71.650000000000091</v>
      </c>
      <c r="Y79" s="1"/>
      <c r="Z79" s="5">
        <f t="shared" ref="Z79:Z82" si="59">IF(T79=0,0,X79/T79)</f>
        <v>-3.9476584022038616E-2</v>
      </c>
    </row>
    <row r="80" spans="1:26" s="24" customFormat="1" hidden="1" outlineLevel="2" x14ac:dyDescent="0.25">
      <c r="A80" s="25"/>
      <c r="B80" s="11" t="str">
        <f>CONCATENATE("          ", "6309", " - ", "TELEPHONE")</f>
        <v xml:space="preserve">          6309 - TELEPHONE</v>
      </c>
      <c r="C80" s="11"/>
      <c r="D80" s="7">
        <v>157.85</v>
      </c>
      <c r="E80" s="2"/>
      <c r="F80" s="6">
        <f t="shared" si="52"/>
        <v>1.2192832916091528E-2</v>
      </c>
      <c r="G80" s="2"/>
      <c r="H80" s="7">
        <v>165</v>
      </c>
      <c r="I80" s="2"/>
      <c r="J80" s="6">
        <f t="shared" si="53"/>
        <v>3.8372093023255815E-3</v>
      </c>
      <c r="K80" s="2"/>
      <c r="L80" s="7">
        <f t="shared" si="54"/>
        <v>-7.1500000000000057</v>
      </c>
      <c r="M80" s="2"/>
      <c r="N80" s="6">
        <f t="shared" si="55"/>
        <v>-4.333333333333337E-2</v>
      </c>
      <c r="O80" s="11"/>
      <c r="P80" s="7">
        <v>1743.35</v>
      </c>
      <c r="Q80" s="2"/>
      <c r="R80" s="6">
        <f t="shared" si="56"/>
        <v>1.3657949661561595E-2</v>
      </c>
      <c r="S80" s="2"/>
      <c r="T80" s="7">
        <v>1815</v>
      </c>
      <c r="U80" s="2"/>
      <c r="V80" s="6">
        <f t="shared" si="57"/>
        <v>4.681297764067751E-3</v>
      </c>
      <c r="W80" s="2"/>
      <c r="X80" s="7">
        <f t="shared" si="58"/>
        <v>-71.650000000000091</v>
      </c>
      <c r="Y80" s="2"/>
      <c r="Z80" s="6">
        <f t="shared" si="59"/>
        <v>-3.9476584022038616E-2</v>
      </c>
    </row>
    <row r="81" spans="1:26" s="27" customFormat="1" outlineLevel="1" collapsed="1" x14ac:dyDescent="0.25">
      <c r="A81" s="26"/>
      <c r="B81" s="13" t="str">
        <f>CONCATENATE("     ","Utilities                                         ")</f>
        <v xml:space="preserve">     Utilities                                         </v>
      </c>
      <c r="C81" s="13"/>
      <c r="D81" s="1">
        <f>SUM(OSRRefD22_12x_0)</f>
        <v>0</v>
      </c>
      <c r="E81" s="1"/>
      <c r="F81" s="5">
        <f t="shared" si="52"/>
        <v>0</v>
      </c>
      <c r="G81" s="1"/>
      <c r="H81" s="1">
        <f>SUM(OSRRefH22_12x_0)</f>
        <v>0</v>
      </c>
      <c r="I81" s="1"/>
      <c r="J81" s="5">
        <f t="shared" si="53"/>
        <v>0</v>
      </c>
      <c r="K81" s="1"/>
      <c r="L81" s="1">
        <f t="shared" si="54"/>
        <v>0</v>
      </c>
      <c r="M81" s="1"/>
      <c r="N81" s="5">
        <f t="shared" si="55"/>
        <v>0</v>
      </c>
      <c r="O81" s="13"/>
      <c r="P81" s="1">
        <f>SUM(OSRRefP22_12x_0)</f>
        <v>15.02</v>
      </c>
      <c r="Q81" s="1"/>
      <c r="R81" s="5">
        <f t="shared" si="56"/>
        <v>1.1767138206135036E-4</v>
      </c>
      <c r="S81" s="1"/>
      <c r="T81" s="1">
        <f>SUM(OSRRefT22_12x_0)</f>
        <v>0</v>
      </c>
      <c r="U81" s="1"/>
      <c r="V81" s="5">
        <f t="shared" si="57"/>
        <v>0</v>
      </c>
      <c r="W81" s="1"/>
      <c r="X81" s="1">
        <f t="shared" si="58"/>
        <v>15.02</v>
      </c>
      <c r="Y81" s="1"/>
      <c r="Z81" s="5">
        <f t="shared" si="59"/>
        <v>0</v>
      </c>
    </row>
    <row r="82" spans="1:26" s="24" customFormat="1" hidden="1" outlineLevel="2" x14ac:dyDescent="0.25">
      <c r="A82" s="25"/>
      <c r="B82" s="11" t="str">
        <f>CONCATENATE("          ", "6274", " - ", "UTILITIES")</f>
        <v xml:space="preserve">          6274 - UTILITIES</v>
      </c>
      <c r="C82" s="11"/>
      <c r="D82" s="7"/>
      <c r="E82" s="2"/>
      <c r="F82" s="6">
        <f t="shared" si="52"/>
        <v>0</v>
      </c>
      <c r="G82" s="2"/>
      <c r="H82" s="7"/>
      <c r="I82" s="2"/>
      <c r="J82" s="6">
        <f t="shared" si="53"/>
        <v>0</v>
      </c>
      <c r="K82" s="2"/>
      <c r="L82" s="7">
        <f t="shared" si="54"/>
        <v>0</v>
      </c>
      <c r="M82" s="2"/>
      <c r="N82" s="6">
        <f t="shared" si="55"/>
        <v>0</v>
      </c>
      <c r="O82" s="11"/>
      <c r="P82" s="7">
        <v>15.02</v>
      </c>
      <c r="Q82" s="2"/>
      <c r="R82" s="6">
        <f t="shared" si="56"/>
        <v>1.1767138206135036E-4</v>
      </c>
      <c r="S82" s="2"/>
      <c r="T82" s="7"/>
      <c r="U82" s="2"/>
      <c r="V82" s="6">
        <f t="shared" si="57"/>
        <v>0</v>
      </c>
      <c r="W82" s="2"/>
      <c r="X82" s="7">
        <f t="shared" si="58"/>
        <v>15.02</v>
      </c>
      <c r="Y82" s="2"/>
      <c r="Z82" s="6">
        <f t="shared" si="59"/>
        <v>0</v>
      </c>
    </row>
    <row r="83" spans="1:26" s="56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collapsed="1" x14ac:dyDescent="0.25">
      <c r="A84" s="10"/>
      <c r="B84" s="29" t="s">
        <v>293</v>
      </c>
      <c r="C84" s="10"/>
      <c r="D84" s="4">
        <f>SUM(OSRRefD25x_0)</f>
        <v>6782</v>
      </c>
      <c r="E84" s="4"/>
      <c r="F84" s="12">
        <f t="shared" ref="F84:F86" si="60">IF(D$12=0,0,D84/D$12)</f>
        <v>0.52386311585006484</v>
      </c>
      <c r="G84" s="4"/>
      <c r="H84" s="4">
        <f>SUM(OSRRefH25x_0)</f>
        <v>6875</v>
      </c>
      <c r="I84" s="4"/>
      <c r="J84" s="12">
        <f t="shared" ref="J84:J86" si="61">IF(H$12=0,0,H84/H$12)</f>
        <v>0.15988372093023256</v>
      </c>
      <c r="K84" s="4"/>
      <c r="L84" s="4">
        <f t="shared" ref="L84:L86" si="62">+D84-H84</f>
        <v>-93</v>
      </c>
      <c r="M84" s="4"/>
      <c r="N84" s="12">
        <f t="shared" ref="N84:N86" si="63">IF(H84=0,0,L84/H84)</f>
        <v>-1.3527272727272728E-2</v>
      </c>
      <c r="O84" s="10"/>
      <c r="P84" s="4">
        <f>SUM(OSRRefP25x_0)</f>
        <v>74602</v>
      </c>
      <c r="Q84" s="4"/>
      <c r="R84" s="12">
        <f t="shared" ref="R84:R86" si="64">IF(P$12=0,0,P84/P$12)</f>
        <v>0.58445542240618242</v>
      </c>
      <c r="S84" s="4"/>
      <c r="T84" s="4">
        <f>SUM(OSRRefT25x_0)</f>
        <v>75625</v>
      </c>
      <c r="U84" s="4"/>
      <c r="V84" s="12">
        <f t="shared" ref="V84:V86" si="65">IF(T$12=0,0,T84/T$12)</f>
        <v>0.19505407350282297</v>
      </c>
      <c r="W84" s="4"/>
      <c r="X84" s="4">
        <f t="shared" ref="X84:X86" si="66">+P84-T84</f>
        <v>-1023</v>
      </c>
      <c r="Y84" s="4"/>
      <c r="Z84" s="12">
        <f t="shared" ref="Z84:Z86" si="67">IF(T84=0,0,X84/T84)</f>
        <v>-1.3527272727272728E-2</v>
      </c>
    </row>
    <row r="85" spans="1:26" s="24" customFormat="1" hidden="1" outlineLevel="1" x14ac:dyDescent="0.25">
      <c r="A85" s="44"/>
      <c r="B85" s="11" t="str">
        <f>CONCATENATE("          ", "9150", " - ", "MISC. INCOME")</f>
        <v xml:space="preserve">          9150 - MISC. INCOME</v>
      </c>
      <c r="C85" s="11"/>
      <c r="D85" s="2">
        <f>--6782</f>
        <v>6782</v>
      </c>
      <c r="E85" s="2"/>
      <c r="F85" s="19">
        <f t="shared" si="60"/>
        <v>0.52386311585006484</v>
      </c>
      <c r="G85" s="2"/>
      <c r="H85" s="2">
        <v>6875</v>
      </c>
      <c r="I85" s="2"/>
      <c r="J85" s="19">
        <f t="shared" si="61"/>
        <v>0.15988372093023256</v>
      </c>
      <c r="K85" s="2"/>
      <c r="L85" s="2">
        <f t="shared" si="62"/>
        <v>-93</v>
      </c>
      <c r="M85" s="2"/>
      <c r="N85" s="19">
        <f t="shared" si="63"/>
        <v>-1.3527272727272728E-2</v>
      </c>
      <c r="O85" s="11"/>
      <c r="P85" s="2">
        <f>--74602</f>
        <v>74602</v>
      </c>
      <c r="Q85" s="2"/>
      <c r="R85" s="19">
        <f t="shared" si="64"/>
        <v>0.58445542240618242</v>
      </c>
      <c r="S85" s="2"/>
      <c r="T85" s="2">
        <v>75625</v>
      </c>
      <c r="U85" s="2"/>
      <c r="V85" s="19">
        <f t="shared" si="65"/>
        <v>0.19505407350282297</v>
      </c>
      <c r="W85" s="2"/>
      <c r="X85" s="2">
        <f t="shared" si="66"/>
        <v>-1023</v>
      </c>
      <c r="Y85" s="2"/>
      <c r="Z85" s="19">
        <f t="shared" si="67"/>
        <v>-1.3527272727272728E-2</v>
      </c>
    </row>
    <row r="86" spans="1:26" s="24" customFormat="1" hidden="1" outlineLevel="1" x14ac:dyDescent="0.25">
      <c r="A86" s="44"/>
      <c r="B86" s="11" t="str">
        <f>CONCATENATE("          ", "9163", " - ", "MISC. INCOME")</f>
        <v xml:space="preserve">          9163 - MISC. INCOME</v>
      </c>
      <c r="C86" s="11"/>
      <c r="D86" s="2">
        <f>0</f>
        <v>0</v>
      </c>
      <c r="E86" s="2"/>
      <c r="F86" s="19">
        <f t="shared" si="60"/>
        <v>0</v>
      </c>
      <c r="G86" s="2"/>
      <c r="H86" s="2"/>
      <c r="I86" s="2"/>
      <c r="J86" s="19">
        <f t="shared" si="61"/>
        <v>0</v>
      </c>
      <c r="K86" s="2"/>
      <c r="L86" s="2">
        <f t="shared" si="62"/>
        <v>0</v>
      </c>
      <c r="M86" s="2"/>
      <c r="N86" s="19">
        <f t="shared" si="63"/>
        <v>0</v>
      </c>
      <c r="O86" s="11"/>
      <c r="P86" s="2">
        <f>0</f>
        <v>0</v>
      </c>
      <c r="Q86" s="2"/>
      <c r="R86" s="19">
        <f t="shared" si="64"/>
        <v>0</v>
      </c>
      <c r="S86" s="2"/>
      <c r="T86" s="2"/>
      <c r="U86" s="2"/>
      <c r="V86" s="19">
        <f t="shared" si="65"/>
        <v>0</v>
      </c>
      <c r="W86" s="2"/>
      <c r="X86" s="2">
        <f t="shared" si="66"/>
        <v>0</v>
      </c>
      <c r="Y86" s="2"/>
      <c r="Z86" s="19">
        <f t="shared" si="67"/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8" t="s">
        <v>277</v>
      </c>
      <c r="C88" s="28"/>
      <c r="D88" s="20">
        <f>+D30-D32+D84</f>
        <v>6727.9700000000084</v>
      </c>
      <c r="E88" s="14"/>
      <c r="F88" s="21">
        <f>IF(D$12=0,0,D88/D$12)</f>
        <v>0.51968966787758264</v>
      </c>
      <c r="G88" s="14"/>
      <c r="H88" s="20">
        <f>+H30-H32+H84</f>
        <v>18555.792808507656</v>
      </c>
      <c r="I88" s="14"/>
      <c r="J88" s="21">
        <f>IF(H$12=0,0,H88/H$12)</f>
        <v>0.43153006531413157</v>
      </c>
      <c r="K88" s="15"/>
      <c r="L88" s="20">
        <f>+D88-H88</f>
        <v>-11827.822808507648</v>
      </c>
      <c r="M88" s="15"/>
      <c r="N88" s="21">
        <f>IF(H88=0,0,L88/H88)</f>
        <v>-0.63741942640600635</v>
      </c>
      <c r="O88" s="29"/>
      <c r="P88" s="20">
        <f>+P30-P32+P84</f>
        <v>-83314.320000000007</v>
      </c>
      <c r="Q88" s="14"/>
      <c r="R88" s="21">
        <f>IF(P$12=0,0,P88/P$12)</f>
        <v>-0.6527104647071641</v>
      </c>
      <c r="S88" s="14"/>
      <c r="T88" s="20">
        <f>+T30-T32+T84</f>
        <v>113028.069231592</v>
      </c>
      <c r="U88" s="14"/>
      <c r="V88" s="21">
        <f>IF(T$12=0,0,T88/T$12)</f>
        <v>0.29152509519049402</v>
      </c>
      <c r="W88" s="15"/>
      <c r="X88" s="20">
        <f>+P88-T88</f>
        <v>-196342.38923159201</v>
      </c>
      <c r="Y88" s="15"/>
      <c r="Z88" s="21">
        <f>IF(T88=0,0,X88/T88)</f>
        <v>-1.7371117684872668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128</v>
      </c>
      <c r="C90" s="10"/>
      <c r="D90" s="4">
        <v>3281.05</v>
      </c>
      <c r="E90" s="4"/>
      <c r="F90" s="12">
        <f>IF(D$12=0,0,D90/D$12)</f>
        <v>0.25343867240634849</v>
      </c>
      <c r="G90" s="4"/>
      <c r="H90" s="4">
        <v>9134</v>
      </c>
      <c r="I90" s="4"/>
      <c r="J90" s="12">
        <f>IF(H$12=0,0,H90/H$12)</f>
        <v>0.2124186046511628</v>
      </c>
      <c r="K90" s="4"/>
      <c r="L90" s="4">
        <f>+D90-H90</f>
        <v>-5852.95</v>
      </c>
      <c r="M90" s="4"/>
      <c r="N90" s="12">
        <f>IF(H90=0,0,L90/H90)</f>
        <v>-0.64078716881979414</v>
      </c>
      <c r="O90" s="10"/>
      <c r="P90" s="4">
        <v>27276.23</v>
      </c>
      <c r="Q90" s="4"/>
      <c r="R90" s="12">
        <f>IF(P$12=0,0,P90/P$12)</f>
        <v>0.21369052473523745</v>
      </c>
      <c r="S90" s="4"/>
      <c r="T90" s="4">
        <v>71576</v>
      </c>
      <c r="U90" s="4"/>
      <c r="V90" s="12">
        <f>IF(T$12=0,0,T90/T$12)</f>
        <v>0.18461078168645365</v>
      </c>
      <c r="W90" s="4"/>
      <c r="X90" s="4">
        <f>+P90-T90</f>
        <v>-44299.770000000004</v>
      </c>
      <c r="Y90" s="4"/>
      <c r="Z90" s="12">
        <f>IF(T90=0,0,X90/T90)</f>
        <v>-0.61891933050184422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126</v>
      </c>
      <c r="C92" s="28"/>
      <c r="D92" s="35">
        <f>+D88-D90</f>
        <v>3446.9200000000083</v>
      </c>
      <c r="E92" s="14"/>
      <c r="F92" s="34">
        <f>IF(D$12=0,0,D92/D$12)</f>
        <v>0.26625099547123415</v>
      </c>
      <c r="G92" s="14"/>
      <c r="H92" s="35">
        <f>+H88-H90</f>
        <v>9421.7928085076564</v>
      </c>
      <c r="I92" s="14"/>
      <c r="J92" s="34">
        <f>IF(H$12=0,0,H92/H$12)</f>
        <v>0.21911146066296874</v>
      </c>
      <c r="K92" s="15"/>
      <c r="L92" s="35">
        <f>D92-H92</f>
        <v>-5974.8728085076482</v>
      </c>
      <c r="M92" s="15"/>
      <c r="N92" s="34">
        <f>IF(H92=0,0,L92/H92)</f>
        <v>-0.63415455316662017</v>
      </c>
      <c r="O92" s="29"/>
      <c r="P92" s="35">
        <f>+P88-P90</f>
        <v>-110590.55</v>
      </c>
      <c r="Q92" s="14"/>
      <c r="R92" s="34">
        <f>IF(P$12=0,0,P92/P$12)</f>
        <v>-0.86640098944240151</v>
      </c>
      <c r="S92" s="14"/>
      <c r="T92" s="35">
        <f>+T88-T90</f>
        <v>41452.069231592002</v>
      </c>
      <c r="U92" s="14"/>
      <c r="V92" s="34">
        <f>IF(T$12=0,0,T92/T$12)</f>
        <v>0.10691431350404036</v>
      </c>
      <c r="W92" s="15"/>
      <c r="X92" s="35">
        <f>P92-T92</f>
        <v>-152042.61923159199</v>
      </c>
      <c r="Y92" s="15"/>
      <c r="Z92" s="34">
        <f>IF(T92=0,0,X92/T92)</f>
        <v>-3.6679138593089884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294</v>
      </c>
      <c r="C95" s="28"/>
      <c r="D95" s="33">
        <f>SUM(D92:D94)</f>
        <v>3446.9200000000083</v>
      </c>
      <c r="E95" s="14"/>
      <c r="F95" s="32">
        <f>IF(D$12=0,0,D95/D$12)</f>
        <v>0.26625099547123415</v>
      </c>
      <c r="G95" s="14"/>
      <c r="H95" s="33">
        <f>SUM(H92:H94)</f>
        <v>9421.7928085076564</v>
      </c>
      <c r="I95" s="14"/>
      <c r="J95" s="32">
        <f>IF(H$12=0,0,H95/H$12)</f>
        <v>0.21911146066296874</v>
      </c>
      <c r="K95" s="15"/>
      <c r="L95" s="33">
        <f>+D95-H95</f>
        <v>-5974.8728085076482</v>
      </c>
      <c r="M95" s="15"/>
      <c r="N95" s="32">
        <f>IF(H95=0,0,L95/H95)</f>
        <v>-0.63415455316662017</v>
      </c>
      <c r="O95" s="29"/>
      <c r="P95" s="33">
        <f>SUM(P92:P94)</f>
        <v>-110590.55</v>
      </c>
      <c r="Q95" s="14"/>
      <c r="R95" s="32">
        <f>IF(P$12=0,0,P95/P$12)</f>
        <v>-0.86640098944240151</v>
      </c>
      <c r="S95" s="14"/>
      <c r="T95" s="33">
        <f>SUM(T92:T94)</f>
        <v>41452.069231592002</v>
      </c>
      <c r="U95" s="14"/>
      <c r="V95" s="32">
        <f>IF(T$12=0,0,T95/T$12)</f>
        <v>0.10691431350404036</v>
      </c>
      <c r="W95" s="15"/>
      <c r="X95" s="33">
        <f>+P95-T95</f>
        <v>-152042.61923159199</v>
      </c>
      <c r="Y95" s="15"/>
      <c r="Z95" s="32">
        <f>IF(T95=0,0,X95/T95)</f>
        <v>-3.6679138593089884</v>
      </c>
    </row>
    <row r="96" spans="1:26" ht="15.75" thickTop="1" x14ac:dyDescent="0.25">
      <c r="A96" s="9"/>
      <c r="C96" s="9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60">
        <v>44356.891790312497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5" t="s">
        <v>56</v>
      </c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A99" s="9"/>
      <c r="B99" s="63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4" x14ac:dyDescent="0.25"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","316", " - ", "Campus Copy Center")</f>
        <v>Department 316 - Campus Copy Center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12946.13</v>
      </c>
      <c r="E12" s="4"/>
      <c r="F12" s="12"/>
      <c r="G12" s="4"/>
      <c r="H12" s="4">
        <f>SUM(OSRRefH13x_0)</f>
        <v>43000</v>
      </c>
      <c r="I12" s="4"/>
      <c r="J12" s="12"/>
      <c r="K12" s="4"/>
      <c r="L12" s="4">
        <f t="shared" ref="L12:L24" si="0">+D12-H12</f>
        <v>-30053.870000000003</v>
      </c>
      <c r="M12" s="4"/>
      <c r="N12" s="12">
        <f t="shared" ref="N12:N24" si="1">IF(H12=0,0,L12/H12)</f>
        <v>-0.69892720930232566</v>
      </c>
      <c r="O12" s="10"/>
      <c r="P12" s="4">
        <f>SUM(OSRRefP13x_0)</f>
        <v>127643.60999999999</v>
      </c>
      <c r="Q12" s="4"/>
      <c r="R12" s="12"/>
      <c r="S12" s="4"/>
      <c r="T12" s="4">
        <f>SUM(OSRRefT13x_0)</f>
        <v>387713</v>
      </c>
      <c r="U12" s="4"/>
      <c r="V12" s="12"/>
      <c r="W12" s="4"/>
      <c r="X12" s="4">
        <f t="shared" ref="X12:X24" si="2">+P12-T12</f>
        <v>-260069.39</v>
      </c>
      <c r="Y12" s="4"/>
      <c r="Z12" s="12">
        <f t="shared" ref="Z12:Z24" si="3">IF(T12=0,0,X12/T12)</f>
        <v>-0.67077810132752835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</f>
        <v>-1</v>
      </c>
      <c r="E13" s="2"/>
      <c r="F13" s="19"/>
      <c r="G13" s="2"/>
      <c r="H13" s="2">
        <v>18000</v>
      </c>
      <c r="I13" s="2"/>
      <c r="J13" s="19"/>
      <c r="K13" s="2"/>
      <c r="L13" s="2">
        <f t="shared" si="0"/>
        <v>-18001</v>
      </c>
      <c r="M13" s="2"/>
      <c r="N13" s="19">
        <f t="shared" si="1"/>
        <v>-1.0000555555555555</v>
      </c>
      <c r="O13" s="11"/>
      <c r="P13" s="2">
        <f>-10.28</f>
        <v>-10.28</v>
      </c>
      <c r="Q13" s="2"/>
      <c r="R13" s="19"/>
      <c r="S13" s="2"/>
      <c r="T13" s="2">
        <v>255213</v>
      </c>
      <c r="U13" s="2"/>
      <c r="V13" s="19"/>
      <c r="W13" s="2"/>
      <c r="X13" s="2">
        <f t="shared" si="2"/>
        <v>-255223.28</v>
      </c>
      <c r="Y13" s="2"/>
      <c r="Z13" s="19">
        <f t="shared" si="3"/>
        <v>-1.0000402800797765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--381.55</f>
        <v>381.55</v>
      </c>
      <c r="E14" s="2"/>
      <c r="F14" s="19"/>
      <c r="G14" s="2"/>
      <c r="H14" s="2"/>
      <c r="I14" s="2"/>
      <c r="J14" s="19"/>
      <c r="K14" s="2"/>
      <c r="L14" s="2">
        <f t="shared" si="0"/>
        <v>381.55</v>
      </c>
      <c r="M14" s="2"/>
      <c r="N14" s="19">
        <f t="shared" si="1"/>
        <v>0</v>
      </c>
      <c r="O14" s="11"/>
      <c r="P14" s="2">
        <f>--93301.72</f>
        <v>93301.72</v>
      </c>
      <c r="Q14" s="2"/>
      <c r="R14" s="19"/>
      <c r="S14" s="2"/>
      <c r="T14" s="2"/>
      <c r="U14" s="2"/>
      <c r="V14" s="19"/>
      <c r="W14" s="2"/>
      <c r="X14" s="2">
        <f t="shared" si="2"/>
        <v>93301.72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--1225.83</f>
        <v>1225.83</v>
      </c>
      <c r="E15" s="2"/>
      <c r="F15" s="19"/>
      <c r="G15" s="2"/>
      <c r="H15" s="2"/>
      <c r="I15" s="2"/>
      <c r="J15" s="19"/>
      <c r="K15" s="2"/>
      <c r="L15" s="2">
        <f t="shared" si="0"/>
        <v>1225.83</v>
      </c>
      <c r="M15" s="2"/>
      <c r="N15" s="19">
        <f t="shared" si="1"/>
        <v>0</v>
      </c>
      <c r="O15" s="11"/>
      <c r="P15" s="2">
        <f>--18325.67</f>
        <v>18325.669999999998</v>
      </c>
      <c r="Q15" s="2"/>
      <c r="R15" s="19"/>
      <c r="S15" s="2"/>
      <c r="T15" s="2"/>
      <c r="U15" s="2"/>
      <c r="V15" s="19"/>
      <c r="W15" s="2"/>
      <c r="X15" s="2">
        <f t="shared" si="2"/>
        <v>18325.669999999998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--9.47</f>
        <v>9.4700000000000006</v>
      </c>
      <c r="E16" s="2"/>
      <c r="F16" s="19"/>
      <c r="G16" s="2"/>
      <c r="H16" s="2"/>
      <c r="I16" s="2"/>
      <c r="J16" s="19"/>
      <c r="K16" s="2"/>
      <c r="L16" s="2">
        <f t="shared" si="0"/>
        <v>9.4700000000000006</v>
      </c>
      <c r="M16" s="2"/>
      <c r="N16" s="19">
        <f t="shared" si="1"/>
        <v>0</v>
      </c>
      <c r="O16" s="11"/>
      <c r="P16" s="2">
        <f>--62.15</f>
        <v>62.15</v>
      </c>
      <c r="Q16" s="2"/>
      <c r="R16" s="19"/>
      <c r="S16" s="2"/>
      <c r="T16" s="2"/>
      <c r="U16" s="2"/>
      <c r="V16" s="19"/>
      <c r="W16" s="2"/>
      <c r="X16" s="2">
        <f t="shared" si="2"/>
        <v>62.15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"4095", " - ", "TAXABLE SALES-CUSTOMER SERVICE")</f>
        <v xml:space="preserve">          4095 - TAXABLE SALES-CUSTOMER SERVICE</v>
      </c>
      <c r="C17" s="11"/>
      <c r="D17" s="2">
        <f>--10891.24</f>
        <v>10891.24</v>
      </c>
      <c r="E17" s="2"/>
      <c r="F17" s="19"/>
      <c r="G17" s="2"/>
      <c r="H17" s="2"/>
      <c r="I17" s="2"/>
      <c r="J17" s="19"/>
      <c r="K17" s="2"/>
      <c r="L17" s="2">
        <f t="shared" si="0"/>
        <v>10891.24</v>
      </c>
      <c r="M17" s="2"/>
      <c r="N17" s="19">
        <f t="shared" si="1"/>
        <v>0</v>
      </c>
      <c r="O17" s="11"/>
      <c r="P17" s="2">
        <f>--13925.83</f>
        <v>13925.83</v>
      </c>
      <c r="Q17" s="2"/>
      <c r="R17" s="19"/>
      <c r="S17" s="2"/>
      <c r="T17" s="2"/>
      <c r="U17" s="2"/>
      <c r="V17" s="19"/>
      <c r="W17" s="2"/>
      <c r="X17" s="2">
        <f t="shared" si="2"/>
        <v>13925.83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>0</f>
        <v>0</v>
      </c>
      <c r="E18" s="2"/>
      <c r="F18" s="19"/>
      <c r="G18" s="2"/>
      <c r="H18" s="2">
        <v>25000</v>
      </c>
      <c r="I18" s="2"/>
      <c r="J18" s="19"/>
      <c r="K18" s="2"/>
      <c r="L18" s="2">
        <f t="shared" si="0"/>
        <v>-25000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132500</v>
      </c>
      <c r="U18" s="2"/>
      <c r="V18" s="19"/>
      <c r="W18" s="2"/>
      <c r="X18" s="2">
        <f t="shared" si="2"/>
        <v>-132500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>--476.8</f>
        <v>476.8</v>
      </c>
      <c r="E19" s="2"/>
      <c r="F19" s="19"/>
      <c r="G19" s="2"/>
      <c r="H19" s="2"/>
      <c r="I19" s="2"/>
      <c r="J19" s="19"/>
      <c r="K19" s="2"/>
      <c r="L19" s="2">
        <f t="shared" si="0"/>
        <v>476.8</v>
      </c>
      <c r="M19" s="2"/>
      <c r="N19" s="19">
        <f t="shared" si="1"/>
        <v>0</v>
      </c>
      <c r="O19" s="11"/>
      <c r="P19" s="2">
        <f>--1756.04</f>
        <v>1756.04</v>
      </c>
      <c r="Q19" s="2"/>
      <c r="R19" s="19"/>
      <c r="S19" s="2"/>
      <c r="T19" s="2"/>
      <c r="U19" s="2"/>
      <c r="V19" s="19"/>
      <c r="W19" s="2"/>
      <c r="X19" s="2">
        <f t="shared" si="2"/>
        <v>1756.04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--4.39</f>
        <v>4.3899999999999997</v>
      </c>
      <c r="E20" s="2"/>
      <c r="F20" s="19"/>
      <c r="G20" s="2"/>
      <c r="H20" s="2"/>
      <c r="I20" s="2"/>
      <c r="J20" s="19"/>
      <c r="K20" s="2"/>
      <c r="L20" s="2">
        <f t="shared" si="0"/>
        <v>4.3899999999999997</v>
      </c>
      <c r="M20" s="2"/>
      <c r="N20" s="19">
        <f t="shared" si="1"/>
        <v>0</v>
      </c>
      <c r="O20" s="11"/>
      <c r="P20" s="2">
        <f>--1137.08</f>
        <v>1137.08</v>
      </c>
      <c r="Q20" s="2"/>
      <c r="R20" s="19"/>
      <c r="S20" s="2"/>
      <c r="T20" s="2"/>
      <c r="U20" s="2"/>
      <c r="V20" s="19"/>
      <c r="W20" s="2"/>
      <c r="X20" s="2">
        <f t="shared" si="2"/>
        <v>1137.08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--56.6</f>
        <v>56.6</v>
      </c>
      <c r="E21" s="2"/>
      <c r="F21" s="19"/>
      <c r="G21" s="2"/>
      <c r="H21" s="2"/>
      <c r="I21" s="2"/>
      <c r="J21" s="19"/>
      <c r="K21" s="2"/>
      <c r="L21" s="2">
        <f t="shared" si="0"/>
        <v>56.6</v>
      </c>
      <c r="M21" s="2"/>
      <c r="N21" s="19">
        <f t="shared" si="1"/>
        <v>0</v>
      </c>
      <c r="O21" s="11"/>
      <c r="P21" s="2">
        <f>--385.9</f>
        <v>385.9</v>
      </c>
      <c r="Q21" s="2"/>
      <c r="R21" s="19"/>
      <c r="S21" s="2"/>
      <c r="T21" s="2"/>
      <c r="U21" s="2"/>
      <c r="V21" s="19"/>
      <c r="W21" s="2"/>
      <c r="X21" s="2">
        <f t="shared" si="2"/>
        <v>385.9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--13.5</f>
        <v>13.5</v>
      </c>
      <c r="E22" s="2"/>
      <c r="F22" s="19"/>
      <c r="G22" s="2"/>
      <c r="H22" s="2"/>
      <c r="I22" s="2"/>
      <c r="J22" s="19"/>
      <c r="K22" s="2"/>
      <c r="L22" s="2">
        <f t="shared" si="0"/>
        <v>13.5</v>
      </c>
      <c r="M22" s="2"/>
      <c r="N22" s="19">
        <f t="shared" si="1"/>
        <v>0</v>
      </c>
      <c r="O22" s="11"/>
      <c r="P22" s="2">
        <f>--168</f>
        <v>168</v>
      </c>
      <c r="Q22" s="2"/>
      <c r="R22" s="19"/>
      <c r="S22" s="2"/>
      <c r="T22" s="2"/>
      <c r="U22" s="2"/>
      <c r="V22" s="19"/>
      <c r="W22" s="2"/>
      <c r="X22" s="2">
        <f t="shared" si="2"/>
        <v>168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-7.95</f>
        <v>-7.95</v>
      </c>
      <c r="E23" s="2"/>
      <c r="F23" s="19"/>
      <c r="G23" s="2"/>
      <c r="H23" s="2"/>
      <c r="I23" s="2"/>
      <c r="J23" s="19"/>
      <c r="K23" s="2"/>
      <c r="L23" s="2">
        <f t="shared" si="0"/>
        <v>-7.95</v>
      </c>
      <c r="M23" s="2"/>
      <c r="N23" s="19">
        <f t="shared" si="1"/>
        <v>0</v>
      </c>
      <c r="O23" s="11"/>
      <c r="P23" s="2">
        <f>-1293</f>
        <v>-1293</v>
      </c>
      <c r="Q23" s="2"/>
      <c r="R23" s="19"/>
      <c r="S23" s="2"/>
      <c r="T23" s="2"/>
      <c r="U23" s="2"/>
      <c r="V23" s="19"/>
      <c r="W23" s="2"/>
      <c r="X23" s="2">
        <f t="shared" si="2"/>
        <v>-1293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>-104.3</f>
        <v>-104.3</v>
      </c>
      <c r="E24" s="2"/>
      <c r="F24" s="19"/>
      <c r="G24" s="2"/>
      <c r="H24" s="2"/>
      <c r="I24" s="2"/>
      <c r="J24" s="19"/>
      <c r="K24" s="2"/>
      <c r="L24" s="2">
        <f t="shared" si="0"/>
        <v>-104.3</v>
      </c>
      <c r="M24" s="2"/>
      <c r="N24" s="19">
        <f t="shared" si="1"/>
        <v>0</v>
      </c>
      <c r="O24" s="11"/>
      <c r="P24" s="2">
        <f>-115.5</f>
        <v>-115.5</v>
      </c>
      <c r="Q24" s="2"/>
      <c r="R24" s="19"/>
      <c r="S24" s="2"/>
      <c r="T24" s="2"/>
      <c r="U24" s="2"/>
      <c r="V24" s="19"/>
      <c r="W24" s="2"/>
      <c r="X24" s="2">
        <f t="shared" si="2"/>
        <v>-115.5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9" t="s">
        <v>257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108</v>
      </c>
      <c r="C28" s="28"/>
      <c r="D28" s="20">
        <f>D12-D26</f>
        <v>12946.13</v>
      </c>
      <c r="E28" s="14"/>
      <c r="F28" s="21">
        <f>IF(D$12=0,0,D28/D$12)</f>
        <v>1</v>
      </c>
      <c r="G28" s="14"/>
      <c r="H28" s="20">
        <f>H12-H26</f>
        <v>43000</v>
      </c>
      <c r="I28" s="14"/>
      <c r="J28" s="21">
        <f>IF(H$12=0,0,H28/H$12)</f>
        <v>1</v>
      </c>
      <c r="K28" s="15"/>
      <c r="L28" s="20">
        <f>+D28-H28</f>
        <v>-30053.870000000003</v>
      </c>
      <c r="M28" s="15"/>
      <c r="N28" s="21">
        <f>IF(H28=0,0,L28/H28)</f>
        <v>-0.69892720930232566</v>
      </c>
      <c r="O28" s="29"/>
      <c r="P28" s="20">
        <f>P12-P26</f>
        <v>127643.60999999999</v>
      </c>
      <c r="Q28" s="14"/>
      <c r="R28" s="21">
        <f>IF(P$12=0,0,P28/P$12)</f>
        <v>1</v>
      </c>
      <c r="S28" s="14"/>
      <c r="T28" s="20">
        <f>T12-T26</f>
        <v>387713</v>
      </c>
      <c r="U28" s="14"/>
      <c r="V28" s="21">
        <f>IF(T$12=0,0,T28/T$12)</f>
        <v>1</v>
      </c>
      <c r="W28" s="15"/>
      <c r="X28" s="20">
        <f>+P28-T28</f>
        <v>-260069.39</v>
      </c>
      <c r="Y28" s="15"/>
      <c r="Z28" s="21">
        <f>IF(T28=0,0,X28/T28)</f>
        <v>-0.67077810132752835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295</v>
      </c>
      <c r="C30" s="10"/>
      <c r="D30" s="22">
        <f>SUM(OSRRefD22x_0)</f>
        <v>13000.159999999991</v>
      </c>
      <c r="E30" s="22"/>
      <c r="F30" s="31">
        <f t="shared" ref="F30:F40" si="4">IF(D$12=0,0,D30/D$12)</f>
        <v>1.0041734479724822</v>
      </c>
      <c r="G30" s="22"/>
      <c r="H30" s="22">
        <f>SUM(OSRRefH22x_0)</f>
        <v>31319.207191492344</v>
      </c>
      <c r="I30" s="22"/>
      <c r="J30" s="31">
        <f t="shared" ref="J30:J40" si="5">IF(H$12=0,0,H30/H$12)</f>
        <v>0.72835365561610099</v>
      </c>
      <c r="K30" s="4"/>
      <c r="L30" s="22">
        <f t="shared" ref="L30:L40" si="6">+D30-H30</f>
        <v>-18319.047191492355</v>
      </c>
      <c r="M30" s="4"/>
      <c r="N30" s="31">
        <f t="shared" ref="N30:N40" si="7">IF(H30=0,0,L30/H30)</f>
        <v>-0.58491414164751276</v>
      </c>
      <c r="O30" s="10"/>
      <c r="P30" s="22">
        <f>SUM(OSRRefP22x_0)</f>
        <v>285559.93</v>
      </c>
      <c r="Q30" s="22"/>
      <c r="R30" s="31">
        <f t="shared" ref="R30:R40" si="8">IF(P$12=0,0,P30/P$12)</f>
        <v>2.2371658871133464</v>
      </c>
      <c r="S30" s="22"/>
      <c r="T30" s="22">
        <f>SUM(OSRRefT22x_0)</f>
        <v>350309.930768408</v>
      </c>
      <c r="U30" s="22"/>
      <c r="V30" s="31">
        <f t="shared" ref="V30:V40" si="9">IF(T$12=0,0,T30/T$12)</f>
        <v>0.90352897831232892</v>
      </c>
      <c r="W30" s="4"/>
      <c r="X30" s="22">
        <f t="shared" ref="X30:X40" si="10">+P30-T30</f>
        <v>-64750.000768408005</v>
      </c>
      <c r="Y30" s="4"/>
      <c r="Z30" s="31">
        <f t="shared" ref="Z30:Z40" si="11">IF(T30=0,0,X30/T30)</f>
        <v>-0.18483632658194502</v>
      </c>
    </row>
    <row r="31" spans="1:26" s="27" customFormat="1" outlineLevel="1" collapsed="1" x14ac:dyDescent="0.25">
      <c r="A31" s="26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9093.39</v>
      </c>
      <c r="E31" s="1"/>
      <c r="F31" s="5">
        <f t="shared" si="4"/>
        <v>0.70240218505452978</v>
      </c>
      <c r="G31" s="1"/>
      <c r="H31" s="1">
        <f>SUM(OSRRefH22_0x_0)</f>
        <v>6430.6986299538439</v>
      </c>
      <c r="I31" s="1"/>
      <c r="J31" s="5">
        <f t="shared" si="5"/>
        <v>0.14955113092915917</v>
      </c>
      <c r="K31" s="1"/>
      <c r="L31" s="1">
        <f t="shared" si="6"/>
        <v>2662.6913700461555</v>
      </c>
      <c r="M31" s="1"/>
      <c r="N31" s="5">
        <f t="shared" si="7"/>
        <v>0.41405942390823358</v>
      </c>
      <c r="O31" s="13"/>
      <c r="P31" s="1">
        <f>SUM(OSRRefP22_0x_0)</f>
        <v>103991.72000000002</v>
      </c>
      <c r="Q31" s="1"/>
      <c r="R31" s="5">
        <f t="shared" si="8"/>
        <v>0.81470368943654936</v>
      </c>
      <c r="S31" s="1"/>
      <c r="T31" s="1">
        <f>SUM(OSRRefT22_0x_0)</f>
        <v>74120.828029946031</v>
      </c>
      <c r="U31" s="1"/>
      <c r="V31" s="5">
        <f t="shared" si="9"/>
        <v>0.19117447191594306</v>
      </c>
      <c r="W31" s="1"/>
      <c r="X31" s="1">
        <f t="shared" si="10"/>
        <v>29870.891970053985</v>
      </c>
      <c r="Y31" s="1"/>
      <c r="Z31" s="5">
        <f t="shared" si="11"/>
        <v>0.4030026750103986</v>
      </c>
    </row>
    <row r="32" spans="1:26" s="24" customFormat="1" hidden="1" outlineLevel="2" x14ac:dyDescent="0.25">
      <c r="A32" s="25"/>
      <c r="B32" s="11" t="str">
        <f>CONCATENATE("          ", "6111", " - ", "F.I.C.A.")</f>
        <v xml:space="preserve">          6111 - F.I.C.A.</v>
      </c>
      <c r="C32" s="11"/>
      <c r="D32" s="7">
        <v>1240.76</v>
      </c>
      <c r="E32" s="2"/>
      <c r="F32" s="6">
        <f t="shared" si="4"/>
        <v>9.584022406696055E-2</v>
      </c>
      <c r="G32" s="2"/>
      <c r="H32" s="7">
        <v>1068.6674513769201</v>
      </c>
      <c r="I32" s="2"/>
      <c r="J32" s="6">
        <f t="shared" si="5"/>
        <v>2.4852731427370236E-2</v>
      </c>
      <c r="K32" s="2"/>
      <c r="L32" s="7">
        <f t="shared" si="6"/>
        <v>172.09254862307989</v>
      </c>
      <c r="M32" s="2"/>
      <c r="N32" s="6">
        <f t="shared" si="7"/>
        <v>0.16103470579303972</v>
      </c>
      <c r="O32" s="11"/>
      <c r="P32" s="7">
        <v>14531.78</v>
      </c>
      <c r="Q32" s="2"/>
      <c r="R32" s="6">
        <f t="shared" si="8"/>
        <v>0.11384651374244274</v>
      </c>
      <c r="S32" s="2"/>
      <c r="T32" s="7">
        <v>12556.230946522999</v>
      </c>
      <c r="U32" s="2"/>
      <c r="V32" s="6">
        <f t="shared" si="9"/>
        <v>3.2385375126763864E-2</v>
      </c>
      <c r="W32" s="2"/>
      <c r="X32" s="7">
        <f t="shared" si="10"/>
        <v>1975.5490534770015</v>
      </c>
      <c r="Y32" s="2"/>
      <c r="Z32" s="6">
        <f t="shared" si="11"/>
        <v>0.1573361514208258</v>
      </c>
    </row>
    <row r="33" spans="1:26" s="24" customFormat="1" hidden="1" outlineLevel="2" x14ac:dyDescent="0.25">
      <c r="A33" s="25"/>
      <c r="B33" s="11" t="str">
        <f>CONCATENATE("          ", "6112", " - ", "COMPENSATION INSURANCE")</f>
        <v xml:space="preserve">          6112 - COMPENSATION INSURANCE</v>
      </c>
      <c r="C33" s="11"/>
      <c r="D33" s="7">
        <v>475.52</v>
      </c>
      <c r="E33" s="2"/>
      <c r="F33" s="6">
        <f t="shared" si="4"/>
        <v>3.6730667774848548E-2</v>
      </c>
      <c r="G33" s="2"/>
      <c r="H33" s="7">
        <v>279.58879942307698</v>
      </c>
      <c r="I33" s="2"/>
      <c r="J33" s="6">
        <f t="shared" si="5"/>
        <v>6.5020651028622556E-3</v>
      </c>
      <c r="K33" s="2"/>
      <c r="L33" s="7">
        <f t="shared" si="6"/>
        <v>195.931200576923</v>
      </c>
      <c r="M33" s="2"/>
      <c r="N33" s="6">
        <f t="shared" si="7"/>
        <v>0.7007834397558883</v>
      </c>
      <c r="O33" s="11"/>
      <c r="P33" s="7">
        <v>3812.67</v>
      </c>
      <c r="Q33" s="2"/>
      <c r="R33" s="6">
        <f t="shared" si="8"/>
        <v>2.9869650349124414E-2</v>
      </c>
      <c r="S33" s="2"/>
      <c r="T33" s="7">
        <v>3294.38291057692</v>
      </c>
      <c r="U33" s="2"/>
      <c r="V33" s="6">
        <f t="shared" si="9"/>
        <v>8.4969627290725873E-3</v>
      </c>
      <c r="W33" s="2"/>
      <c r="X33" s="7">
        <f t="shared" si="10"/>
        <v>518.28708942308003</v>
      </c>
      <c r="Y33" s="2"/>
      <c r="Z33" s="6">
        <f t="shared" si="11"/>
        <v>0.1573244833680601</v>
      </c>
    </row>
    <row r="34" spans="1:26" s="24" customFormat="1" hidden="1" outlineLevel="2" x14ac:dyDescent="0.25">
      <c r="A34" s="25"/>
      <c r="B34" s="11" t="str">
        <f>CONCATENATE("          ", "6113", " - ", "GROUP INSURANCE")</f>
        <v xml:space="preserve">          6113 - GROUP INSURANCE</v>
      </c>
      <c r="C34" s="11"/>
      <c r="D34" s="7">
        <v>3421.48</v>
      </c>
      <c r="E34" s="2"/>
      <c r="F34" s="6">
        <f t="shared" si="4"/>
        <v>0.26428592946309054</v>
      </c>
      <c r="G34" s="2"/>
      <c r="H34" s="7">
        <v>2645</v>
      </c>
      <c r="I34" s="2"/>
      <c r="J34" s="6">
        <f t="shared" si="5"/>
        <v>6.1511627906976743E-2</v>
      </c>
      <c r="K34" s="2"/>
      <c r="L34" s="7">
        <f t="shared" si="6"/>
        <v>776.48</v>
      </c>
      <c r="M34" s="2"/>
      <c r="N34" s="6">
        <f t="shared" si="7"/>
        <v>0.29356521739130437</v>
      </c>
      <c r="O34" s="11"/>
      <c r="P34" s="7">
        <v>39478.730000000003</v>
      </c>
      <c r="Q34" s="2"/>
      <c r="R34" s="6">
        <f t="shared" si="8"/>
        <v>0.30928872976876798</v>
      </c>
      <c r="S34" s="2"/>
      <c r="T34" s="7">
        <v>29095</v>
      </c>
      <c r="U34" s="2"/>
      <c r="V34" s="6">
        <f t="shared" si="9"/>
        <v>7.5042621733086068E-2</v>
      </c>
      <c r="W34" s="2"/>
      <c r="X34" s="7">
        <f t="shared" si="10"/>
        <v>10383.730000000003</v>
      </c>
      <c r="Y34" s="2"/>
      <c r="Z34" s="6">
        <f t="shared" si="11"/>
        <v>0.35689053101907553</v>
      </c>
    </row>
    <row r="35" spans="1:26" s="24" customFormat="1" hidden="1" outlineLevel="2" x14ac:dyDescent="0.25">
      <c r="A35" s="25"/>
      <c r="B35" s="11" t="str">
        <f>CONCATENATE("          ", "6114", " - ", "STATE UNEMPLOYMENT INSURANCE")</f>
        <v xml:space="preserve">          6114 - STATE UNEMPLOYMENT INSURANCE</v>
      </c>
      <c r="C35" s="11"/>
      <c r="D35" s="7">
        <v>66.83</v>
      </c>
      <c r="E35" s="2"/>
      <c r="F35" s="6">
        <f t="shared" si="4"/>
        <v>5.1621604294101791E-3</v>
      </c>
      <c r="G35" s="2"/>
      <c r="H35" s="7">
        <v>43.966073000000002</v>
      </c>
      <c r="I35" s="2"/>
      <c r="J35" s="6">
        <f t="shared" si="5"/>
        <v>1.0224668139534885E-3</v>
      </c>
      <c r="K35" s="2"/>
      <c r="L35" s="7">
        <f t="shared" si="6"/>
        <v>22.863926999999997</v>
      </c>
      <c r="M35" s="2"/>
      <c r="N35" s="6">
        <f t="shared" si="7"/>
        <v>0.52003568751750917</v>
      </c>
      <c r="O35" s="11"/>
      <c r="P35" s="7">
        <v>535.82000000000005</v>
      </c>
      <c r="Q35" s="2"/>
      <c r="R35" s="6">
        <f t="shared" si="8"/>
        <v>4.1977816202471872E-3</v>
      </c>
      <c r="S35" s="2"/>
      <c r="T35" s="7">
        <v>508.24849899999998</v>
      </c>
      <c r="U35" s="2"/>
      <c r="V35" s="6">
        <f t="shared" si="9"/>
        <v>1.3108884638895265E-3</v>
      </c>
      <c r="W35" s="2"/>
      <c r="X35" s="7">
        <f t="shared" si="10"/>
        <v>27.571501000000069</v>
      </c>
      <c r="Y35" s="2"/>
      <c r="Z35" s="6">
        <f t="shared" si="11"/>
        <v>5.4248071670153754E-2</v>
      </c>
    </row>
    <row r="36" spans="1:26" s="24" customFormat="1" hidden="1" outlineLevel="2" x14ac:dyDescent="0.25">
      <c r="A36" s="25"/>
      <c r="B36" s="11" t="str">
        <f>CONCATENATE("          ", "6115", " - ", "P.E.R.S.")</f>
        <v xml:space="preserve">          6115 - P.E.R.S.</v>
      </c>
      <c r="C36" s="11"/>
      <c r="D36" s="7">
        <v>1614.41</v>
      </c>
      <c r="E36" s="2"/>
      <c r="F36" s="6">
        <f t="shared" si="4"/>
        <v>0.1247021310615605</v>
      </c>
      <c r="G36" s="2"/>
      <c r="H36" s="7">
        <v>991.92684461538499</v>
      </c>
      <c r="I36" s="2"/>
      <c r="J36" s="6">
        <f t="shared" si="5"/>
        <v>2.3068066153846163E-2</v>
      </c>
      <c r="K36" s="2"/>
      <c r="L36" s="7">
        <f t="shared" si="6"/>
        <v>622.48315538461509</v>
      </c>
      <c r="M36" s="2"/>
      <c r="N36" s="6">
        <f t="shared" si="7"/>
        <v>0.62754945968417664</v>
      </c>
      <c r="O36" s="11"/>
      <c r="P36" s="7">
        <v>18925.89</v>
      </c>
      <c r="Q36" s="2"/>
      <c r="R36" s="6">
        <f t="shared" si="8"/>
        <v>0.14827134707330827</v>
      </c>
      <c r="S36" s="2"/>
      <c r="T36" s="7">
        <v>11903.122135384599</v>
      </c>
      <c r="U36" s="2"/>
      <c r="V36" s="6">
        <f t="shared" si="9"/>
        <v>3.0700858973995195E-2</v>
      </c>
      <c r="W36" s="2"/>
      <c r="X36" s="7">
        <f t="shared" si="10"/>
        <v>7022.7678646154</v>
      </c>
      <c r="Y36" s="2"/>
      <c r="Z36" s="6">
        <f t="shared" si="11"/>
        <v>0.58999376673945958</v>
      </c>
    </row>
    <row r="37" spans="1:26" s="24" customFormat="1" hidden="1" outlineLevel="2" x14ac:dyDescent="0.25">
      <c r="A37" s="25"/>
      <c r="B37" s="11" t="str">
        <f>CONCATENATE("          ", "6116", " - ", "EDUCATIONAL BENEFITS")</f>
        <v xml:space="preserve">          6116 - EDUCATIONAL BENEFITS</v>
      </c>
      <c r="C37" s="11"/>
      <c r="D37" s="7"/>
      <c r="E37" s="2"/>
      <c r="F37" s="6">
        <f t="shared" si="4"/>
        <v>0</v>
      </c>
      <c r="G37" s="2"/>
      <c r="H37" s="7">
        <v>0</v>
      </c>
      <c r="I37" s="2"/>
      <c r="J37" s="6">
        <f t="shared" si="5"/>
        <v>0</v>
      </c>
      <c r="K37" s="2"/>
      <c r="L37" s="7">
        <f t="shared" si="6"/>
        <v>0</v>
      </c>
      <c r="M37" s="2"/>
      <c r="N37" s="6">
        <f t="shared" si="7"/>
        <v>0</v>
      </c>
      <c r="O37" s="11"/>
      <c r="P37" s="7"/>
      <c r="Q37" s="2"/>
      <c r="R37" s="6">
        <f t="shared" si="8"/>
        <v>0</v>
      </c>
      <c r="S37" s="2"/>
      <c r="T37" s="7">
        <v>0</v>
      </c>
      <c r="U37" s="2"/>
      <c r="V37" s="6">
        <f t="shared" si="9"/>
        <v>0</v>
      </c>
      <c r="W37" s="2"/>
      <c r="X37" s="7">
        <f t="shared" si="10"/>
        <v>0</v>
      </c>
      <c r="Y37" s="2"/>
      <c r="Z37" s="6">
        <f t="shared" si="11"/>
        <v>0</v>
      </c>
    </row>
    <row r="38" spans="1:26" s="24" customFormat="1" hidden="1" outlineLevel="2" x14ac:dyDescent="0.25">
      <c r="A38" s="25"/>
      <c r="B38" s="11" t="str">
        <f>CONCATENATE("          ", "6118", " - ", "VACATION")</f>
        <v xml:space="preserve">          6118 - VACATION</v>
      </c>
      <c r="C38" s="11"/>
      <c r="D38" s="7">
        <v>1095.78</v>
      </c>
      <c r="E38" s="2"/>
      <c r="F38" s="6">
        <f t="shared" si="4"/>
        <v>8.4641510629045125E-2</v>
      </c>
      <c r="G38" s="2"/>
      <c r="H38" s="7">
        <v>956.61308461538499</v>
      </c>
      <c r="I38" s="2"/>
      <c r="J38" s="6">
        <f t="shared" si="5"/>
        <v>2.2246815921288025E-2</v>
      </c>
      <c r="K38" s="2"/>
      <c r="L38" s="7">
        <f t="shared" si="6"/>
        <v>139.16691538461498</v>
      </c>
      <c r="M38" s="2"/>
      <c r="N38" s="6">
        <f t="shared" si="7"/>
        <v>0.14547879139722233</v>
      </c>
      <c r="O38" s="11"/>
      <c r="P38" s="7">
        <v>14235.66</v>
      </c>
      <c r="Q38" s="2"/>
      <c r="R38" s="6">
        <f t="shared" si="8"/>
        <v>0.11152661696108408</v>
      </c>
      <c r="S38" s="2"/>
      <c r="T38" s="7">
        <v>11479.357015384599</v>
      </c>
      <c r="U38" s="2"/>
      <c r="V38" s="6">
        <f t="shared" si="9"/>
        <v>2.9607872357606268E-2</v>
      </c>
      <c r="W38" s="2"/>
      <c r="X38" s="7">
        <f t="shared" si="10"/>
        <v>2756.3029846154004</v>
      </c>
      <c r="Y38" s="2"/>
      <c r="Z38" s="6">
        <f t="shared" si="11"/>
        <v>0.24010952712084932</v>
      </c>
    </row>
    <row r="39" spans="1:26" s="24" customFormat="1" hidden="1" outlineLevel="2" x14ac:dyDescent="0.25">
      <c r="A39" s="25"/>
      <c r="B39" s="11" t="str">
        <f>CONCATENATE("          ", "6119", " - ", "SICK LEAVE")</f>
        <v xml:space="preserve">          6119 - SICK LEAVE</v>
      </c>
      <c r="C39" s="11"/>
      <c r="D39" s="7">
        <v>738.5</v>
      </c>
      <c r="E39" s="2"/>
      <c r="F39" s="6">
        <f t="shared" si="4"/>
        <v>5.7044074175062361E-2</v>
      </c>
      <c r="G39" s="2"/>
      <c r="H39" s="7">
        <v>444.93637692307698</v>
      </c>
      <c r="I39" s="2"/>
      <c r="J39" s="6">
        <f t="shared" si="5"/>
        <v>1.0347357602862255E-2</v>
      </c>
      <c r="K39" s="2"/>
      <c r="L39" s="7">
        <f t="shared" si="6"/>
        <v>293.56362307692302</v>
      </c>
      <c r="M39" s="2"/>
      <c r="N39" s="6">
        <f t="shared" si="7"/>
        <v>0.65978786699132019</v>
      </c>
      <c r="O39" s="11"/>
      <c r="P39" s="7">
        <v>8756.02</v>
      </c>
      <c r="Q39" s="2"/>
      <c r="R39" s="6">
        <f t="shared" si="8"/>
        <v>6.8597401781413117E-2</v>
      </c>
      <c r="S39" s="2"/>
      <c r="T39" s="7">
        <v>5284.4865230769201</v>
      </c>
      <c r="U39" s="2"/>
      <c r="V39" s="6">
        <f t="shared" si="9"/>
        <v>1.3629892531529559E-2</v>
      </c>
      <c r="W39" s="2"/>
      <c r="X39" s="7">
        <f t="shared" si="10"/>
        <v>3471.5334769230803</v>
      </c>
      <c r="Y39" s="2"/>
      <c r="Z39" s="6">
        <f t="shared" si="11"/>
        <v>0.65692919487317791</v>
      </c>
    </row>
    <row r="40" spans="1:26" s="24" customFormat="1" hidden="1" outlineLevel="2" x14ac:dyDescent="0.25">
      <c r="A40" s="25"/>
      <c r="B40" s="11" t="str">
        <f>CONCATENATE("          ", "6156", " - ", "EMPLOYEE MEALS")</f>
        <v xml:space="preserve">          6156 - EMPLOYEE MEALS</v>
      </c>
      <c r="C40" s="11"/>
      <c r="D40" s="7">
        <v>440.11</v>
      </c>
      <c r="E40" s="2"/>
      <c r="F40" s="6">
        <f t="shared" si="4"/>
        <v>3.3995487454552061E-2</v>
      </c>
      <c r="G40" s="2"/>
      <c r="H40" s="7"/>
      <c r="I40" s="2"/>
      <c r="J40" s="6">
        <f t="shared" si="5"/>
        <v>0</v>
      </c>
      <c r="K40" s="2"/>
      <c r="L40" s="7">
        <f t="shared" si="6"/>
        <v>440.11</v>
      </c>
      <c r="M40" s="2"/>
      <c r="N40" s="6">
        <f t="shared" si="7"/>
        <v>0</v>
      </c>
      <c r="O40" s="11"/>
      <c r="P40" s="7">
        <v>3715.15</v>
      </c>
      <c r="Q40" s="2"/>
      <c r="R40" s="6">
        <f t="shared" si="8"/>
        <v>2.9105648140161505E-2</v>
      </c>
      <c r="S40" s="2"/>
      <c r="T40" s="7"/>
      <c r="U40" s="2"/>
      <c r="V40" s="6">
        <f t="shared" si="9"/>
        <v>0</v>
      </c>
      <c r="W40" s="2"/>
      <c r="X40" s="7">
        <f t="shared" si="10"/>
        <v>3715.15</v>
      </c>
      <c r="Y40" s="2"/>
      <c r="Z40" s="6">
        <f t="shared" si="11"/>
        <v>0</v>
      </c>
    </row>
    <row r="41" spans="1:26" s="27" customFormat="1" outlineLevel="1" collapsed="1" x14ac:dyDescent="0.25">
      <c r="A41" s="26"/>
      <c r="B41" s="13" t="str">
        <f>CONCATENATE("     ","*Payroll                                          ")</f>
        <v xml:space="preserve">     *Payroll                                          </v>
      </c>
      <c r="C41" s="13"/>
      <c r="D41" s="1">
        <f>SUM(OSRRefD22_1x_0)</f>
        <v>15332.29</v>
      </c>
      <c r="E41" s="1"/>
      <c r="F41" s="5">
        <f t="shared" ref="F41:F51" si="12">IF(D$12=0,0,D41/D$12)</f>
        <v>1.184314540329813</v>
      </c>
      <c r="G41" s="1"/>
      <c r="H41" s="1">
        <f>SUM(OSRRefH22_1x_0)</f>
        <v>10197.5085615385</v>
      </c>
      <c r="I41" s="1"/>
      <c r="J41" s="5">
        <f t="shared" ref="J41:J51" si="13">IF(H$12=0,0,H41/H$12)</f>
        <v>0.23715136189624417</v>
      </c>
      <c r="K41" s="1"/>
      <c r="L41" s="1">
        <f t="shared" ref="L41:L51" si="14">+D41-H41</f>
        <v>5134.7814384615012</v>
      </c>
      <c r="M41" s="1"/>
      <c r="N41" s="5">
        <f t="shared" ref="N41:N51" si="15">IF(H41=0,0,L41/H41)</f>
        <v>0.50353293723411363</v>
      </c>
      <c r="O41" s="13"/>
      <c r="P41" s="1">
        <f>SUM(OSRRefP22_1x_0)</f>
        <v>170185.91999999998</v>
      </c>
      <c r="Q41" s="1"/>
      <c r="R41" s="5">
        <f t="shared" ref="R41:R51" si="16">IF(P$12=0,0,P41/P$12)</f>
        <v>1.3332897745527568</v>
      </c>
      <c r="S41" s="1"/>
      <c r="T41" s="1">
        <f>SUM(OSRRefT22_1x_0)</f>
        <v>122370.102738462</v>
      </c>
      <c r="U41" s="1"/>
      <c r="V41" s="5">
        <f t="shared" ref="V41:V51" si="17">IF(T$12=0,0,T41/T$12)</f>
        <v>0.31562032415333507</v>
      </c>
      <c r="W41" s="1"/>
      <c r="X41" s="1">
        <f t="shared" ref="X41:X51" si="18">+P41-T41</f>
        <v>47815.817261537988</v>
      </c>
      <c r="Y41" s="1"/>
      <c r="Z41" s="5">
        <f t="shared" ref="Z41:Z51" si="19">IF(T41=0,0,X41/T41)</f>
        <v>0.3907475452867219</v>
      </c>
    </row>
    <row r="42" spans="1:26" s="24" customFormat="1" hidden="1" outlineLevel="2" x14ac:dyDescent="0.25">
      <c r="A42" s="25"/>
      <c r="B42" s="11" t="str">
        <f>CONCATENATE("          ", "6001", " - ", "ADMINISTRATIVE SALARIES")</f>
        <v xml:space="preserve">          6001 - ADMINISTRATIVE SALARIES</v>
      </c>
      <c r="C42" s="11"/>
      <c r="D42" s="7"/>
      <c r="E42" s="2"/>
      <c r="F42" s="6">
        <f t="shared" si="12"/>
        <v>0</v>
      </c>
      <c r="G42" s="2"/>
      <c r="H42" s="7">
        <v>0</v>
      </c>
      <c r="I42" s="2"/>
      <c r="J42" s="6">
        <f t="shared" si="13"/>
        <v>0</v>
      </c>
      <c r="K42" s="2"/>
      <c r="L42" s="7">
        <f t="shared" si="14"/>
        <v>0</v>
      </c>
      <c r="M42" s="2"/>
      <c r="N42" s="6">
        <f t="shared" si="15"/>
        <v>0</v>
      </c>
      <c r="O42" s="11"/>
      <c r="P42" s="7"/>
      <c r="Q42" s="2"/>
      <c r="R42" s="6">
        <f t="shared" si="16"/>
        <v>0</v>
      </c>
      <c r="S42" s="2"/>
      <c r="T42" s="7">
        <v>0</v>
      </c>
      <c r="U42" s="2"/>
      <c r="V42" s="6">
        <f t="shared" si="17"/>
        <v>0</v>
      </c>
      <c r="W42" s="2"/>
      <c r="X42" s="7">
        <f t="shared" si="18"/>
        <v>0</v>
      </c>
      <c r="Y42" s="2"/>
      <c r="Z42" s="6">
        <f t="shared" si="19"/>
        <v>0</v>
      </c>
    </row>
    <row r="43" spans="1:26" s="24" customFormat="1" hidden="1" outlineLevel="2" x14ac:dyDescent="0.25">
      <c r="A43" s="25"/>
      <c r="B43" s="11" t="str">
        <f>CONCATENATE("          ", "6002", " - ", "STAFF SALARIES")</f>
        <v xml:space="preserve">          6002 - STAFF SALARIES</v>
      </c>
      <c r="C43" s="11"/>
      <c r="D43" s="7">
        <v>14617.17</v>
      </c>
      <c r="E43" s="2"/>
      <c r="F43" s="6">
        <f t="shared" si="12"/>
        <v>1.1290764112518568</v>
      </c>
      <c r="G43" s="2"/>
      <c r="H43" s="7">
        <v>10197.5085615385</v>
      </c>
      <c r="I43" s="2"/>
      <c r="J43" s="6">
        <f t="shared" si="13"/>
        <v>0.23715136189624417</v>
      </c>
      <c r="K43" s="2"/>
      <c r="L43" s="7">
        <f t="shared" si="14"/>
        <v>4419.6614384615004</v>
      </c>
      <c r="M43" s="2"/>
      <c r="N43" s="6">
        <f t="shared" si="15"/>
        <v>0.43340600420096193</v>
      </c>
      <c r="O43" s="11"/>
      <c r="P43" s="7">
        <v>162474.29999999999</v>
      </c>
      <c r="Q43" s="2"/>
      <c r="R43" s="6">
        <f t="shared" si="16"/>
        <v>1.2728745293242647</v>
      </c>
      <c r="S43" s="2"/>
      <c r="T43" s="7">
        <v>122370.102738462</v>
      </c>
      <c r="U43" s="2"/>
      <c r="V43" s="6">
        <f t="shared" si="17"/>
        <v>0.31562032415333507</v>
      </c>
      <c r="W43" s="2"/>
      <c r="X43" s="7">
        <f t="shared" si="18"/>
        <v>40104.197261537993</v>
      </c>
      <c r="Y43" s="2"/>
      <c r="Z43" s="6">
        <f t="shared" si="19"/>
        <v>0.3277287210198026</v>
      </c>
    </row>
    <row r="44" spans="1:26" s="24" customFormat="1" hidden="1" outlineLevel="2" x14ac:dyDescent="0.25">
      <c r="A44" s="25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12"/>
        <v>0</v>
      </c>
      <c r="G44" s="2"/>
      <c r="H44" s="7">
        <v>0</v>
      </c>
      <c r="I44" s="2"/>
      <c r="J44" s="6">
        <f t="shared" si="13"/>
        <v>0</v>
      </c>
      <c r="K44" s="2"/>
      <c r="L44" s="7">
        <f t="shared" si="14"/>
        <v>0</v>
      </c>
      <c r="M44" s="2"/>
      <c r="N44" s="6">
        <f t="shared" si="15"/>
        <v>0</v>
      </c>
      <c r="O44" s="11"/>
      <c r="P44" s="7"/>
      <c r="Q44" s="2"/>
      <c r="R44" s="6">
        <f t="shared" si="16"/>
        <v>0</v>
      </c>
      <c r="S44" s="2"/>
      <c r="T44" s="7">
        <v>0</v>
      </c>
      <c r="U44" s="2"/>
      <c r="V44" s="6">
        <f t="shared" si="17"/>
        <v>0</v>
      </c>
      <c r="W44" s="2"/>
      <c r="X44" s="7">
        <f t="shared" si="18"/>
        <v>0</v>
      </c>
      <c r="Y44" s="2"/>
      <c r="Z44" s="6">
        <f t="shared" si="19"/>
        <v>0</v>
      </c>
    </row>
    <row r="45" spans="1:26" s="24" customFormat="1" hidden="1" outlineLevel="2" x14ac:dyDescent="0.25">
      <c r="A45" s="25"/>
      <c r="B45" s="11" t="str">
        <f>CONCATENATE("          ", "6004", " - ", "STAFF HOURLY")</f>
        <v xml:space="preserve">          6004 - STAFF HOURLY</v>
      </c>
      <c r="C45" s="11"/>
      <c r="D45" s="7"/>
      <c r="E45" s="2"/>
      <c r="F45" s="6">
        <f t="shared" si="12"/>
        <v>0</v>
      </c>
      <c r="G45" s="2"/>
      <c r="H45" s="7">
        <v>0</v>
      </c>
      <c r="I45" s="2"/>
      <c r="J45" s="6">
        <f t="shared" si="13"/>
        <v>0</v>
      </c>
      <c r="K45" s="2"/>
      <c r="L45" s="7">
        <f t="shared" si="14"/>
        <v>0</v>
      </c>
      <c r="M45" s="2"/>
      <c r="N45" s="6">
        <f t="shared" si="15"/>
        <v>0</v>
      </c>
      <c r="O45" s="11"/>
      <c r="P45" s="7"/>
      <c r="Q45" s="2"/>
      <c r="R45" s="6">
        <f t="shared" si="16"/>
        <v>0</v>
      </c>
      <c r="S45" s="2"/>
      <c r="T45" s="7">
        <v>0</v>
      </c>
      <c r="U45" s="2"/>
      <c r="V45" s="6">
        <f t="shared" si="17"/>
        <v>0</v>
      </c>
      <c r="W45" s="2"/>
      <c r="X45" s="7">
        <f t="shared" si="18"/>
        <v>0</v>
      </c>
      <c r="Y45" s="2"/>
      <c r="Z45" s="6">
        <f t="shared" si="19"/>
        <v>0</v>
      </c>
    </row>
    <row r="46" spans="1:26" s="24" customFormat="1" hidden="1" outlineLevel="2" x14ac:dyDescent="0.25">
      <c r="A46" s="25"/>
      <c r="B46" s="11" t="str">
        <f>CONCATENATE("          ", "6005", " - ", "TEMPORARY WAGES-HOURLY")</f>
        <v xml:space="preserve">          6005 - TEMPORARY WAGES-HOURLY</v>
      </c>
      <c r="C46" s="11"/>
      <c r="D46" s="7"/>
      <c r="E46" s="2"/>
      <c r="F46" s="6">
        <f t="shared" si="12"/>
        <v>0</v>
      </c>
      <c r="G46" s="2"/>
      <c r="H46" s="7">
        <v>0</v>
      </c>
      <c r="I46" s="2"/>
      <c r="J46" s="6">
        <f t="shared" si="13"/>
        <v>0</v>
      </c>
      <c r="K46" s="2"/>
      <c r="L46" s="7">
        <f t="shared" si="14"/>
        <v>0</v>
      </c>
      <c r="M46" s="2"/>
      <c r="N46" s="6">
        <f t="shared" si="15"/>
        <v>0</v>
      </c>
      <c r="O46" s="11"/>
      <c r="P46" s="7">
        <v>383.25</v>
      </c>
      <c r="Q46" s="2"/>
      <c r="R46" s="6">
        <f t="shared" si="16"/>
        <v>3.0025004776972389E-3</v>
      </c>
      <c r="S46" s="2"/>
      <c r="T46" s="7">
        <v>0</v>
      </c>
      <c r="U46" s="2"/>
      <c r="V46" s="6">
        <f t="shared" si="17"/>
        <v>0</v>
      </c>
      <c r="W46" s="2"/>
      <c r="X46" s="7">
        <f t="shared" si="18"/>
        <v>383.25</v>
      </c>
      <c r="Y46" s="2"/>
      <c r="Z46" s="6">
        <f t="shared" si="19"/>
        <v>0</v>
      </c>
    </row>
    <row r="47" spans="1:26" s="24" customFormat="1" hidden="1" outlineLevel="2" x14ac:dyDescent="0.25">
      <c r="A47" s="25"/>
      <c r="B47" s="11" t="str">
        <f>CONCATENATE("          ", "6006", " - ", "TEMPORARY PART TIME")</f>
        <v xml:space="preserve">          6006 - TEMPORARY PART TIME</v>
      </c>
      <c r="C47" s="11"/>
      <c r="D47" s="7"/>
      <c r="E47" s="2"/>
      <c r="F47" s="6">
        <f t="shared" si="12"/>
        <v>0</v>
      </c>
      <c r="G47" s="2"/>
      <c r="H47" s="7">
        <v>0</v>
      </c>
      <c r="I47" s="2"/>
      <c r="J47" s="6">
        <f t="shared" si="13"/>
        <v>0</v>
      </c>
      <c r="K47" s="2"/>
      <c r="L47" s="7">
        <f t="shared" si="14"/>
        <v>0</v>
      </c>
      <c r="M47" s="2"/>
      <c r="N47" s="6">
        <f t="shared" si="15"/>
        <v>0</v>
      </c>
      <c r="O47" s="11"/>
      <c r="P47" s="7"/>
      <c r="Q47" s="2"/>
      <c r="R47" s="6">
        <f t="shared" si="16"/>
        <v>0</v>
      </c>
      <c r="S47" s="2"/>
      <c r="T47" s="7">
        <v>0</v>
      </c>
      <c r="U47" s="2"/>
      <c r="V47" s="6">
        <f t="shared" si="17"/>
        <v>0</v>
      </c>
      <c r="W47" s="2"/>
      <c r="X47" s="7">
        <f t="shared" si="18"/>
        <v>0</v>
      </c>
      <c r="Y47" s="2"/>
      <c r="Z47" s="6">
        <f t="shared" si="19"/>
        <v>0</v>
      </c>
    </row>
    <row r="48" spans="1:26" s="24" customFormat="1" hidden="1" outlineLevel="2" x14ac:dyDescent="0.25">
      <c r="A48" s="25"/>
      <c r="B48" s="11" t="str">
        <f>CONCATENATE("          ", "6007", " - ", "STUDENT HOURLY")</f>
        <v xml:space="preserve">          6007 - STUDENT HOURLY</v>
      </c>
      <c r="C48" s="11"/>
      <c r="D48" s="7">
        <v>715.12</v>
      </c>
      <c r="E48" s="2"/>
      <c r="F48" s="6">
        <f t="shared" si="12"/>
        <v>5.5238129077956118E-2</v>
      </c>
      <c r="G48" s="2"/>
      <c r="H48" s="7">
        <v>0</v>
      </c>
      <c r="I48" s="2"/>
      <c r="J48" s="6">
        <f t="shared" si="13"/>
        <v>0</v>
      </c>
      <c r="K48" s="2"/>
      <c r="L48" s="7">
        <f t="shared" si="14"/>
        <v>715.12</v>
      </c>
      <c r="M48" s="2"/>
      <c r="N48" s="6">
        <f t="shared" si="15"/>
        <v>0</v>
      </c>
      <c r="O48" s="11"/>
      <c r="P48" s="7">
        <v>7328.37</v>
      </c>
      <c r="Q48" s="2"/>
      <c r="R48" s="6">
        <f t="shared" si="16"/>
        <v>5.7412744750794817E-2</v>
      </c>
      <c r="S48" s="2"/>
      <c r="T48" s="7">
        <v>0</v>
      </c>
      <c r="U48" s="2"/>
      <c r="V48" s="6">
        <f t="shared" si="17"/>
        <v>0</v>
      </c>
      <c r="W48" s="2"/>
      <c r="X48" s="7">
        <f t="shared" si="18"/>
        <v>7328.37</v>
      </c>
      <c r="Y48" s="2"/>
      <c r="Z48" s="6">
        <f t="shared" si="19"/>
        <v>0</v>
      </c>
    </row>
    <row r="49" spans="1:26" s="24" customFormat="1" hidden="1" outlineLevel="2" x14ac:dyDescent="0.25">
      <c r="A49" s="25"/>
      <c r="B49" s="11" t="str">
        <f>CONCATENATE("          ", "6008", " - ", "STUDENT HOURLY-FICA EXEMPT")</f>
        <v xml:space="preserve">          6008 - STUDENT HOURLY-FICA EXEMPT</v>
      </c>
      <c r="C49" s="11"/>
      <c r="D49" s="7"/>
      <c r="E49" s="2"/>
      <c r="F49" s="6">
        <f t="shared" si="12"/>
        <v>0</v>
      </c>
      <c r="G49" s="2"/>
      <c r="H49" s="7">
        <v>0</v>
      </c>
      <c r="I49" s="2"/>
      <c r="J49" s="6">
        <f t="shared" si="13"/>
        <v>0</v>
      </c>
      <c r="K49" s="2"/>
      <c r="L49" s="7">
        <f t="shared" si="14"/>
        <v>0</v>
      </c>
      <c r="M49" s="2"/>
      <c r="N49" s="6">
        <f t="shared" si="15"/>
        <v>0</v>
      </c>
      <c r="O49" s="11"/>
      <c r="P49" s="7"/>
      <c r="Q49" s="2"/>
      <c r="R49" s="6">
        <f t="shared" si="16"/>
        <v>0</v>
      </c>
      <c r="S49" s="2"/>
      <c r="T49" s="7">
        <v>0</v>
      </c>
      <c r="U49" s="2"/>
      <c r="V49" s="6">
        <f t="shared" si="17"/>
        <v>0</v>
      </c>
      <c r="W49" s="2"/>
      <c r="X49" s="7">
        <f t="shared" si="18"/>
        <v>0</v>
      </c>
      <c r="Y49" s="2"/>
      <c r="Z49" s="6">
        <f t="shared" si="19"/>
        <v>0</v>
      </c>
    </row>
    <row r="50" spans="1:26" s="24" customFormat="1" hidden="1" outlineLevel="2" x14ac:dyDescent="0.25">
      <c r="A50" s="25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12"/>
        <v>0</v>
      </c>
      <c r="G50" s="2"/>
      <c r="H50" s="7">
        <v>0</v>
      </c>
      <c r="I50" s="2"/>
      <c r="J50" s="6">
        <f t="shared" si="13"/>
        <v>0</v>
      </c>
      <c r="K50" s="2"/>
      <c r="L50" s="7">
        <f t="shared" si="14"/>
        <v>0</v>
      </c>
      <c r="M50" s="2"/>
      <c r="N50" s="6">
        <f t="shared" si="15"/>
        <v>0</v>
      </c>
      <c r="O50" s="11"/>
      <c r="P50" s="7"/>
      <c r="Q50" s="2"/>
      <c r="R50" s="6">
        <f t="shared" si="16"/>
        <v>0</v>
      </c>
      <c r="S50" s="2"/>
      <c r="T50" s="7">
        <v>0</v>
      </c>
      <c r="U50" s="2"/>
      <c r="V50" s="6">
        <f t="shared" si="17"/>
        <v>0</v>
      </c>
      <c r="W50" s="2"/>
      <c r="X50" s="7">
        <f t="shared" si="18"/>
        <v>0</v>
      </c>
      <c r="Y50" s="2"/>
      <c r="Z50" s="6">
        <f t="shared" si="19"/>
        <v>0</v>
      </c>
    </row>
    <row r="51" spans="1:26" s="24" customFormat="1" hidden="1" outlineLevel="2" x14ac:dyDescent="0.25">
      <c r="A51" s="25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12"/>
        <v>0</v>
      </c>
      <c r="G51" s="2"/>
      <c r="H51" s="7">
        <v>0</v>
      </c>
      <c r="I51" s="2"/>
      <c r="J51" s="6">
        <f t="shared" si="13"/>
        <v>0</v>
      </c>
      <c r="K51" s="2"/>
      <c r="L51" s="7">
        <f t="shared" si="14"/>
        <v>0</v>
      </c>
      <c r="M51" s="2"/>
      <c r="N51" s="6">
        <f t="shared" si="15"/>
        <v>0</v>
      </c>
      <c r="O51" s="11"/>
      <c r="P51" s="7"/>
      <c r="Q51" s="2"/>
      <c r="R51" s="6">
        <f t="shared" si="16"/>
        <v>0</v>
      </c>
      <c r="S51" s="2"/>
      <c r="T51" s="7">
        <v>0</v>
      </c>
      <c r="U51" s="2"/>
      <c r="V51" s="6">
        <f t="shared" si="17"/>
        <v>0</v>
      </c>
      <c r="W51" s="2"/>
      <c r="X51" s="7">
        <f t="shared" si="18"/>
        <v>0</v>
      </c>
      <c r="Y51" s="2"/>
      <c r="Z51" s="6">
        <f t="shared" si="19"/>
        <v>0</v>
      </c>
    </row>
    <row r="52" spans="1:26" s="27" customFormat="1" outlineLevel="1" collapsed="1" x14ac:dyDescent="0.25">
      <c r="A52" s="26"/>
      <c r="B52" s="13" t="str">
        <f>CONCATENATE("     ","Advertising/Promo                                 ")</f>
        <v xml:space="preserve">     Advertising/Promo                                 </v>
      </c>
      <c r="C52" s="13"/>
      <c r="D52" s="1">
        <f>SUM(OSRRefD22_2x_0)</f>
        <v>0</v>
      </c>
      <c r="E52" s="1"/>
      <c r="F52" s="5">
        <f t="shared" ref="F52:F62" si="20">IF(D$12=0,0,D52/D$12)</f>
        <v>0</v>
      </c>
      <c r="G52" s="1"/>
      <c r="H52" s="1">
        <f>SUM(OSRRefH22_2x_0)</f>
        <v>50</v>
      </c>
      <c r="I52" s="1"/>
      <c r="J52" s="5">
        <f t="shared" ref="J52:J62" si="21">IF(H$12=0,0,H52/H$12)</f>
        <v>1.1627906976744186E-3</v>
      </c>
      <c r="K52" s="1"/>
      <c r="L52" s="1">
        <f t="shared" ref="L52:L62" si="22">+D52-H52</f>
        <v>-50</v>
      </c>
      <c r="M52" s="1"/>
      <c r="N52" s="5">
        <f t="shared" ref="N52:N62" si="23">IF(H52=0,0,L52/H52)</f>
        <v>-1</v>
      </c>
      <c r="O52" s="13"/>
      <c r="P52" s="1">
        <f>SUM(OSRRefP22_2x_0)</f>
        <v>0</v>
      </c>
      <c r="Q52" s="1"/>
      <c r="R52" s="5">
        <f t="shared" ref="R52:R62" si="24">IF(P$12=0,0,P52/P$12)</f>
        <v>0</v>
      </c>
      <c r="S52" s="1"/>
      <c r="T52" s="1">
        <f>SUM(OSRRefT22_2x_0)</f>
        <v>550</v>
      </c>
      <c r="U52" s="1"/>
      <c r="V52" s="5">
        <f t="shared" ref="V52:V62" si="25">IF(T$12=0,0,T52/T$12)</f>
        <v>1.4185750800205306E-3</v>
      </c>
      <c r="W52" s="1"/>
      <c r="X52" s="1">
        <f t="shared" ref="X52:X62" si="26">+P52-T52</f>
        <v>-550</v>
      </c>
      <c r="Y52" s="1"/>
      <c r="Z52" s="5">
        <f t="shared" ref="Z52:Z62" si="27">IF(T52=0,0,X52/T52)</f>
        <v>-1</v>
      </c>
    </row>
    <row r="53" spans="1:26" s="24" customFormat="1" hidden="1" outlineLevel="2" x14ac:dyDescent="0.25">
      <c r="A53" s="25"/>
      <c r="B53" s="11" t="str">
        <f>CONCATENATE("          ", "6362", " - ", "ADVERTISING EXPENSE")</f>
        <v xml:space="preserve">          6362 - ADVERTISING EXPENSE</v>
      </c>
      <c r="C53" s="11"/>
      <c r="D53" s="7"/>
      <c r="E53" s="2"/>
      <c r="F53" s="6">
        <f t="shared" si="20"/>
        <v>0</v>
      </c>
      <c r="G53" s="2"/>
      <c r="H53" s="7">
        <v>50</v>
      </c>
      <c r="I53" s="2"/>
      <c r="J53" s="6">
        <f t="shared" si="21"/>
        <v>1.1627906976744186E-3</v>
      </c>
      <c r="K53" s="2"/>
      <c r="L53" s="7">
        <f t="shared" si="22"/>
        <v>-50</v>
      </c>
      <c r="M53" s="2"/>
      <c r="N53" s="6">
        <f t="shared" si="23"/>
        <v>-1</v>
      </c>
      <c r="O53" s="11"/>
      <c r="P53" s="7"/>
      <c r="Q53" s="2"/>
      <c r="R53" s="6">
        <f t="shared" si="24"/>
        <v>0</v>
      </c>
      <c r="S53" s="2"/>
      <c r="T53" s="7">
        <v>550</v>
      </c>
      <c r="U53" s="2"/>
      <c r="V53" s="6">
        <f t="shared" si="25"/>
        <v>1.4185750800205306E-3</v>
      </c>
      <c r="W53" s="2"/>
      <c r="X53" s="7">
        <f t="shared" si="26"/>
        <v>-550</v>
      </c>
      <c r="Y53" s="2"/>
      <c r="Z53" s="6">
        <f t="shared" si="27"/>
        <v>-1</v>
      </c>
    </row>
    <row r="54" spans="1:26" s="27" customFormat="1" outlineLevel="1" collapsed="1" x14ac:dyDescent="0.25">
      <c r="A54" s="26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SUM(OSRRefD22_3x_0)</f>
        <v>169.88</v>
      </c>
      <c r="E54" s="1"/>
      <c r="F54" s="5">
        <f t="shared" si="20"/>
        <v>1.3122068139281778E-2</v>
      </c>
      <c r="G54" s="1"/>
      <c r="H54" s="1">
        <f>SUM(OSRRefH22_3x_0)</f>
        <v>170</v>
      </c>
      <c r="I54" s="1"/>
      <c r="J54" s="5">
        <f t="shared" si="21"/>
        <v>3.9534883720930229E-3</v>
      </c>
      <c r="K54" s="1"/>
      <c r="L54" s="1">
        <f t="shared" si="22"/>
        <v>-0.12000000000000455</v>
      </c>
      <c r="M54" s="1"/>
      <c r="N54" s="5">
        <f t="shared" si="23"/>
        <v>-7.0588235294120319E-4</v>
      </c>
      <c r="O54" s="13"/>
      <c r="P54" s="1">
        <f>SUM(OSRRefP22_3x_0)</f>
        <v>1868.68</v>
      </c>
      <c r="Q54" s="1"/>
      <c r="R54" s="5">
        <f t="shared" si="24"/>
        <v>1.463982411653823E-2</v>
      </c>
      <c r="S54" s="1"/>
      <c r="T54" s="1">
        <f>SUM(OSRRefT22_3x_0)</f>
        <v>1870</v>
      </c>
      <c r="U54" s="1"/>
      <c r="V54" s="5">
        <f t="shared" si="25"/>
        <v>4.8231552720698042E-3</v>
      </c>
      <c r="W54" s="1"/>
      <c r="X54" s="1">
        <f t="shared" si="26"/>
        <v>-1.3199999999999363</v>
      </c>
      <c r="Y54" s="1"/>
      <c r="Z54" s="5">
        <f t="shared" si="27"/>
        <v>-7.0588235294114247E-4</v>
      </c>
    </row>
    <row r="55" spans="1:26" s="24" customFormat="1" hidden="1" outlineLevel="2" x14ac:dyDescent="0.25">
      <c r="A55" s="25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169.88</v>
      </c>
      <c r="E55" s="2"/>
      <c r="F55" s="6">
        <f t="shared" si="20"/>
        <v>1.3122068139281778E-2</v>
      </c>
      <c r="G55" s="2"/>
      <c r="H55" s="7">
        <v>170</v>
      </c>
      <c r="I55" s="2"/>
      <c r="J55" s="6">
        <f t="shared" si="21"/>
        <v>3.9534883720930229E-3</v>
      </c>
      <c r="K55" s="2"/>
      <c r="L55" s="7">
        <f t="shared" si="22"/>
        <v>-0.12000000000000455</v>
      </c>
      <c r="M55" s="2"/>
      <c r="N55" s="6">
        <f t="shared" si="23"/>
        <v>-7.0588235294120319E-4</v>
      </c>
      <c r="O55" s="11"/>
      <c r="P55" s="7">
        <v>1868.68</v>
      </c>
      <c r="Q55" s="2"/>
      <c r="R55" s="6">
        <f t="shared" si="24"/>
        <v>1.463982411653823E-2</v>
      </c>
      <c r="S55" s="2"/>
      <c r="T55" s="7">
        <v>1870</v>
      </c>
      <c r="U55" s="2"/>
      <c r="V55" s="6">
        <f t="shared" si="25"/>
        <v>4.8231552720698042E-3</v>
      </c>
      <c r="W55" s="2"/>
      <c r="X55" s="7">
        <f t="shared" si="26"/>
        <v>-1.3199999999999363</v>
      </c>
      <c r="Y55" s="2"/>
      <c r="Z55" s="6">
        <f t="shared" si="27"/>
        <v>-7.0588235294114247E-4</v>
      </c>
    </row>
    <row r="56" spans="1:26" s="27" customFormat="1" outlineLevel="1" collapsed="1" x14ac:dyDescent="0.25">
      <c r="A56" s="26"/>
      <c r="B56" s="13" t="str">
        <f>CONCATENATE("     ","Discounts and Markdowns                           ")</f>
        <v xml:space="preserve">     Discounts and Markdowns                           </v>
      </c>
      <c r="C56" s="13"/>
      <c r="D56" s="1">
        <f>SUM(OSRRefD22_4x_0)</f>
        <v>0</v>
      </c>
      <c r="E56" s="1"/>
      <c r="F56" s="5">
        <f t="shared" si="20"/>
        <v>0</v>
      </c>
      <c r="G56" s="1"/>
      <c r="H56" s="1">
        <f>SUM(OSRRefH22_4x_0)</f>
        <v>50</v>
      </c>
      <c r="I56" s="1"/>
      <c r="J56" s="5">
        <f t="shared" si="21"/>
        <v>1.1627906976744186E-3</v>
      </c>
      <c r="K56" s="1"/>
      <c r="L56" s="1">
        <f t="shared" si="22"/>
        <v>-50</v>
      </c>
      <c r="M56" s="1"/>
      <c r="N56" s="5">
        <f t="shared" si="23"/>
        <v>-1</v>
      </c>
      <c r="O56" s="13"/>
      <c r="P56" s="1">
        <f>SUM(OSRRefP22_4x_0)</f>
        <v>0</v>
      </c>
      <c r="Q56" s="1"/>
      <c r="R56" s="5">
        <f t="shared" si="24"/>
        <v>0</v>
      </c>
      <c r="S56" s="1"/>
      <c r="T56" s="1">
        <f>SUM(OSRRefT22_4x_0)</f>
        <v>550</v>
      </c>
      <c r="U56" s="1"/>
      <c r="V56" s="5">
        <f t="shared" si="25"/>
        <v>1.4185750800205306E-3</v>
      </c>
      <c r="W56" s="1"/>
      <c r="X56" s="1">
        <f t="shared" si="26"/>
        <v>-550</v>
      </c>
      <c r="Y56" s="1"/>
      <c r="Z56" s="5">
        <f t="shared" si="27"/>
        <v>-1</v>
      </c>
    </row>
    <row r="57" spans="1:26" s="24" customFormat="1" hidden="1" outlineLevel="2" x14ac:dyDescent="0.25">
      <c r="A57" s="25"/>
      <c r="B57" s="11" t="str">
        <f>CONCATENATE("          ", "6382", " - ", "DISCOUNTS/MARK DOWNS")</f>
        <v xml:space="preserve">          6382 - DISCOUNTS/MARK DOWNS</v>
      </c>
      <c r="C57" s="11"/>
      <c r="D57" s="7">
        <v>0</v>
      </c>
      <c r="E57" s="2"/>
      <c r="F57" s="6">
        <f t="shared" si="20"/>
        <v>0</v>
      </c>
      <c r="G57" s="2"/>
      <c r="H57" s="7">
        <v>50</v>
      </c>
      <c r="I57" s="2"/>
      <c r="J57" s="6">
        <f t="shared" si="21"/>
        <v>1.1627906976744186E-3</v>
      </c>
      <c r="K57" s="2"/>
      <c r="L57" s="7">
        <f t="shared" si="22"/>
        <v>-50</v>
      </c>
      <c r="M57" s="2"/>
      <c r="N57" s="6">
        <f t="shared" si="23"/>
        <v>-1</v>
      </c>
      <c r="O57" s="11"/>
      <c r="P57" s="7">
        <v>0</v>
      </c>
      <c r="Q57" s="2"/>
      <c r="R57" s="6">
        <f t="shared" si="24"/>
        <v>0</v>
      </c>
      <c r="S57" s="2"/>
      <c r="T57" s="7">
        <v>550</v>
      </c>
      <c r="U57" s="2"/>
      <c r="V57" s="6">
        <f t="shared" si="25"/>
        <v>1.4185750800205306E-3</v>
      </c>
      <c r="W57" s="2"/>
      <c r="X57" s="7">
        <f t="shared" si="26"/>
        <v>-550</v>
      </c>
      <c r="Y57" s="2"/>
      <c r="Z57" s="6">
        <f t="shared" si="27"/>
        <v>-1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SUM(OSRRefD22_5x_0)</f>
        <v>1205.6400000000001</v>
      </c>
      <c r="E58" s="1"/>
      <c r="F58" s="5">
        <f t="shared" si="20"/>
        <v>9.3127444263266329E-2</v>
      </c>
      <c r="G58" s="1"/>
      <c r="H58" s="1">
        <f>SUM(OSRRefH22_5x_0)</f>
        <v>1206</v>
      </c>
      <c r="I58" s="1"/>
      <c r="J58" s="5">
        <f t="shared" si="21"/>
        <v>2.8046511627906976E-2</v>
      </c>
      <c r="K58" s="1"/>
      <c r="L58" s="1">
        <f t="shared" si="22"/>
        <v>-0.35999999999989996</v>
      </c>
      <c r="M58" s="1"/>
      <c r="N58" s="5">
        <f t="shared" si="23"/>
        <v>-2.9850746268648423E-4</v>
      </c>
      <c r="O58" s="13"/>
      <c r="P58" s="1">
        <f>SUM(OSRRefP22_5x_0)</f>
        <v>13262.04</v>
      </c>
      <c r="Q58" s="1"/>
      <c r="R58" s="5">
        <f t="shared" si="24"/>
        <v>0.1038989730860793</v>
      </c>
      <c r="S58" s="1"/>
      <c r="T58" s="1">
        <f>SUM(OSRRefT22_5x_0)</f>
        <v>13266</v>
      </c>
      <c r="U58" s="1"/>
      <c r="V58" s="5">
        <f t="shared" si="25"/>
        <v>3.4216030930095197E-2</v>
      </c>
      <c r="W58" s="1"/>
      <c r="X58" s="1">
        <f t="shared" si="26"/>
        <v>-3.9599999999991269</v>
      </c>
      <c r="Y58" s="1"/>
      <c r="Z58" s="5">
        <f t="shared" si="27"/>
        <v>-2.9850746268650136E-4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7">
        <v>1205.6400000000001</v>
      </c>
      <c r="E59" s="2"/>
      <c r="F59" s="6">
        <f t="shared" si="20"/>
        <v>9.3127444263266329E-2</v>
      </c>
      <c r="G59" s="2"/>
      <c r="H59" s="7">
        <v>1206</v>
      </c>
      <c r="I59" s="2"/>
      <c r="J59" s="6">
        <f t="shared" si="21"/>
        <v>2.8046511627906976E-2</v>
      </c>
      <c r="K59" s="2"/>
      <c r="L59" s="7">
        <f t="shared" si="22"/>
        <v>-0.35999999999989996</v>
      </c>
      <c r="M59" s="2"/>
      <c r="N59" s="6">
        <f t="shared" si="23"/>
        <v>-2.9850746268648423E-4</v>
      </c>
      <c r="O59" s="11"/>
      <c r="P59" s="7">
        <v>13262.04</v>
      </c>
      <c r="Q59" s="2"/>
      <c r="R59" s="6">
        <f t="shared" si="24"/>
        <v>0.1038989730860793</v>
      </c>
      <c r="S59" s="2"/>
      <c r="T59" s="7">
        <v>13266</v>
      </c>
      <c r="U59" s="2"/>
      <c r="V59" s="6">
        <f t="shared" si="25"/>
        <v>3.4216030930095197E-2</v>
      </c>
      <c r="W59" s="2"/>
      <c r="X59" s="7">
        <f t="shared" si="26"/>
        <v>-3.9599999999991269</v>
      </c>
      <c r="Y59" s="2"/>
      <c r="Z59" s="6">
        <f t="shared" si="27"/>
        <v>-2.9850746268650136E-4</v>
      </c>
    </row>
    <row r="60" spans="1:26" s="27" customFormat="1" outlineLevel="1" collapsed="1" x14ac:dyDescent="0.25">
      <c r="A60" s="26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SUM(OSRRefD22_6x_0)</f>
        <v>-23795.970000000005</v>
      </c>
      <c r="E60" s="1"/>
      <c r="F60" s="5">
        <f t="shared" si="20"/>
        <v>-1.8380759346615556</v>
      </c>
      <c r="G60" s="1"/>
      <c r="H60" s="1">
        <f>SUM(OSRRefH22_6x_0)</f>
        <v>-2750</v>
      </c>
      <c r="I60" s="1"/>
      <c r="J60" s="5">
        <f t="shared" si="21"/>
        <v>-6.3953488372093026E-2</v>
      </c>
      <c r="K60" s="1"/>
      <c r="L60" s="1">
        <f t="shared" si="22"/>
        <v>-21045.970000000005</v>
      </c>
      <c r="M60" s="1"/>
      <c r="N60" s="5">
        <f t="shared" si="23"/>
        <v>7.6530800000000019</v>
      </c>
      <c r="O60" s="13"/>
      <c r="P60" s="1">
        <f>SUM(OSRRefP22_6x_0)</f>
        <v>-96469.670000000013</v>
      </c>
      <c r="Q60" s="1"/>
      <c r="R60" s="5">
        <f t="shared" si="24"/>
        <v>-0.75577359493358132</v>
      </c>
      <c r="S60" s="1"/>
      <c r="T60" s="1">
        <f>SUM(OSRRefT22_6x_0)</f>
        <v>8168</v>
      </c>
      <c r="U60" s="1"/>
      <c r="V60" s="5">
        <f t="shared" si="25"/>
        <v>2.106712955201399E-2</v>
      </c>
      <c r="W60" s="1"/>
      <c r="X60" s="1">
        <f t="shared" si="26"/>
        <v>-104637.67000000001</v>
      </c>
      <c r="Y60" s="1"/>
      <c r="Z60" s="5">
        <f t="shared" si="27"/>
        <v>-12.810684378060726</v>
      </c>
    </row>
    <row r="61" spans="1:26" s="24" customFormat="1" hidden="1" outlineLevel="2" x14ac:dyDescent="0.25">
      <c r="A61" s="25"/>
      <c r="B61" s="11" t="str">
        <f>CONCATENATE("          ", "6305", " - ", "FREIGHT OUT")</f>
        <v xml:space="preserve">          6305 - FREIGHT OUT</v>
      </c>
      <c r="C61" s="11"/>
      <c r="D61" s="7">
        <v>19778.009999999998</v>
      </c>
      <c r="E61" s="2"/>
      <c r="F61" s="6">
        <f t="shared" si="20"/>
        <v>1.5277160047056533</v>
      </c>
      <c r="G61" s="2"/>
      <c r="H61" s="7">
        <v>2250</v>
      </c>
      <c r="I61" s="2"/>
      <c r="J61" s="6">
        <f t="shared" si="21"/>
        <v>5.232558139534884E-2</v>
      </c>
      <c r="K61" s="2"/>
      <c r="L61" s="7">
        <f t="shared" si="22"/>
        <v>17528.009999999998</v>
      </c>
      <c r="M61" s="2"/>
      <c r="N61" s="6">
        <f t="shared" si="23"/>
        <v>7.7902266666666655</v>
      </c>
      <c r="O61" s="11"/>
      <c r="P61" s="7">
        <v>197787.91</v>
      </c>
      <c r="Q61" s="2"/>
      <c r="R61" s="6">
        <f t="shared" si="24"/>
        <v>1.5495324051082544</v>
      </c>
      <c r="S61" s="2"/>
      <c r="T61" s="7">
        <v>37710</v>
      </c>
      <c r="U61" s="2"/>
      <c r="V61" s="6">
        <f t="shared" si="25"/>
        <v>9.7262665941044019E-2</v>
      </c>
      <c r="W61" s="2"/>
      <c r="X61" s="7">
        <f t="shared" si="26"/>
        <v>160077.91</v>
      </c>
      <c r="Y61" s="2"/>
      <c r="Z61" s="6">
        <f t="shared" si="27"/>
        <v>4.244972421108459</v>
      </c>
    </row>
    <row r="62" spans="1:26" s="24" customFormat="1" hidden="1" outlineLevel="2" x14ac:dyDescent="0.25">
      <c r="A62" s="25"/>
      <c r="B62" s="11" t="str">
        <f>CONCATENATE("          ", "6307", " - ", "POSTAGE")</f>
        <v xml:space="preserve">          6307 - POSTAGE</v>
      </c>
      <c r="C62" s="11"/>
      <c r="D62" s="7">
        <v>-43573.98</v>
      </c>
      <c r="E62" s="2"/>
      <c r="F62" s="6">
        <f t="shared" si="20"/>
        <v>-3.3657919393672091</v>
      </c>
      <c r="G62" s="2"/>
      <c r="H62" s="7">
        <v>-5000</v>
      </c>
      <c r="I62" s="2"/>
      <c r="J62" s="6">
        <f t="shared" si="21"/>
        <v>-0.11627906976744186</v>
      </c>
      <c r="K62" s="2"/>
      <c r="L62" s="7">
        <f t="shared" si="22"/>
        <v>-38573.980000000003</v>
      </c>
      <c r="M62" s="2"/>
      <c r="N62" s="6">
        <f t="shared" si="23"/>
        <v>7.7147960000000007</v>
      </c>
      <c r="O62" s="11"/>
      <c r="P62" s="7">
        <v>-294257.58</v>
      </c>
      <c r="Q62" s="2"/>
      <c r="R62" s="6">
        <f t="shared" si="24"/>
        <v>-2.3053060000418357</v>
      </c>
      <c r="S62" s="2"/>
      <c r="T62" s="7">
        <v>-29542</v>
      </c>
      <c r="U62" s="2"/>
      <c r="V62" s="6">
        <f t="shared" si="25"/>
        <v>-7.6195536389030025E-2</v>
      </c>
      <c r="W62" s="2"/>
      <c r="X62" s="7">
        <f t="shared" si="26"/>
        <v>-264715.58</v>
      </c>
      <c r="Y62" s="2"/>
      <c r="Z62" s="6">
        <f t="shared" si="27"/>
        <v>8.9606519531514461</v>
      </c>
    </row>
    <row r="63" spans="1:26" s="27" customFormat="1" outlineLevel="1" collapsed="1" x14ac:dyDescent="0.25">
      <c r="A63" s="26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SUM(OSRRefD22_7x_0)</f>
        <v>3783.1099999999997</v>
      </c>
      <c r="E63" s="1"/>
      <c r="F63" s="5">
        <f t="shared" ref="F63:F66" si="28">IF(D$12=0,0,D63/D$12)</f>
        <v>0.29221937366610717</v>
      </c>
      <c r="G63" s="1"/>
      <c r="H63" s="1">
        <f>SUM(OSRRefH22_7x_0)</f>
        <v>7400</v>
      </c>
      <c r="I63" s="1"/>
      <c r="J63" s="5">
        <f t="shared" ref="J63:J66" si="29">IF(H$12=0,0,H63/H$12)</f>
        <v>0.17209302325581396</v>
      </c>
      <c r="K63" s="1"/>
      <c r="L63" s="1">
        <f t="shared" ref="L63:L66" si="30">+D63-H63</f>
        <v>-3616.8900000000003</v>
      </c>
      <c r="M63" s="1"/>
      <c r="N63" s="5">
        <f t="shared" ref="N63:N66" si="31">IF(H63=0,0,L63/H63)</f>
        <v>-0.48876891891891894</v>
      </c>
      <c r="O63" s="13"/>
      <c r="P63" s="1">
        <f>SUM(OSRRefP22_7x_0)</f>
        <v>34876.81</v>
      </c>
      <c r="Q63" s="1"/>
      <c r="R63" s="5">
        <f t="shared" ref="R63:R66" si="32">IF(P$12=0,0,P63/P$12)</f>
        <v>0.27323584784228527</v>
      </c>
      <c r="S63" s="1"/>
      <c r="T63" s="1">
        <f>SUM(OSRRefT22_7x_0)</f>
        <v>62500</v>
      </c>
      <c r="U63" s="1"/>
      <c r="V63" s="5">
        <f t="shared" ref="V63:V66" si="33">IF(T$12=0,0,T63/T$12)</f>
        <v>0.16120171363869668</v>
      </c>
      <c r="W63" s="1"/>
      <c r="X63" s="1">
        <f t="shared" ref="X63:X66" si="34">+P63-T63</f>
        <v>-27623.190000000002</v>
      </c>
      <c r="Y63" s="1"/>
      <c r="Z63" s="5">
        <f t="shared" ref="Z63:Z66" si="35">IF(T63=0,0,X63/T63)</f>
        <v>-0.44197104000000004</v>
      </c>
    </row>
    <row r="64" spans="1:26" s="24" customFormat="1" hidden="1" outlineLevel="2" x14ac:dyDescent="0.25">
      <c r="A64" s="25"/>
      <c r="B64" s="11" t="str">
        <f>CONCATENATE("          ", "6371", " - ", "COMPUTER SOFTWARE MAINTENANCE")</f>
        <v xml:space="preserve">          6371 - COMPUTER SOFTWARE MAINTENANCE</v>
      </c>
      <c r="C64" s="11"/>
      <c r="D64" s="7"/>
      <c r="E64" s="2"/>
      <c r="F64" s="6">
        <f t="shared" si="28"/>
        <v>0</v>
      </c>
      <c r="G64" s="2"/>
      <c r="H64" s="7"/>
      <c r="I64" s="2"/>
      <c r="J64" s="6">
        <f t="shared" si="29"/>
        <v>0</v>
      </c>
      <c r="K64" s="2"/>
      <c r="L64" s="7">
        <f t="shared" si="30"/>
        <v>0</v>
      </c>
      <c r="M64" s="2"/>
      <c r="N64" s="6">
        <f t="shared" si="31"/>
        <v>0</v>
      </c>
      <c r="O64" s="11"/>
      <c r="P64" s="7">
        <v>7.69</v>
      </c>
      <c r="Q64" s="2"/>
      <c r="R64" s="6">
        <f t="shared" si="32"/>
        <v>6.0245867380278581E-5</v>
      </c>
      <c r="S64" s="2"/>
      <c r="T64" s="7"/>
      <c r="U64" s="2"/>
      <c r="V64" s="6">
        <f t="shared" si="33"/>
        <v>0</v>
      </c>
      <c r="W64" s="2"/>
      <c r="X64" s="7">
        <f t="shared" si="34"/>
        <v>7.69</v>
      </c>
      <c r="Y64" s="2"/>
      <c r="Z64" s="6">
        <f t="shared" si="35"/>
        <v>0</v>
      </c>
    </row>
    <row r="65" spans="1:26" s="24" customFormat="1" hidden="1" outlineLevel="2" x14ac:dyDescent="0.25">
      <c r="A65" s="25"/>
      <c r="B65" s="11" t="str">
        <f>CONCATENATE("          ", "6373", " - ", "MAINTENANCE CONTRACTS")</f>
        <v xml:space="preserve">          6373 - MAINTENANCE CONTRACTS</v>
      </c>
      <c r="C65" s="11"/>
      <c r="D65" s="7">
        <v>270.93</v>
      </c>
      <c r="E65" s="2"/>
      <c r="F65" s="6">
        <f t="shared" si="28"/>
        <v>2.092748952775849E-2</v>
      </c>
      <c r="G65" s="2"/>
      <c r="H65" s="7">
        <v>7400</v>
      </c>
      <c r="I65" s="2"/>
      <c r="J65" s="6">
        <f t="shared" si="29"/>
        <v>0.17209302325581396</v>
      </c>
      <c r="K65" s="2"/>
      <c r="L65" s="7">
        <f t="shared" si="30"/>
        <v>-7129.07</v>
      </c>
      <c r="M65" s="2"/>
      <c r="N65" s="6">
        <f t="shared" si="31"/>
        <v>-0.96338783783783777</v>
      </c>
      <c r="O65" s="11"/>
      <c r="P65" s="7">
        <v>31352.34</v>
      </c>
      <c r="Q65" s="2"/>
      <c r="R65" s="6">
        <f t="shared" si="32"/>
        <v>0.24562404651513697</v>
      </c>
      <c r="S65" s="2"/>
      <c r="T65" s="7">
        <v>62500</v>
      </c>
      <c r="U65" s="2"/>
      <c r="V65" s="6">
        <f t="shared" si="33"/>
        <v>0.16120171363869668</v>
      </c>
      <c r="W65" s="2"/>
      <c r="X65" s="7">
        <f t="shared" si="34"/>
        <v>-31147.66</v>
      </c>
      <c r="Y65" s="2"/>
      <c r="Z65" s="6">
        <f t="shared" si="35"/>
        <v>-0.49836256000000001</v>
      </c>
    </row>
    <row r="66" spans="1:26" s="24" customFormat="1" hidden="1" outlineLevel="2" x14ac:dyDescent="0.25">
      <c r="A66" s="25"/>
      <c r="B66" s="11" t="str">
        <f>CONCATENATE("          ", "6375", " - ", "OUTSIDE REPAIRS &amp; MAINTENANCE")</f>
        <v xml:space="preserve">          6375 - OUTSIDE REPAIRS &amp; MAINTENANCE</v>
      </c>
      <c r="C66" s="11"/>
      <c r="D66" s="7">
        <v>3512.18</v>
      </c>
      <c r="E66" s="2"/>
      <c r="F66" s="6">
        <f t="shared" si="28"/>
        <v>0.2712918841383487</v>
      </c>
      <c r="G66" s="2"/>
      <c r="H66" s="7"/>
      <c r="I66" s="2"/>
      <c r="J66" s="6">
        <f t="shared" si="29"/>
        <v>0</v>
      </c>
      <c r="K66" s="2"/>
      <c r="L66" s="7">
        <f t="shared" si="30"/>
        <v>3512.18</v>
      </c>
      <c r="M66" s="2"/>
      <c r="N66" s="6">
        <f t="shared" si="31"/>
        <v>0</v>
      </c>
      <c r="O66" s="11"/>
      <c r="P66" s="7">
        <v>3516.78</v>
      </c>
      <c r="Q66" s="2"/>
      <c r="R66" s="6">
        <f t="shared" si="32"/>
        <v>2.7551555459768024E-2</v>
      </c>
      <c r="S66" s="2"/>
      <c r="T66" s="7"/>
      <c r="U66" s="2"/>
      <c r="V66" s="6">
        <f t="shared" si="33"/>
        <v>0</v>
      </c>
      <c r="W66" s="2"/>
      <c r="X66" s="7">
        <f t="shared" si="34"/>
        <v>3516.78</v>
      </c>
      <c r="Y66" s="2"/>
      <c r="Z66" s="6">
        <f t="shared" si="35"/>
        <v>0</v>
      </c>
    </row>
    <row r="67" spans="1:26" s="27" customFormat="1" outlineLevel="1" collapsed="1" x14ac:dyDescent="0.25">
      <c r="A67" s="26"/>
      <c r="B67" s="13" t="str">
        <f>CONCATENATE("     ","Royalty &amp; Commissions                             ")</f>
        <v xml:space="preserve">     Royalty &amp; Commissions                             </v>
      </c>
      <c r="C67" s="13"/>
      <c r="D67" s="1">
        <f>SUM(OSRRefD22_8x_0)</f>
        <v>393.98</v>
      </c>
      <c r="E67" s="1"/>
      <c r="F67" s="5">
        <f t="shared" ref="F67:F76" si="36">IF(D$12=0,0,D67/D$12)</f>
        <v>3.0432260451578968E-2</v>
      </c>
      <c r="G67" s="1"/>
      <c r="H67" s="1">
        <f>SUM(OSRRefH22_8x_0)</f>
        <v>3000</v>
      </c>
      <c r="I67" s="1"/>
      <c r="J67" s="5">
        <f t="shared" ref="J67:J76" si="37">IF(H$12=0,0,H67/H$12)</f>
        <v>6.9767441860465115E-2</v>
      </c>
      <c r="K67" s="1"/>
      <c r="L67" s="1">
        <f t="shared" ref="L67:L76" si="38">+D67-H67</f>
        <v>-2606.02</v>
      </c>
      <c r="M67" s="1"/>
      <c r="N67" s="5">
        <f t="shared" ref="N67:N76" si="39">IF(H67=0,0,L67/H67)</f>
        <v>-0.8686733333333333</v>
      </c>
      <c r="O67" s="13"/>
      <c r="P67" s="1">
        <f>SUM(OSRRefP22_8x_0)</f>
        <v>13627.87</v>
      </c>
      <c r="Q67" s="1"/>
      <c r="R67" s="5">
        <f t="shared" ref="R67:R76" si="40">IF(P$12=0,0,P67/P$12)</f>
        <v>0.10676499983038715</v>
      </c>
      <c r="S67" s="1"/>
      <c r="T67" s="1">
        <f>SUM(OSRRefT22_8x_0)</f>
        <v>35250</v>
      </c>
      <c r="U67" s="1"/>
      <c r="V67" s="5">
        <f t="shared" ref="V67:V76" si="41">IF(T$12=0,0,T67/T$12)</f>
        <v>9.0917766492224925E-2</v>
      </c>
      <c r="W67" s="1"/>
      <c r="X67" s="1">
        <f t="shared" ref="X67:X76" si="42">+P67-T67</f>
        <v>-21622.129999999997</v>
      </c>
      <c r="Y67" s="1"/>
      <c r="Z67" s="5">
        <f t="shared" ref="Z67:Z76" si="43">IF(T67=0,0,X67/T67)</f>
        <v>-0.61339375886524816</v>
      </c>
    </row>
    <row r="68" spans="1:26" s="24" customFormat="1" hidden="1" outlineLevel="2" x14ac:dyDescent="0.25">
      <c r="A68" s="25"/>
      <c r="B68" s="11" t="str">
        <f>CONCATENATE("          ", "6259", " - ", "ROYALTY &amp; COMMISSIONS")</f>
        <v xml:space="preserve">          6259 - ROYALTY &amp; COMMISSIONS</v>
      </c>
      <c r="C68" s="11"/>
      <c r="D68" s="7">
        <v>393.98</v>
      </c>
      <c r="E68" s="2"/>
      <c r="F68" s="6">
        <f t="shared" si="36"/>
        <v>3.0432260451578968E-2</v>
      </c>
      <c r="G68" s="2"/>
      <c r="H68" s="7">
        <v>3000</v>
      </c>
      <c r="I68" s="2"/>
      <c r="J68" s="6">
        <f t="shared" si="37"/>
        <v>6.9767441860465115E-2</v>
      </c>
      <c r="K68" s="2"/>
      <c r="L68" s="7">
        <f t="shared" si="38"/>
        <v>-2606.02</v>
      </c>
      <c r="M68" s="2"/>
      <c r="N68" s="6">
        <f t="shared" si="39"/>
        <v>-0.8686733333333333</v>
      </c>
      <c r="O68" s="11"/>
      <c r="P68" s="7">
        <v>13627.87</v>
      </c>
      <c r="Q68" s="2"/>
      <c r="R68" s="6">
        <f t="shared" si="40"/>
        <v>0.10676499983038715</v>
      </c>
      <c r="S68" s="2"/>
      <c r="T68" s="7">
        <v>35250</v>
      </c>
      <c r="U68" s="2"/>
      <c r="V68" s="6">
        <f t="shared" si="41"/>
        <v>9.0917766492224925E-2</v>
      </c>
      <c r="W68" s="2"/>
      <c r="X68" s="7">
        <f t="shared" si="42"/>
        <v>-21622.129999999997</v>
      </c>
      <c r="Y68" s="2"/>
      <c r="Z68" s="6">
        <f t="shared" si="43"/>
        <v>-0.61339375886524816</v>
      </c>
    </row>
    <row r="69" spans="1:26" s="27" customFormat="1" outlineLevel="1" collapsed="1" x14ac:dyDescent="0.25">
      <c r="A69" s="26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SUM(OSRRefD22_9x_0)</f>
        <v>31.75</v>
      </c>
      <c r="E69" s="1"/>
      <c r="F69" s="5">
        <f t="shared" si="36"/>
        <v>2.4524703521438453E-3</v>
      </c>
      <c r="G69" s="1"/>
      <c r="H69" s="1">
        <f>SUM(OSRRefH22_9x_0)</f>
        <v>0</v>
      </c>
      <c r="I69" s="1"/>
      <c r="J69" s="5">
        <f t="shared" si="37"/>
        <v>0</v>
      </c>
      <c r="K69" s="1"/>
      <c r="L69" s="1">
        <f t="shared" si="38"/>
        <v>31.75</v>
      </c>
      <c r="M69" s="1"/>
      <c r="N69" s="5">
        <f t="shared" si="39"/>
        <v>0</v>
      </c>
      <c r="O69" s="13"/>
      <c r="P69" s="1">
        <f>SUM(OSRRefP22_9x_0)</f>
        <v>31.75</v>
      </c>
      <c r="Q69" s="1"/>
      <c r="R69" s="5">
        <f t="shared" si="40"/>
        <v>2.48739439443933E-4</v>
      </c>
      <c r="S69" s="1"/>
      <c r="T69" s="1">
        <f>SUM(OSRRefT22_9x_0)</f>
        <v>0</v>
      </c>
      <c r="U69" s="1"/>
      <c r="V69" s="5">
        <f t="shared" si="41"/>
        <v>0</v>
      </c>
      <c r="W69" s="1"/>
      <c r="X69" s="1">
        <f t="shared" si="42"/>
        <v>31.75</v>
      </c>
      <c r="Y69" s="1"/>
      <c r="Z69" s="5">
        <f t="shared" si="43"/>
        <v>0</v>
      </c>
    </row>
    <row r="70" spans="1:26" s="24" customFormat="1" hidden="1" outlineLevel="2" x14ac:dyDescent="0.25">
      <c r="A70" s="25"/>
      <c r="B70" s="11" t="str">
        <f>CONCATENATE("          ", "6258", " - ", "MEMBERSHIP DUES")</f>
        <v xml:space="preserve">          6258 - MEMBERSHIP DUES</v>
      </c>
      <c r="C70" s="11"/>
      <c r="D70" s="7">
        <v>31.75</v>
      </c>
      <c r="E70" s="2"/>
      <c r="F70" s="6">
        <f t="shared" si="36"/>
        <v>2.4524703521438453E-3</v>
      </c>
      <c r="G70" s="2"/>
      <c r="H70" s="7"/>
      <c r="I70" s="2"/>
      <c r="J70" s="6">
        <f t="shared" si="37"/>
        <v>0</v>
      </c>
      <c r="K70" s="2"/>
      <c r="L70" s="7">
        <f t="shared" si="38"/>
        <v>31.75</v>
      </c>
      <c r="M70" s="2"/>
      <c r="N70" s="6">
        <f t="shared" si="39"/>
        <v>0</v>
      </c>
      <c r="O70" s="11"/>
      <c r="P70" s="7">
        <v>31.75</v>
      </c>
      <c r="Q70" s="2"/>
      <c r="R70" s="6">
        <f t="shared" si="40"/>
        <v>2.48739439443933E-4</v>
      </c>
      <c r="S70" s="2"/>
      <c r="T70" s="7"/>
      <c r="U70" s="2"/>
      <c r="V70" s="6">
        <f t="shared" si="41"/>
        <v>0</v>
      </c>
      <c r="W70" s="2"/>
      <c r="X70" s="7">
        <f t="shared" si="42"/>
        <v>31.75</v>
      </c>
      <c r="Y70" s="2"/>
      <c r="Z70" s="6">
        <f t="shared" si="43"/>
        <v>0</v>
      </c>
    </row>
    <row r="71" spans="1:26" s="27" customFormat="1" outlineLevel="1" collapsed="1" x14ac:dyDescent="0.25">
      <c r="A71" s="26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SUM(OSRRefD22_10x_0)</f>
        <v>6628.24</v>
      </c>
      <c r="E71" s="1"/>
      <c r="F71" s="5">
        <f t="shared" si="36"/>
        <v>0.51198620746122592</v>
      </c>
      <c r="G71" s="1"/>
      <c r="H71" s="1">
        <f>SUM(OSRRefH22_10x_0)</f>
        <v>5400</v>
      </c>
      <c r="I71" s="1"/>
      <c r="J71" s="5">
        <f t="shared" si="37"/>
        <v>0.12558139534883722</v>
      </c>
      <c r="K71" s="1"/>
      <c r="L71" s="1">
        <f t="shared" si="38"/>
        <v>1228.2399999999998</v>
      </c>
      <c r="M71" s="1"/>
      <c r="N71" s="5">
        <f t="shared" si="39"/>
        <v>0.22745185185185182</v>
      </c>
      <c r="O71" s="13"/>
      <c r="P71" s="1">
        <f>SUM(OSRRefP22_10x_0)</f>
        <v>42426.44</v>
      </c>
      <c r="Q71" s="1"/>
      <c r="R71" s="5">
        <f t="shared" si="40"/>
        <v>0.33238201269926482</v>
      </c>
      <c r="S71" s="1"/>
      <c r="T71" s="1">
        <f>SUM(OSRRefT22_10x_0)</f>
        <v>29850</v>
      </c>
      <c r="U71" s="1"/>
      <c r="V71" s="5">
        <f t="shared" si="41"/>
        <v>7.6989938433841526E-2</v>
      </c>
      <c r="W71" s="1"/>
      <c r="X71" s="1">
        <f t="shared" si="42"/>
        <v>12576.440000000002</v>
      </c>
      <c r="Y71" s="1"/>
      <c r="Z71" s="5">
        <f t="shared" si="43"/>
        <v>0.42132127303182587</v>
      </c>
    </row>
    <row r="72" spans="1:26" s="24" customFormat="1" hidden="1" outlineLevel="2" x14ac:dyDescent="0.25">
      <c r="A72" s="25"/>
      <c r="B72" s="11" t="str">
        <f>CONCATENATE("          ", "6235", " - ", "COVID-19 EXPENSES")</f>
        <v xml:space="preserve">          6235 - COVID-19 EXPENSES</v>
      </c>
      <c r="C72" s="11"/>
      <c r="D72" s="7"/>
      <c r="E72" s="2"/>
      <c r="F72" s="6">
        <f t="shared" si="36"/>
        <v>0</v>
      </c>
      <c r="G72" s="2"/>
      <c r="H72" s="7"/>
      <c r="I72" s="2"/>
      <c r="J72" s="6">
        <f t="shared" si="37"/>
        <v>0</v>
      </c>
      <c r="K72" s="2"/>
      <c r="L72" s="7">
        <f t="shared" si="38"/>
        <v>0</v>
      </c>
      <c r="M72" s="2"/>
      <c r="N72" s="6">
        <f t="shared" si="39"/>
        <v>0</v>
      </c>
      <c r="O72" s="11"/>
      <c r="P72" s="7">
        <v>310.91000000000003</v>
      </c>
      <c r="Q72" s="2"/>
      <c r="R72" s="6">
        <f t="shared" si="40"/>
        <v>2.4357662714177392E-3</v>
      </c>
      <c r="S72" s="2"/>
      <c r="T72" s="7"/>
      <c r="U72" s="2"/>
      <c r="V72" s="6">
        <f t="shared" si="41"/>
        <v>0</v>
      </c>
      <c r="W72" s="2"/>
      <c r="X72" s="7">
        <f t="shared" si="42"/>
        <v>310.91000000000003</v>
      </c>
      <c r="Y72" s="2"/>
      <c r="Z72" s="6">
        <f t="shared" si="43"/>
        <v>0</v>
      </c>
    </row>
    <row r="73" spans="1:26" s="24" customFormat="1" hidden="1" outlineLevel="2" x14ac:dyDescent="0.25">
      <c r="A73" s="25"/>
      <c r="B73" s="11" t="str">
        <f>CONCATENATE("          ", "6241", " - ", "OFFICE EXPENSE")</f>
        <v xml:space="preserve">          6241 - OFFICE EXPENSE</v>
      </c>
      <c r="C73" s="11"/>
      <c r="D73" s="7">
        <v>18.25</v>
      </c>
      <c r="E73" s="2"/>
      <c r="F73" s="6">
        <f t="shared" si="36"/>
        <v>1.4096876827283521E-3</v>
      </c>
      <c r="G73" s="2"/>
      <c r="H73" s="7"/>
      <c r="I73" s="2"/>
      <c r="J73" s="6">
        <f t="shared" si="37"/>
        <v>0</v>
      </c>
      <c r="K73" s="2"/>
      <c r="L73" s="7">
        <f t="shared" si="38"/>
        <v>18.25</v>
      </c>
      <c r="M73" s="2"/>
      <c r="N73" s="6">
        <f t="shared" si="39"/>
        <v>0</v>
      </c>
      <c r="O73" s="11"/>
      <c r="P73" s="7">
        <v>4676.01</v>
      </c>
      <c r="Q73" s="2"/>
      <c r="R73" s="6">
        <f t="shared" si="40"/>
        <v>3.6633326180605524E-2</v>
      </c>
      <c r="S73" s="2"/>
      <c r="T73" s="7"/>
      <c r="U73" s="2"/>
      <c r="V73" s="6">
        <f t="shared" si="41"/>
        <v>0</v>
      </c>
      <c r="W73" s="2"/>
      <c r="X73" s="7">
        <f t="shared" si="42"/>
        <v>4676.01</v>
      </c>
      <c r="Y73" s="2"/>
      <c r="Z73" s="6">
        <f t="shared" si="43"/>
        <v>0</v>
      </c>
    </row>
    <row r="74" spans="1:26" s="24" customFormat="1" hidden="1" outlineLevel="2" x14ac:dyDescent="0.25">
      <c r="A74" s="25"/>
      <c r="B74" s="11" t="str">
        <f>CONCATENATE("          ", "6243", " - ", "PAPER SUPPLIES")</f>
        <v xml:space="preserve">          6243 - PAPER SUPPLIES</v>
      </c>
      <c r="C74" s="11"/>
      <c r="D74" s="7"/>
      <c r="E74" s="2"/>
      <c r="F74" s="6">
        <f t="shared" si="36"/>
        <v>0</v>
      </c>
      <c r="G74" s="2"/>
      <c r="H74" s="7">
        <v>5000</v>
      </c>
      <c r="I74" s="2"/>
      <c r="J74" s="6">
        <f t="shared" si="37"/>
        <v>0.11627906976744186</v>
      </c>
      <c r="K74" s="2"/>
      <c r="L74" s="7">
        <f t="shared" si="38"/>
        <v>-5000</v>
      </c>
      <c r="M74" s="2"/>
      <c r="N74" s="6">
        <f t="shared" si="39"/>
        <v>-1</v>
      </c>
      <c r="O74" s="11"/>
      <c r="P74" s="7">
        <v>6682.58</v>
      </c>
      <c r="Q74" s="2"/>
      <c r="R74" s="6">
        <f t="shared" si="40"/>
        <v>5.2353423724070487E-2</v>
      </c>
      <c r="S74" s="2"/>
      <c r="T74" s="7">
        <v>26400</v>
      </c>
      <c r="U74" s="2"/>
      <c r="V74" s="6">
        <f t="shared" si="41"/>
        <v>6.8091603840985476E-2</v>
      </c>
      <c r="W74" s="2"/>
      <c r="X74" s="7">
        <f t="shared" si="42"/>
        <v>-19717.419999999998</v>
      </c>
      <c r="Y74" s="2"/>
      <c r="Z74" s="6">
        <f t="shared" si="43"/>
        <v>-0.74687196969696967</v>
      </c>
    </row>
    <row r="75" spans="1:26" s="24" customFormat="1" hidden="1" outlineLevel="2" x14ac:dyDescent="0.25">
      <c r="A75" s="25"/>
      <c r="B75" s="11" t="str">
        <f>CONCATENATE("          ", "6245", " - ", "PRINTING")</f>
        <v xml:space="preserve">          6245 - PRINTING</v>
      </c>
      <c r="C75" s="11"/>
      <c r="D75" s="7">
        <v>5963.79</v>
      </c>
      <c r="E75" s="2"/>
      <c r="F75" s="6">
        <f t="shared" si="36"/>
        <v>0.46066198933580926</v>
      </c>
      <c r="G75" s="2"/>
      <c r="H75" s="7">
        <v>200</v>
      </c>
      <c r="I75" s="2"/>
      <c r="J75" s="6">
        <f t="shared" si="37"/>
        <v>4.6511627906976744E-3</v>
      </c>
      <c r="K75" s="2"/>
      <c r="L75" s="7">
        <f t="shared" si="38"/>
        <v>5763.79</v>
      </c>
      <c r="M75" s="2"/>
      <c r="N75" s="6">
        <f t="shared" si="39"/>
        <v>28.818950000000001</v>
      </c>
      <c r="O75" s="11"/>
      <c r="P75" s="7">
        <v>9015.7199999999993</v>
      </c>
      <c r="Q75" s="2"/>
      <c r="R75" s="6">
        <f t="shared" si="40"/>
        <v>7.0631972881368688E-2</v>
      </c>
      <c r="S75" s="2"/>
      <c r="T75" s="7">
        <v>2300</v>
      </c>
      <c r="U75" s="2"/>
      <c r="V75" s="6">
        <f t="shared" si="41"/>
        <v>5.9322230619040369E-3</v>
      </c>
      <c r="W75" s="2"/>
      <c r="X75" s="7">
        <f t="shared" si="42"/>
        <v>6715.7199999999993</v>
      </c>
      <c r="Y75" s="2"/>
      <c r="Z75" s="6">
        <f t="shared" si="43"/>
        <v>2.9198782608695648</v>
      </c>
    </row>
    <row r="76" spans="1:26" s="24" customFormat="1" hidden="1" outlineLevel="2" x14ac:dyDescent="0.25">
      <c r="A76" s="25"/>
      <c r="B76" s="11" t="str">
        <f>CONCATENATE("          ", "6247", " - ", "STORE SUPPLIES")</f>
        <v xml:space="preserve">          6247 - STORE SUPPLIES</v>
      </c>
      <c r="C76" s="11"/>
      <c r="D76" s="7">
        <v>646.20000000000005</v>
      </c>
      <c r="E76" s="2"/>
      <c r="F76" s="6">
        <f t="shared" si="36"/>
        <v>4.9914530442688287E-2</v>
      </c>
      <c r="G76" s="2"/>
      <c r="H76" s="7">
        <v>200</v>
      </c>
      <c r="I76" s="2"/>
      <c r="J76" s="6">
        <f t="shared" si="37"/>
        <v>4.6511627906976744E-3</v>
      </c>
      <c r="K76" s="2"/>
      <c r="L76" s="7">
        <f t="shared" si="38"/>
        <v>446.20000000000005</v>
      </c>
      <c r="M76" s="2"/>
      <c r="N76" s="6">
        <f t="shared" si="39"/>
        <v>2.2310000000000003</v>
      </c>
      <c r="O76" s="11"/>
      <c r="P76" s="7">
        <v>21741.22</v>
      </c>
      <c r="Q76" s="2"/>
      <c r="R76" s="6">
        <f t="shared" si="40"/>
        <v>0.1703275236418024</v>
      </c>
      <c r="S76" s="2"/>
      <c r="T76" s="7">
        <v>1150</v>
      </c>
      <c r="U76" s="2"/>
      <c r="V76" s="6">
        <f t="shared" si="41"/>
        <v>2.9661115309520185E-3</v>
      </c>
      <c r="W76" s="2"/>
      <c r="X76" s="7">
        <f t="shared" si="42"/>
        <v>20591.22</v>
      </c>
      <c r="Y76" s="2"/>
      <c r="Z76" s="6">
        <f t="shared" si="43"/>
        <v>17.905408695652174</v>
      </c>
    </row>
    <row r="77" spans="1:26" s="27" customFormat="1" outlineLevel="1" collapsed="1" x14ac:dyDescent="0.25">
      <c r="A77" s="26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SUM(OSRRefD22_11x_0)</f>
        <v>157.85</v>
      </c>
      <c r="E77" s="1"/>
      <c r="F77" s="5">
        <f t="shared" ref="F77:F80" si="44">IF(D$12=0,0,D77/D$12)</f>
        <v>1.2192832916091528E-2</v>
      </c>
      <c r="G77" s="1"/>
      <c r="H77" s="1">
        <f>SUM(OSRRefH22_11x_0)</f>
        <v>165</v>
      </c>
      <c r="I77" s="1"/>
      <c r="J77" s="5">
        <f t="shared" ref="J77:J80" si="45">IF(H$12=0,0,H77/H$12)</f>
        <v>3.8372093023255815E-3</v>
      </c>
      <c r="K77" s="1"/>
      <c r="L77" s="1">
        <f t="shared" ref="L77:L80" si="46">+D77-H77</f>
        <v>-7.1500000000000057</v>
      </c>
      <c r="M77" s="1"/>
      <c r="N77" s="5">
        <f t="shared" ref="N77:N80" si="47">IF(H77=0,0,L77/H77)</f>
        <v>-4.333333333333337E-2</v>
      </c>
      <c r="O77" s="13"/>
      <c r="P77" s="1">
        <f>SUM(OSRRefP22_11x_0)</f>
        <v>1743.35</v>
      </c>
      <c r="Q77" s="1"/>
      <c r="R77" s="5">
        <f t="shared" ref="R77:R80" si="48">IF(P$12=0,0,P77/P$12)</f>
        <v>1.3657949661561595E-2</v>
      </c>
      <c r="S77" s="1"/>
      <c r="T77" s="1">
        <f>SUM(OSRRefT22_11x_0)</f>
        <v>1815</v>
      </c>
      <c r="U77" s="1"/>
      <c r="V77" s="5">
        <f t="shared" ref="V77:V80" si="49">IF(T$12=0,0,T77/T$12)</f>
        <v>4.681297764067751E-3</v>
      </c>
      <c r="W77" s="1"/>
      <c r="X77" s="1">
        <f t="shared" ref="X77:X80" si="50">+P77-T77</f>
        <v>-71.650000000000091</v>
      </c>
      <c r="Y77" s="1"/>
      <c r="Z77" s="5">
        <f t="shared" ref="Z77:Z80" si="51">IF(T77=0,0,X77/T77)</f>
        <v>-3.9476584022038616E-2</v>
      </c>
    </row>
    <row r="78" spans="1:26" s="24" customFormat="1" hidden="1" outlineLevel="2" x14ac:dyDescent="0.25">
      <c r="A78" s="25"/>
      <c r="B78" s="11" t="str">
        <f>CONCATENATE("          ", "6309", " - ", "TELEPHONE")</f>
        <v xml:space="preserve">          6309 - TELEPHONE</v>
      </c>
      <c r="C78" s="11"/>
      <c r="D78" s="7">
        <v>157.85</v>
      </c>
      <c r="E78" s="2"/>
      <c r="F78" s="6">
        <f t="shared" si="44"/>
        <v>1.2192832916091528E-2</v>
      </c>
      <c r="G78" s="2"/>
      <c r="H78" s="7">
        <v>165</v>
      </c>
      <c r="I78" s="2"/>
      <c r="J78" s="6">
        <f t="shared" si="45"/>
        <v>3.8372093023255815E-3</v>
      </c>
      <c r="K78" s="2"/>
      <c r="L78" s="7">
        <f t="shared" si="46"/>
        <v>-7.1500000000000057</v>
      </c>
      <c r="M78" s="2"/>
      <c r="N78" s="6">
        <f t="shared" si="47"/>
        <v>-4.333333333333337E-2</v>
      </c>
      <c r="O78" s="11"/>
      <c r="P78" s="7">
        <v>1743.35</v>
      </c>
      <c r="Q78" s="2"/>
      <c r="R78" s="6">
        <f t="shared" si="48"/>
        <v>1.3657949661561595E-2</v>
      </c>
      <c r="S78" s="2"/>
      <c r="T78" s="7">
        <v>1815</v>
      </c>
      <c r="U78" s="2"/>
      <c r="V78" s="6">
        <f t="shared" si="49"/>
        <v>4.681297764067751E-3</v>
      </c>
      <c r="W78" s="2"/>
      <c r="X78" s="7">
        <f t="shared" si="50"/>
        <v>-71.650000000000091</v>
      </c>
      <c r="Y78" s="2"/>
      <c r="Z78" s="6">
        <f t="shared" si="51"/>
        <v>-3.9476584022038616E-2</v>
      </c>
    </row>
    <row r="79" spans="1:26" s="27" customFormat="1" outlineLevel="1" collapsed="1" x14ac:dyDescent="0.25">
      <c r="A79" s="26"/>
      <c r="B79" s="13" t="str">
        <f>CONCATENATE("     ","Utilities                                         ")</f>
        <v xml:space="preserve">     Utilities                                         </v>
      </c>
      <c r="C79" s="13"/>
      <c r="D79" s="1">
        <f>SUM(OSRRefD22_12x_0)</f>
        <v>0</v>
      </c>
      <c r="E79" s="1"/>
      <c r="F79" s="5">
        <f t="shared" si="44"/>
        <v>0</v>
      </c>
      <c r="G79" s="1"/>
      <c r="H79" s="1">
        <f>SUM(OSRRefH22_12x_0)</f>
        <v>0</v>
      </c>
      <c r="I79" s="1"/>
      <c r="J79" s="5">
        <f t="shared" si="45"/>
        <v>0</v>
      </c>
      <c r="K79" s="1"/>
      <c r="L79" s="1">
        <f t="shared" si="46"/>
        <v>0</v>
      </c>
      <c r="M79" s="1"/>
      <c r="N79" s="5">
        <f t="shared" si="47"/>
        <v>0</v>
      </c>
      <c r="O79" s="13"/>
      <c r="P79" s="1">
        <f>SUM(OSRRefP22_12x_0)</f>
        <v>15.02</v>
      </c>
      <c r="Q79" s="1"/>
      <c r="R79" s="5">
        <f t="shared" si="48"/>
        <v>1.1767138206135036E-4</v>
      </c>
      <c r="S79" s="1"/>
      <c r="T79" s="1">
        <f>SUM(OSRRefT22_12x_0)</f>
        <v>0</v>
      </c>
      <c r="U79" s="1"/>
      <c r="V79" s="5">
        <f t="shared" si="49"/>
        <v>0</v>
      </c>
      <c r="W79" s="1"/>
      <c r="X79" s="1">
        <f t="shared" si="50"/>
        <v>15.02</v>
      </c>
      <c r="Y79" s="1"/>
      <c r="Z79" s="5">
        <f t="shared" si="51"/>
        <v>0</v>
      </c>
    </row>
    <row r="80" spans="1:26" s="24" customFormat="1" hidden="1" outlineLevel="2" x14ac:dyDescent="0.25">
      <c r="A80" s="25"/>
      <c r="B80" s="11" t="str">
        <f>CONCATENATE("          ", "6274", " - ", "UTILITIES")</f>
        <v xml:space="preserve">          6274 - UTILITIES</v>
      </c>
      <c r="C80" s="11"/>
      <c r="D80" s="7"/>
      <c r="E80" s="2"/>
      <c r="F80" s="6">
        <f t="shared" si="44"/>
        <v>0</v>
      </c>
      <c r="G80" s="2"/>
      <c r="H80" s="7"/>
      <c r="I80" s="2"/>
      <c r="J80" s="6">
        <f t="shared" si="45"/>
        <v>0</v>
      </c>
      <c r="K80" s="2"/>
      <c r="L80" s="7">
        <f t="shared" si="46"/>
        <v>0</v>
      </c>
      <c r="M80" s="2"/>
      <c r="N80" s="6">
        <f t="shared" si="47"/>
        <v>0</v>
      </c>
      <c r="O80" s="11"/>
      <c r="P80" s="7">
        <v>15.02</v>
      </c>
      <c r="Q80" s="2"/>
      <c r="R80" s="6">
        <f t="shared" si="48"/>
        <v>1.1767138206135036E-4</v>
      </c>
      <c r="S80" s="2"/>
      <c r="T80" s="7"/>
      <c r="U80" s="2"/>
      <c r="V80" s="6">
        <f t="shared" si="49"/>
        <v>0</v>
      </c>
      <c r="W80" s="2"/>
      <c r="X80" s="7">
        <f t="shared" si="50"/>
        <v>15.02</v>
      </c>
      <c r="Y80" s="2"/>
      <c r="Z80" s="6">
        <f t="shared" si="51"/>
        <v>0</v>
      </c>
    </row>
    <row r="81" spans="1:26" s="56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25">
      <c r="A82" s="10"/>
      <c r="B82" s="29" t="s">
        <v>293</v>
      </c>
      <c r="C82" s="10"/>
      <c r="D82" s="4">
        <f>SUM(OSRRefD25x_0)</f>
        <v>6782</v>
      </c>
      <c r="E82" s="4"/>
      <c r="F82" s="12">
        <f t="shared" ref="F82:F83" si="52">IF(D$12=0,0,D82/D$12)</f>
        <v>0.52386311585006484</v>
      </c>
      <c r="G82" s="4"/>
      <c r="H82" s="4">
        <f>SUM(OSRRefH25x_0)</f>
        <v>6875</v>
      </c>
      <c r="I82" s="4"/>
      <c r="J82" s="12">
        <f t="shared" ref="J82:J83" si="53">IF(H$12=0,0,H82/H$12)</f>
        <v>0.15988372093023256</v>
      </c>
      <c r="K82" s="4"/>
      <c r="L82" s="4">
        <f t="shared" ref="L82:L83" si="54">+D82-H82</f>
        <v>-93</v>
      </c>
      <c r="M82" s="4"/>
      <c r="N82" s="12">
        <f t="shared" ref="N82:N83" si="55">IF(H82=0,0,L82/H82)</f>
        <v>-1.3527272727272728E-2</v>
      </c>
      <c r="O82" s="10"/>
      <c r="P82" s="4">
        <f>SUM(OSRRefP25x_0)</f>
        <v>74602</v>
      </c>
      <c r="Q82" s="4"/>
      <c r="R82" s="12">
        <f t="shared" ref="R82:R83" si="56">IF(P$12=0,0,P82/P$12)</f>
        <v>0.58445542240618242</v>
      </c>
      <c r="S82" s="4"/>
      <c r="T82" s="4">
        <f>SUM(OSRRefT25x_0)</f>
        <v>75625</v>
      </c>
      <c r="U82" s="4"/>
      <c r="V82" s="12">
        <f t="shared" ref="V82:V83" si="57">IF(T$12=0,0,T82/T$12)</f>
        <v>0.19505407350282297</v>
      </c>
      <c r="W82" s="4"/>
      <c r="X82" s="4">
        <f t="shared" ref="X82:X83" si="58">+P82-T82</f>
        <v>-1023</v>
      </c>
      <c r="Y82" s="4"/>
      <c r="Z82" s="12">
        <f t="shared" ref="Z82:Z83" si="59">IF(T82=0,0,X82/T82)</f>
        <v>-1.3527272727272728E-2</v>
      </c>
    </row>
    <row r="83" spans="1:26" s="24" customFormat="1" hidden="1" outlineLevel="1" x14ac:dyDescent="0.25">
      <c r="A83" s="44"/>
      <c r="B83" s="11" t="str">
        <f>CONCATENATE("          ", "9150", " - ", "MISC. INCOME")</f>
        <v xml:space="preserve">          9150 - MISC. INCOME</v>
      </c>
      <c r="C83" s="11"/>
      <c r="D83" s="2">
        <f>--6782</f>
        <v>6782</v>
      </c>
      <c r="E83" s="2"/>
      <c r="F83" s="19">
        <f t="shared" si="52"/>
        <v>0.52386311585006484</v>
      </c>
      <c r="G83" s="2"/>
      <c r="H83" s="2">
        <v>6875</v>
      </c>
      <c r="I83" s="2"/>
      <c r="J83" s="19">
        <f t="shared" si="53"/>
        <v>0.15988372093023256</v>
      </c>
      <c r="K83" s="2"/>
      <c r="L83" s="2">
        <f t="shared" si="54"/>
        <v>-93</v>
      </c>
      <c r="M83" s="2"/>
      <c r="N83" s="19">
        <f t="shared" si="55"/>
        <v>-1.3527272727272728E-2</v>
      </c>
      <c r="O83" s="11"/>
      <c r="P83" s="2">
        <f>--74602</f>
        <v>74602</v>
      </c>
      <c r="Q83" s="2"/>
      <c r="R83" s="19">
        <f t="shared" si="56"/>
        <v>0.58445542240618242</v>
      </c>
      <c r="S83" s="2"/>
      <c r="T83" s="2">
        <v>75625</v>
      </c>
      <c r="U83" s="2"/>
      <c r="V83" s="19">
        <f t="shared" si="57"/>
        <v>0.19505407350282297</v>
      </c>
      <c r="W83" s="2"/>
      <c r="X83" s="2">
        <f t="shared" si="58"/>
        <v>-1023</v>
      </c>
      <c r="Y83" s="2"/>
      <c r="Z83" s="19">
        <f t="shared" si="59"/>
        <v>-1.3527272727272728E-2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277</v>
      </c>
      <c r="C85" s="28"/>
      <c r="D85" s="20">
        <f>+D28-D30+D82</f>
        <v>6727.9700000000084</v>
      </c>
      <c r="E85" s="14"/>
      <c r="F85" s="21">
        <f>IF(D$12=0,0,D85/D$12)</f>
        <v>0.51968966787758264</v>
      </c>
      <c r="G85" s="14"/>
      <c r="H85" s="20">
        <f>+H28-H30+H82</f>
        <v>18555.792808507656</v>
      </c>
      <c r="I85" s="14"/>
      <c r="J85" s="21">
        <f>IF(H$12=0,0,H85/H$12)</f>
        <v>0.43153006531413157</v>
      </c>
      <c r="K85" s="15"/>
      <c r="L85" s="20">
        <f>+D85-H85</f>
        <v>-11827.822808507648</v>
      </c>
      <c r="M85" s="15"/>
      <c r="N85" s="21">
        <f>IF(H85=0,0,L85/H85)</f>
        <v>-0.63741942640600635</v>
      </c>
      <c r="O85" s="29"/>
      <c r="P85" s="20">
        <f>+P28-P30+P82</f>
        <v>-83314.320000000007</v>
      </c>
      <c r="Q85" s="14"/>
      <c r="R85" s="21">
        <f>IF(P$12=0,0,P85/P$12)</f>
        <v>-0.6527104647071641</v>
      </c>
      <c r="S85" s="14"/>
      <c r="T85" s="20">
        <f>+T28-T30+T82</f>
        <v>113028.069231592</v>
      </c>
      <c r="U85" s="14"/>
      <c r="V85" s="21">
        <f>IF(T$12=0,0,T85/T$12)</f>
        <v>0.29152509519049402</v>
      </c>
      <c r="W85" s="15"/>
      <c r="X85" s="20">
        <f>+P85-T85</f>
        <v>-196342.38923159201</v>
      </c>
      <c r="Y85" s="15"/>
      <c r="Z85" s="21">
        <f>IF(T85=0,0,X85/T85)</f>
        <v>-1.7371117684872668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128</v>
      </c>
      <c r="C87" s="10"/>
      <c r="D87" s="4">
        <v>3281.05</v>
      </c>
      <c r="E87" s="4"/>
      <c r="F87" s="12">
        <f>IF(D$12=0,0,D87/D$12)</f>
        <v>0.25343867240634849</v>
      </c>
      <c r="G87" s="4"/>
      <c r="H87" s="4">
        <v>9134</v>
      </c>
      <c r="I87" s="4"/>
      <c r="J87" s="12">
        <f>IF(H$12=0,0,H87/H$12)</f>
        <v>0.2124186046511628</v>
      </c>
      <c r="K87" s="4"/>
      <c r="L87" s="4">
        <f>+D87-H87</f>
        <v>-5852.95</v>
      </c>
      <c r="M87" s="4"/>
      <c r="N87" s="12">
        <f>IF(H87=0,0,L87/H87)</f>
        <v>-0.64078716881979414</v>
      </c>
      <c r="O87" s="10"/>
      <c r="P87" s="4">
        <v>27276.23</v>
      </c>
      <c r="Q87" s="4"/>
      <c r="R87" s="12">
        <f>IF(P$12=0,0,P87/P$12)</f>
        <v>0.21369052473523745</v>
      </c>
      <c r="S87" s="4"/>
      <c r="T87" s="4">
        <v>71576</v>
      </c>
      <c r="U87" s="4"/>
      <c r="V87" s="12">
        <f>IF(T$12=0,0,T87/T$12)</f>
        <v>0.18461078168645365</v>
      </c>
      <c r="W87" s="4"/>
      <c r="X87" s="4">
        <f>+P87-T87</f>
        <v>-44299.770000000004</v>
      </c>
      <c r="Y87" s="4"/>
      <c r="Z87" s="12">
        <f>IF(T87=0,0,X87/T87)</f>
        <v>-0.61891933050184422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126</v>
      </c>
      <c r="C89" s="28"/>
      <c r="D89" s="35">
        <f>+D85-D87</f>
        <v>3446.9200000000083</v>
      </c>
      <c r="E89" s="14"/>
      <c r="F89" s="34">
        <f>IF(D$12=0,0,D89/D$12)</f>
        <v>0.26625099547123415</v>
      </c>
      <c r="G89" s="14"/>
      <c r="H89" s="35">
        <f>+H85-H87</f>
        <v>9421.7928085076564</v>
      </c>
      <c r="I89" s="14"/>
      <c r="J89" s="34">
        <f>IF(H$12=0,0,H89/H$12)</f>
        <v>0.21911146066296874</v>
      </c>
      <c r="K89" s="15"/>
      <c r="L89" s="35">
        <f>D89-H89</f>
        <v>-5974.8728085076482</v>
      </c>
      <c r="M89" s="15"/>
      <c r="N89" s="34">
        <f>IF(H89=0,0,L89/H89)</f>
        <v>-0.63415455316662017</v>
      </c>
      <c r="O89" s="29"/>
      <c r="P89" s="35">
        <f>+P85-P87</f>
        <v>-110590.55</v>
      </c>
      <c r="Q89" s="14"/>
      <c r="R89" s="34">
        <f>IF(P$12=0,0,P89/P$12)</f>
        <v>-0.86640098944240151</v>
      </c>
      <c r="S89" s="14"/>
      <c r="T89" s="35">
        <f>+T85-T87</f>
        <v>41452.069231592002</v>
      </c>
      <c r="U89" s="14"/>
      <c r="V89" s="34">
        <f>IF(T$12=0,0,T89/T$12)</f>
        <v>0.10691431350404036</v>
      </c>
      <c r="W89" s="15"/>
      <c r="X89" s="35">
        <f>P89-T89</f>
        <v>-152042.61923159199</v>
      </c>
      <c r="Y89" s="15"/>
      <c r="Z89" s="34">
        <f>IF(T89=0,0,X89/T89)</f>
        <v>-3.6679138593089884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294</v>
      </c>
      <c r="C92" s="28"/>
      <c r="D92" s="33">
        <f>SUM(D89:D91)</f>
        <v>3446.9200000000083</v>
      </c>
      <c r="E92" s="14"/>
      <c r="F92" s="32">
        <f>IF(D$12=0,0,D92/D$12)</f>
        <v>0.26625099547123415</v>
      </c>
      <c r="G92" s="14"/>
      <c r="H92" s="33">
        <f>SUM(H89:H91)</f>
        <v>9421.7928085076564</v>
      </c>
      <c r="I92" s="14"/>
      <c r="J92" s="32">
        <f>IF(H$12=0,0,H92/H$12)</f>
        <v>0.21911146066296874</v>
      </c>
      <c r="K92" s="15"/>
      <c r="L92" s="33">
        <f>+D92-H92</f>
        <v>-5974.8728085076482</v>
      </c>
      <c r="M92" s="15"/>
      <c r="N92" s="32">
        <f>IF(H92=0,0,L92/H92)</f>
        <v>-0.63415455316662017</v>
      </c>
      <c r="O92" s="29"/>
      <c r="P92" s="33">
        <f>SUM(P89:P91)</f>
        <v>-110590.55</v>
      </c>
      <c r="Q92" s="14"/>
      <c r="R92" s="32">
        <f>IF(P$12=0,0,P92/P$12)</f>
        <v>-0.86640098944240151</v>
      </c>
      <c r="S92" s="14"/>
      <c r="T92" s="33">
        <f>SUM(T89:T91)</f>
        <v>41452.069231592002</v>
      </c>
      <c r="U92" s="14"/>
      <c r="V92" s="32">
        <f>IF(T$12=0,0,T92/T$12)</f>
        <v>0.10691431350404036</v>
      </c>
      <c r="W92" s="15"/>
      <c r="X92" s="33">
        <f>+P92-T92</f>
        <v>-152042.61923159199</v>
      </c>
      <c r="Y92" s="15"/>
      <c r="Z92" s="32">
        <f>IF(T92=0,0,X92/T92)</f>
        <v>-3.6679138593089884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60">
        <v>44356.891834571761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5" t="s">
        <v>56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63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4:24" x14ac:dyDescent="0.25"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149780.6</v>
      </c>
      <c r="E12" s="4"/>
      <c r="F12" s="12"/>
      <c r="G12" s="4"/>
      <c r="H12" s="4">
        <f>SUM(OSRRefH13x_0)</f>
        <v>104339</v>
      </c>
      <c r="I12" s="4"/>
      <c r="J12" s="12"/>
      <c r="K12" s="4"/>
      <c r="L12" s="4">
        <f t="shared" ref="L12:L31" si="0">+D12-H12</f>
        <v>45441.600000000006</v>
      </c>
      <c r="M12" s="4"/>
      <c r="N12" s="12">
        <f t="shared" ref="N12:N31" si="1">IF(H12=0,0,L12/H12)</f>
        <v>0.4355188376350167</v>
      </c>
      <c r="O12" s="10"/>
      <c r="P12" s="4">
        <f>SUM(OSRRefP13x_0)</f>
        <v>2572564.4999999995</v>
      </c>
      <c r="Q12" s="4"/>
      <c r="R12" s="12"/>
      <c r="S12" s="4"/>
      <c r="T12" s="4">
        <f>SUM(OSRRefT13x_0)</f>
        <v>2210083</v>
      </c>
      <c r="U12" s="4"/>
      <c r="V12" s="12"/>
      <c r="W12" s="4"/>
      <c r="X12" s="4">
        <f t="shared" ref="X12:X31" si="2">+P12-T12</f>
        <v>362481.49999999953</v>
      </c>
      <c r="Y12" s="4"/>
      <c r="Z12" s="12">
        <f t="shared" ref="Z12:Z31" si="3">IF(T12=0,0,X12/T12)</f>
        <v>0.16401261853061605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-55.8</f>
        <v>-55.8</v>
      </c>
      <c r="E13" s="2"/>
      <c r="F13" s="19"/>
      <c r="G13" s="2"/>
      <c r="H13" s="2">
        <v>91818</v>
      </c>
      <c r="I13" s="2"/>
      <c r="J13" s="19"/>
      <c r="K13" s="2"/>
      <c r="L13" s="2">
        <f t="shared" si="0"/>
        <v>-91873.8</v>
      </c>
      <c r="M13" s="2"/>
      <c r="N13" s="19">
        <f t="shared" si="1"/>
        <v>-1.000607723975691</v>
      </c>
      <c r="O13" s="11"/>
      <c r="P13" s="2">
        <f>-2963.91</f>
        <v>-2963.91</v>
      </c>
      <c r="Q13" s="2"/>
      <c r="R13" s="19"/>
      <c r="S13" s="2"/>
      <c r="T13" s="2">
        <v>2035081</v>
      </c>
      <c r="U13" s="2"/>
      <c r="V13" s="19"/>
      <c r="W13" s="2"/>
      <c r="X13" s="2">
        <f t="shared" si="2"/>
        <v>-2038044.91</v>
      </c>
      <c r="Y13" s="2"/>
      <c r="Z13" s="19">
        <f t="shared" si="3"/>
        <v>-1.0014564088603843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--1857.91</f>
        <v>1857.91</v>
      </c>
      <c r="E14" s="2"/>
      <c r="F14" s="19"/>
      <c r="G14" s="2"/>
      <c r="H14" s="2"/>
      <c r="I14" s="2"/>
      <c r="J14" s="19"/>
      <c r="K14" s="2"/>
      <c r="L14" s="2">
        <f t="shared" si="0"/>
        <v>1857.91</v>
      </c>
      <c r="M14" s="2"/>
      <c r="N14" s="19">
        <f t="shared" si="1"/>
        <v>0</v>
      </c>
      <c r="O14" s="11"/>
      <c r="P14" s="2">
        <f>--63953.98</f>
        <v>63953.98</v>
      </c>
      <c r="Q14" s="2"/>
      <c r="R14" s="19"/>
      <c r="S14" s="2"/>
      <c r="T14" s="2"/>
      <c r="U14" s="2"/>
      <c r="V14" s="19"/>
      <c r="W14" s="2"/>
      <c r="X14" s="2">
        <f t="shared" si="2"/>
        <v>63953.98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--117610.99</f>
        <v>117610.99</v>
      </c>
      <c r="E15" s="2"/>
      <c r="F15" s="19"/>
      <c r="G15" s="2"/>
      <c r="H15" s="2"/>
      <c r="I15" s="2"/>
      <c r="J15" s="19"/>
      <c r="K15" s="2"/>
      <c r="L15" s="2">
        <f t="shared" si="0"/>
        <v>117610.99</v>
      </c>
      <c r="M15" s="2"/>
      <c r="N15" s="19">
        <f t="shared" si="1"/>
        <v>0</v>
      </c>
      <c r="O15" s="11"/>
      <c r="P15" s="2">
        <f>--2129658.62</f>
        <v>2129658.62</v>
      </c>
      <c r="Q15" s="2"/>
      <c r="R15" s="19"/>
      <c r="S15" s="2"/>
      <c r="T15" s="2"/>
      <c r="U15" s="2"/>
      <c r="V15" s="19"/>
      <c r="W15" s="2"/>
      <c r="X15" s="2">
        <f t="shared" si="2"/>
        <v>2129658.62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--10204.05</f>
        <v>10204.049999999999</v>
      </c>
      <c r="E16" s="2"/>
      <c r="F16" s="19"/>
      <c r="G16" s="2"/>
      <c r="H16" s="2"/>
      <c r="I16" s="2"/>
      <c r="J16" s="19"/>
      <c r="K16" s="2"/>
      <c r="L16" s="2">
        <f t="shared" si="0"/>
        <v>10204.049999999999</v>
      </c>
      <c r="M16" s="2"/>
      <c r="N16" s="19">
        <f t="shared" si="1"/>
        <v>0</v>
      </c>
      <c r="O16" s="11"/>
      <c r="P16" s="2">
        <f>--137136.99</f>
        <v>137136.99</v>
      </c>
      <c r="Q16" s="2"/>
      <c r="R16" s="19"/>
      <c r="S16" s="2"/>
      <c r="T16" s="2"/>
      <c r="U16" s="2"/>
      <c r="V16" s="19"/>
      <c r="W16" s="2"/>
      <c r="X16" s="2">
        <f t="shared" si="2"/>
        <v>137136.99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--4870.79</f>
        <v>4870.79</v>
      </c>
      <c r="Q17" s="2"/>
      <c r="R17" s="19"/>
      <c r="S17" s="2"/>
      <c r="T17" s="2"/>
      <c r="U17" s="2"/>
      <c r="V17" s="19"/>
      <c r="W17" s="2"/>
      <c r="X17" s="2">
        <f t="shared" si="2"/>
        <v>4870.79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--1662.79</f>
        <v>1662.79</v>
      </c>
      <c r="E18" s="2"/>
      <c r="F18" s="19"/>
      <c r="G18" s="2"/>
      <c r="H18" s="2"/>
      <c r="I18" s="2"/>
      <c r="J18" s="19"/>
      <c r="K18" s="2"/>
      <c r="L18" s="2">
        <f t="shared" si="0"/>
        <v>1662.79</v>
      </c>
      <c r="M18" s="2"/>
      <c r="N18" s="19">
        <f t="shared" si="1"/>
        <v>0</v>
      </c>
      <c r="O18" s="11"/>
      <c r="P18" s="2">
        <f>--66932.42</f>
        <v>66932.42</v>
      </c>
      <c r="Q18" s="2"/>
      <c r="R18" s="19"/>
      <c r="S18" s="2"/>
      <c r="T18" s="2"/>
      <c r="U18" s="2"/>
      <c r="V18" s="19"/>
      <c r="W18" s="2"/>
      <c r="X18" s="2">
        <f t="shared" si="2"/>
        <v>66932.42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12521</v>
      </c>
      <c r="I19" s="2"/>
      <c r="J19" s="19"/>
      <c r="K19" s="2"/>
      <c r="L19" s="2">
        <f t="shared" si="0"/>
        <v>-12521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175002</v>
      </c>
      <c r="U19" s="2"/>
      <c r="V19" s="19"/>
      <c r="W19" s="2"/>
      <c r="X19" s="2">
        <f t="shared" si="2"/>
        <v>-175002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--1779.96</f>
        <v>1779.96</v>
      </c>
      <c r="E20" s="2"/>
      <c r="F20" s="19"/>
      <c r="G20" s="2"/>
      <c r="H20" s="2"/>
      <c r="I20" s="2"/>
      <c r="J20" s="19"/>
      <c r="K20" s="2"/>
      <c r="L20" s="2">
        <f t="shared" si="0"/>
        <v>1779.96</v>
      </c>
      <c r="M20" s="2"/>
      <c r="N20" s="19">
        <f t="shared" si="1"/>
        <v>0</v>
      </c>
      <c r="O20" s="11"/>
      <c r="P20" s="2">
        <f>--14288.58</f>
        <v>14288.58</v>
      </c>
      <c r="Q20" s="2"/>
      <c r="R20" s="19"/>
      <c r="S20" s="2"/>
      <c r="T20" s="2"/>
      <c r="U20" s="2"/>
      <c r="V20" s="19"/>
      <c r="W20" s="2"/>
      <c r="X20" s="2">
        <f t="shared" si="2"/>
        <v>14288.58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--33038.75</f>
        <v>33038.75</v>
      </c>
      <c r="E21" s="2"/>
      <c r="F21" s="19"/>
      <c r="G21" s="2"/>
      <c r="H21" s="2"/>
      <c r="I21" s="2"/>
      <c r="J21" s="19"/>
      <c r="K21" s="2"/>
      <c r="L21" s="2">
        <f t="shared" si="0"/>
        <v>33038.75</v>
      </c>
      <c r="M21" s="2"/>
      <c r="N21" s="19">
        <f t="shared" si="1"/>
        <v>0</v>
      </c>
      <c r="O21" s="11"/>
      <c r="P21" s="2">
        <f>--347529.22</f>
        <v>347529.22</v>
      </c>
      <c r="Q21" s="2"/>
      <c r="R21" s="19"/>
      <c r="S21" s="2"/>
      <c r="T21" s="2"/>
      <c r="U21" s="2"/>
      <c r="V21" s="19"/>
      <c r="W21" s="2"/>
      <c r="X21" s="2">
        <f t="shared" si="2"/>
        <v>347529.22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--2959.73</f>
        <v>2959.73</v>
      </c>
      <c r="E22" s="2"/>
      <c r="F22" s="19"/>
      <c r="G22" s="2"/>
      <c r="H22" s="2"/>
      <c r="I22" s="2"/>
      <c r="J22" s="19"/>
      <c r="K22" s="2"/>
      <c r="L22" s="2">
        <f t="shared" si="0"/>
        <v>2959.73</v>
      </c>
      <c r="M22" s="2"/>
      <c r="N22" s="19">
        <f t="shared" si="1"/>
        <v>0</v>
      </c>
      <c r="O22" s="11"/>
      <c r="P22" s="2">
        <f>--22445.75</f>
        <v>22445.75</v>
      </c>
      <c r="Q22" s="2"/>
      <c r="R22" s="19"/>
      <c r="S22" s="2"/>
      <c r="T22" s="2"/>
      <c r="U22" s="2"/>
      <c r="V22" s="19"/>
      <c r="W22" s="2"/>
      <c r="X22" s="2">
        <f t="shared" si="2"/>
        <v>22445.75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>--5925.22</f>
        <v>5925.22</v>
      </c>
      <c r="E23" s="2"/>
      <c r="F23" s="19"/>
      <c r="G23" s="2"/>
      <c r="H23" s="2"/>
      <c r="I23" s="2"/>
      <c r="J23" s="19"/>
      <c r="K23" s="2"/>
      <c r="L23" s="2">
        <f t="shared" si="0"/>
        <v>5925.22</v>
      </c>
      <c r="M23" s="2"/>
      <c r="N23" s="19">
        <f t="shared" si="1"/>
        <v>0</v>
      </c>
      <c r="O23" s="11"/>
      <c r="P23" s="2">
        <f>--55957.61</f>
        <v>55957.61</v>
      </c>
      <c r="Q23" s="2"/>
      <c r="R23" s="19"/>
      <c r="S23" s="2"/>
      <c r="T23" s="2"/>
      <c r="U23" s="2"/>
      <c r="V23" s="19"/>
      <c r="W23" s="2"/>
      <c r="X23" s="2">
        <f t="shared" si="2"/>
        <v>55957.61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--133.97</f>
        <v>133.97</v>
      </c>
      <c r="E24" s="2"/>
      <c r="F24" s="19"/>
      <c r="G24" s="2"/>
      <c r="H24" s="2"/>
      <c r="I24" s="2"/>
      <c r="J24" s="19"/>
      <c r="K24" s="2"/>
      <c r="L24" s="2">
        <f t="shared" si="0"/>
        <v>133.97</v>
      </c>
      <c r="M24" s="2"/>
      <c r="N24" s="19">
        <f t="shared" si="1"/>
        <v>0</v>
      </c>
      <c r="O24" s="11"/>
      <c r="P24" s="2">
        <f>--3479.14</f>
        <v>3479.14</v>
      </c>
      <c r="Q24" s="2"/>
      <c r="R24" s="19"/>
      <c r="S24" s="2"/>
      <c r="T24" s="2"/>
      <c r="U24" s="2"/>
      <c r="V24" s="19"/>
      <c r="W24" s="2"/>
      <c r="X24" s="2">
        <f t="shared" si="2"/>
        <v>3479.14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-79.99</f>
        <v>-79.989999999999995</v>
      </c>
      <c r="E25" s="2"/>
      <c r="F25" s="19"/>
      <c r="G25" s="2"/>
      <c r="H25" s="2"/>
      <c r="I25" s="2"/>
      <c r="J25" s="19"/>
      <c r="K25" s="2"/>
      <c r="L25" s="2">
        <f t="shared" si="0"/>
        <v>-79.989999999999995</v>
      </c>
      <c r="M25" s="2"/>
      <c r="N25" s="19">
        <f t="shared" si="1"/>
        <v>0</v>
      </c>
      <c r="O25" s="11"/>
      <c r="P25" s="2">
        <f>-14842.13</f>
        <v>-14842.13</v>
      </c>
      <c r="Q25" s="2"/>
      <c r="R25" s="19"/>
      <c r="S25" s="2"/>
      <c r="T25" s="2"/>
      <c r="U25" s="2"/>
      <c r="V25" s="19"/>
      <c r="W25" s="2"/>
      <c r="X25" s="2">
        <f t="shared" si="2"/>
        <v>-14842.13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-25075.01</f>
        <v>-25075.01</v>
      </c>
      <c r="E26" s="2"/>
      <c r="F26" s="19"/>
      <c r="G26" s="2"/>
      <c r="H26" s="2"/>
      <c r="I26" s="2"/>
      <c r="J26" s="19"/>
      <c r="K26" s="2"/>
      <c r="L26" s="2">
        <f t="shared" si="0"/>
        <v>-25075.01</v>
      </c>
      <c r="M26" s="2"/>
      <c r="N26" s="19">
        <f t="shared" si="1"/>
        <v>0</v>
      </c>
      <c r="O26" s="11"/>
      <c r="P26" s="2">
        <f>-240220.17</f>
        <v>-240220.17</v>
      </c>
      <c r="Q26" s="2"/>
      <c r="R26" s="19"/>
      <c r="S26" s="2"/>
      <c r="T26" s="2"/>
      <c r="U26" s="2"/>
      <c r="V26" s="19"/>
      <c r="W26" s="2"/>
      <c r="X26" s="2">
        <f t="shared" si="2"/>
        <v>-240220.17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-181.97</f>
        <v>-181.97</v>
      </c>
      <c r="E27" s="2"/>
      <c r="F27" s="19"/>
      <c r="G27" s="2"/>
      <c r="H27" s="2"/>
      <c r="I27" s="2"/>
      <c r="J27" s="19"/>
      <c r="K27" s="2"/>
      <c r="L27" s="2">
        <f t="shared" si="0"/>
        <v>-181.97</v>
      </c>
      <c r="M27" s="2"/>
      <c r="N27" s="19">
        <f t="shared" si="1"/>
        <v>0</v>
      </c>
      <c r="O27" s="11"/>
      <c r="P27" s="2">
        <f>-4129.17</f>
        <v>-4129.17</v>
      </c>
      <c r="Q27" s="2"/>
      <c r="R27" s="19"/>
      <c r="S27" s="2"/>
      <c r="T27" s="2"/>
      <c r="U27" s="2"/>
      <c r="V27" s="19"/>
      <c r="W27" s="2"/>
      <c r="X27" s="2">
        <f t="shared" si="2"/>
        <v>-4129.17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 t="shared" ref="D28:D31" si="4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-1091.79</f>
        <v>-1091.79</v>
      </c>
      <c r="Q28" s="2"/>
      <c r="R28" s="19"/>
      <c r="S28" s="2"/>
      <c r="T28" s="2"/>
      <c r="U28" s="2"/>
      <c r="V28" s="19"/>
      <c r="W28" s="2"/>
      <c r="X28" s="2">
        <f t="shared" si="2"/>
        <v>-1091.79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 t="shared" si="4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-4802.29</f>
        <v>-4802.29</v>
      </c>
      <c r="Q29" s="2"/>
      <c r="R29" s="19"/>
      <c r="S29" s="2"/>
      <c r="T29" s="2"/>
      <c r="U29" s="2"/>
      <c r="V29" s="19"/>
      <c r="W29" s="2"/>
      <c r="X29" s="2">
        <f t="shared" si="2"/>
        <v>-4802.29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-5624.15</f>
        <v>-5624.15</v>
      </c>
      <c r="Q30" s="2"/>
      <c r="R30" s="19"/>
      <c r="S30" s="2"/>
      <c r="T30" s="2"/>
      <c r="U30" s="2"/>
      <c r="V30" s="19"/>
      <c r="W30" s="2"/>
      <c r="X30" s="2">
        <f t="shared" si="2"/>
        <v>-5624.15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"4383", " - ", "SALES RETURN NON TAXABLE-COMPU")</f>
        <v xml:space="preserve">          4383 - SALES RETURN NON TAXABLE-COMPU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-14.99</f>
        <v>-14.99</v>
      </c>
      <c r="Q31" s="2"/>
      <c r="R31" s="19"/>
      <c r="S31" s="2"/>
      <c r="T31" s="2"/>
      <c r="U31" s="2"/>
      <c r="V31" s="19"/>
      <c r="W31" s="2"/>
      <c r="X31" s="2">
        <f t="shared" si="2"/>
        <v>-14.99</v>
      </c>
      <c r="Y31" s="2"/>
      <c r="Z31" s="19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9" t="s">
        <v>257</v>
      </c>
      <c r="C33" s="10"/>
      <c r="D33" s="4">
        <f>SUM(OSRRefD16x_0)</f>
        <v>56555</v>
      </c>
      <c r="E33" s="4"/>
      <c r="F33" s="12">
        <f t="shared" ref="F33:F47" si="5">IF(D$12=0,0,D33/D$12)</f>
        <v>0.377585615226538</v>
      </c>
      <c r="G33" s="4"/>
      <c r="H33" s="4">
        <f>SUM(OSRRefH16x_0)</f>
        <v>122353</v>
      </c>
      <c r="I33" s="4"/>
      <c r="J33" s="12">
        <f t="shared" ref="J33:J47" si="6">IF(H$12=0,0,H33/H$12)</f>
        <v>1.1726487698751187</v>
      </c>
      <c r="K33" s="4"/>
      <c r="L33" s="4">
        <f t="shared" ref="L33:L47" si="7">+D33-H33</f>
        <v>-65798</v>
      </c>
      <c r="M33" s="4"/>
      <c r="N33" s="12">
        <f t="shared" ref="N33:N47" si="8">IF(H33=0,0,L33/H33)</f>
        <v>-0.53777185684045348</v>
      </c>
      <c r="O33" s="10"/>
      <c r="P33" s="4">
        <f>SUM(OSRRefP16x_0)</f>
        <v>2290489.8400000003</v>
      </c>
      <c r="Q33" s="4"/>
      <c r="R33" s="12">
        <f t="shared" ref="R33:R47" si="9">IF(P$12=0,0,P33/P$12)</f>
        <v>0.89035273556795202</v>
      </c>
      <c r="S33" s="4"/>
      <c r="T33" s="4">
        <f>SUM(OSRRefT16x_0)</f>
        <v>1834265</v>
      </c>
      <c r="U33" s="4"/>
      <c r="V33" s="12">
        <f t="shared" ref="V33:V47" si="10">IF(T$12=0,0,T33/T$12)</f>
        <v>0.82995299271565814</v>
      </c>
      <c r="W33" s="4"/>
      <c r="X33" s="4">
        <f t="shared" ref="X33:X47" si="11">+P33-T33</f>
        <v>456224.84000000032</v>
      </c>
      <c r="Y33" s="4"/>
      <c r="Z33" s="12">
        <f t="shared" ref="Z33:Z47" si="12">IF(T33=0,0,X33/T33)</f>
        <v>0.24872351595870842</v>
      </c>
    </row>
    <row r="34" spans="1:26" s="24" customFormat="1" hidden="1" outlineLevel="1" x14ac:dyDescent="0.25">
      <c r="A34" s="44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19">
        <f t="shared" si="5"/>
        <v>0</v>
      </c>
      <c r="G34" s="2"/>
      <c r="H34" s="2">
        <v>122353</v>
      </c>
      <c r="I34" s="2"/>
      <c r="J34" s="19">
        <f t="shared" si="6"/>
        <v>1.1726487698751187</v>
      </c>
      <c r="K34" s="2"/>
      <c r="L34" s="2">
        <f t="shared" si="7"/>
        <v>-122353</v>
      </c>
      <c r="M34" s="2"/>
      <c r="N34" s="19">
        <f t="shared" si="8"/>
        <v>-1</v>
      </c>
      <c r="O34" s="11"/>
      <c r="P34" s="2">
        <v>0</v>
      </c>
      <c r="Q34" s="2"/>
      <c r="R34" s="19">
        <f t="shared" si="9"/>
        <v>0</v>
      </c>
      <c r="S34" s="2"/>
      <c r="T34" s="2">
        <v>1834265</v>
      </c>
      <c r="U34" s="2"/>
      <c r="V34" s="19">
        <f t="shared" si="10"/>
        <v>0.82995299271565814</v>
      </c>
      <c r="W34" s="2"/>
      <c r="X34" s="2">
        <f t="shared" si="11"/>
        <v>-1834265</v>
      </c>
      <c r="Y34" s="2"/>
      <c r="Z34" s="19">
        <f t="shared" si="12"/>
        <v>-1</v>
      </c>
    </row>
    <row r="35" spans="1:26" s="24" customFormat="1" hidden="1" outlineLevel="1" x14ac:dyDescent="0.25">
      <c r="A35" s="44"/>
      <c r="B35" s="11" t="str">
        <f>CONCATENATE("          ", "5081", " - ", "PURCHASES @ COST-ELECTRONICS")</f>
        <v xml:space="preserve">          5081 - PURCHASES @ COST-ELECTRONICS</v>
      </c>
      <c r="C35" s="11"/>
      <c r="D35" s="2">
        <v>-28.91</v>
      </c>
      <c r="E35" s="2"/>
      <c r="F35" s="19">
        <f t="shared" si="5"/>
        <v>-1.9301565089203807E-4</v>
      </c>
      <c r="G35" s="2"/>
      <c r="H35" s="2"/>
      <c r="I35" s="2"/>
      <c r="J35" s="19">
        <f t="shared" si="6"/>
        <v>0</v>
      </c>
      <c r="K35" s="2"/>
      <c r="L35" s="2">
        <f t="shared" si="7"/>
        <v>-28.91</v>
      </c>
      <c r="M35" s="2"/>
      <c r="N35" s="19">
        <f t="shared" si="8"/>
        <v>0</v>
      </c>
      <c r="O35" s="11"/>
      <c r="P35" s="2">
        <v>32419.46</v>
      </c>
      <c r="Q35" s="2"/>
      <c r="R35" s="19">
        <f t="shared" si="9"/>
        <v>1.2602000843904984E-2</v>
      </c>
      <c r="S35" s="2"/>
      <c r="T35" s="2"/>
      <c r="U35" s="2"/>
      <c r="V35" s="19">
        <f t="shared" si="10"/>
        <v>0</v>
      </c>
      <c r="W35" s="2"/>
      <c r="X35" s="2">
        <f t="shared" si="11"/>
        <v>32419.46</v>
      </c>
      <c r="Y35" s="2"/>
      <c r="Z35" s="19">
        <f t="shared" si="12"/>
        <v>0</v>
      </c>
    </row>
    <row r="36" spans="1:26" s="24" customFormat="1" hidden="1" outlineLevel="1" x14ac:dyDescent="0.25">
      <c r="A36" s="44"/>
      <c r="B36" s="11" t="str">
        <f>CONCATENATE("          ", "5082", " - ", "PURCHASES @ COST-COMPUTER HARD")</f>
        <v xml:space="preserve">          5082 - PURCHASES @ COST-COMPUTER HARD</v>
      </c>
      <c r="C36" s="11"/>
      <c r="D36" s="2">
        <v>129194.07</v>
      </c>
      <c r="E36" s="2"/>
      <c r="F36" s="19">
        <f t="shared" si="5"/>
        <v>0.86255543107718891</v>
      </c>
      <c r="G36" s="2"/>
      <c r="H36" s="2"/>
      <c r="I36" s="2"/>
      <c r="J36" s="19">
        <f t="shared" si="6"/>
        <v>0</v>
      </c>
      <c r="K36" s="2"/>
      <c r="L36" s="2">
        <f t="shared" si="7"/>
        <v>129194.07</v>
      </c>
      <c r="M36" s="2"/>
      <c r="N36" s="19">
        <f t="shared" si="8"/>
        <v>0</v>
      </c>
      <c r="O36" s="11"/>
      <c r="P36" s="2">
        <v>1802534.87</v>
      </c>
      <c r="Q36" s="2"/>
      <c r="R36" s="19">
        <f t="shared" si="9"/>
        <v>0.70067625904034692</v>
      </c>
      <c r="S36" s="2"/>
      <c r="T36" s="2"/>
      <c r="U36" s="2"/>
      <c r="V36" s="19">
        <f t="shared" si="10"/>
        <v>0</v>
      </c>
      <c r="W36" s="2"/>
      <c r="X36" s="2">
        <f t="shared" si="11"/>
        <v>1802534.87</v>
      </c>
      <c r="Y36" s="2"/>
      <c r="Z36" s="19">
        <f t="shared" si="12"/>
        <v>0</v>
      </c>
    </row>
    <row r="37" spans="1:26" s="24" customFormat="1" hidden="1" outlineLevel="1" x14ac:dyDescent="0.25">
      <c r="A37" s="44"/>
      <c r="B37" s="11" t="str">
        <f>CONCATENATE("          ", "5083", " - ", "PURCHASES @ COST-COMPUTER EQUI")</f>
        <v xml:space="preserve">          5083 - PURCHASES @ COST-COMPUTER EQUI</v>
      </c>
      <c r="C37" s="11"/>
      <c r="D37" s="2">
        <v>7514.45</v>
      </c>
      <c r="E37" s="2"/>
      <c r="F37" s="19">
        <f t="shared" si="5"/>
        <v>5.0169714902998118E-2</v>
      </c>
      <c r="G37" s="2"/>
      <c r="H37" s="2"/>
      <c r="I37" s="2"/>
      <c r="J37" s="19">
        <f t="shared" si="6"/>
        <v>0</v>
      </c>
      <c r="K37" s="2"/>
      <c r="L37" s="2">
        <f t="shared" si="7"/>
        <v>7514.45</v>
      </c>
      <c r="M37" s="2"/>
      <c r="N37" s="19">
        <f t="shared" si="8"/>
        <v>0</v>
      </c>
      <c r="O37" s="11"/>
      <c r="P37" s="2">
        <v>127029.94</v>
      </c>
      <c r="Q37" s="2"/>
      <c r="R37" s="19">
        <f t="shared" si="9"/>
        <v>4.9378719173027545E-2</v>
      </c>
      <c r="S37" s="2"/>
      <c r="T37" s="2"/>
      <c r="U37" s="2"/>
      <c r="V37" s="19">
        <f t="shared" si="10"/>
        <v>0</v>
      </c>
      <c r="W37" s="2"/>
      <c r="X37" s="2">
        <f t="shared" si="11"/>
        <v>127029.94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"5085", " - ", "PURCHASES @ COST-SOFTWARE")</f>
        <v xml:space="preserve">          5085 - PURCHASES @ COST-SOFTWARE</v>
      </c>
      <c r="C38" s="11"/>
      <c r="D38" s="2">
        <v>8375.49</v>
      </c>
      <c r="E38" s="2"/>
      <c r="F38" s="19">
        <f t="shared" si="5"/>
        <v>5.5918389965055548E-2</v>
      </c>
      <c r="G38" s="2"/>
      <c r="H38" s="2"/>
      <c r="I38" s="2"/>
      <c r="J38" s="19">
        <f t="shared" si="6"/>
        <v>0</v>
      </c>
      <c r="K38" s="2"/>
      <c r="L38" s="2">
        <f t="shared" si="7"/>
        <v>8375.49</v>
      </c>
      <c r="M38" s="2"/>
      <c r="N38" s="19">
        <f t="shared" si="8"/>
        <v>0</v>
      </c>
      <c r="O38" s="11"/>
      <c r="P38" s="2">
        <v>46286.37</v>
      </c>
      <c r="Q38" s="2"/>
      <c r="R38" s="19">
        <f t="shared" si="9"/>
        <v>1.7992306898427624E-2</v>
      </c>
      <c r="S38" s="2"/>
      <c r="T38" s="2"/>
      <c r="U38" s="2"/>
      <c r="V38" s="19">
        <f t="shared" si="10"/>
        <v>0</v>
      </c>
      <c r="W38" s="2"/>
      <c r="X38" s="2">
        <f t="shared" si="11"/>
        <v>46286.37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"5086", " - ", "PURCHASES @ COST-COMPUTER SUPP")</f>
        <v xml:space="preserve">          5086 - PURCHASES @ COST-COMPUTER SUPP</v>
      </c>
      <c r="C39" s="11"/>
      <c r="D39" s="2">
        <v>83.62</v>
      </c>
      <c r="E39" s="2"/>
      <c r="F39" s="19">
        <f t="shared" si="5"/>
        <v>5.5828324896548681E-4</v>
      </c>
      <c r="G39" s="2"/>
      <c r="H39" s="2"/>
      <c r="I39" s="2"/>
      <c r="J39" s="19">
        <f t="shared" si="6"/>
        <v>0</v>
      </c>
      <c r="K39" s="2"/>
      <c r="L39" s="2">
        <f t="shared" si="7"/>
        <v>83.62</v>
      </c>
      <c r="M39" s="2"/>
      <c r="N39" s="19">
        <f t="shared" si="8"/>
        <v>0</v>
      </c>
      <c r="O39" s="11"/>
      <c r="P39" s="2">
        <v>23763.01</v>
      </c>
      <c r="Q39" s="2"/>
      <c r="R39" s="19">
        <f t="shared" si="9"/>
        <v>9.2370900710166855E-3</v>
      </c>
      <c r="S39" s="2"/>
      <c r="T39" s="2"/>
      <c r="U39" s="2"/>
      <c r="V39" s="19">
        <f t="shared" si="10"/>
        <v>0</v>
      </c>
      <c r="W39" s="2"/>
      <c r="X39" s="2">
        <f t="shared" si="11"/>
        <v>23763.01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"5200", " - ", "PURCHASES OFFSET")</f>
        <v xml:space="preserve">          5200 - PURCHASES OFFSET</v>
      </c>
      <c r="C40" s="11"/>
      <c r="D40" s="2">
        <v>-145158.72</v>
      </c>
      <c r="E40" s="2"/>
      <c r="F40" s="19">
        <f t="shared" si="5"/>
        <v>-0.96914233218454193</v>
      </c>
      <c r="G40" s="2"/>
      <c r="H40" s="2"/>
      <c r="I40" s="2"/>
      <c r="J40" s="19">
        <f t="shared" si="6"/>
        <v>0</v>
      </c>
      <c r="K40" s="2"/>
      <c r="L40" s="2">
        <f t="shared" si="7"/>
        <v>-145158.72</v>
      </c>
      <c r="M40" s="2"/>
      <c r="N40" s="19">
        <f t="shared" si="8"/>
        <v>0</v>
      </c>
      <c r="O40" s="11"/>
      <c r="P40" s="2">
        <v>-2028539.8</v>
      </c>
      <c r="Q40" s="2"/>
      <c r="R40" s="19">
        <f t="shared" si="9"/>
        <v>-0.78852825653156622</v>
      </c>
      <c r="S40" s="2"/>
      <c r="T40" s="2"/>
      <c r="U40" s="2"/>
      <c r="V40" s="19">
        <f t="shared" si="10"/>
        <v>0</v>
      </c>
      <c r="W40" s="2"/>
      <c r="X40" s="2">
        <f t="shared" si="11"/>
        <v>-2028539.8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"5300", " - ", "COG$ OFFSET")</f>
        <v xml:space="preserve">          5300 - COG$ OFFSET</v>
      </c>
      <c r="C41" s="11"/>
      <c r="D41" s="2">
        <v>56555</v>
      </c>
      <c r="E41" s="2"/>
      <c r="F41" s="19">
        <f t="shared" si="5"/>
        <v>0.377585615226538</v>
      </c>
      <c r="G41" s="2"/>
      <c r="H41" s="2"/>
      <c r="I41" s="2"/>
      <c r="J41" s="19">
        <f t="shared" si="6"/>
        <v>0</v>
      </c>
      <c r="K41" s="2"/>
      <c r="L41" s="2">
        <f t="shared" si="7"/>
        <v>56555</v>
      </c>
      <c r="M41" s="2"/>
      <c r="N41" s="19">
        <f t="shared" si="8"/>
        <v>0</v>
      </c>
      <c r="O41" s="11"/>
      <c r="P41" s="2">
        <v>2286544</v>
      </c>
      <c r="Q41" s="2"/>
      <c r="R41" s="19">
        <f t="shared" si="9"/>
        <v>0.88881891979773509</v>
      </c>
      <c r="S41" s="2"/>
      <c r="T41" s="2"/>
      <c r="U41" s="2"/>
      <c r="V41" s="19">
        <f t="shared" si="10"/>
        <v>0</v>
      </c>
      <c r="W41" s="2"/>
      <c r="X41" s="2">
        <f t="shared" si="11"/>
        <v>2286544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"5500", " - ", "FREIGHT-IN")</f>
        <v xml:space="preserve">          5500 - FREIGHT-IN</v>
      </c>
      <c r="C42" s="11"/>
      <c r="D42" s="2">
        <v>0</v>
      </c>
      <c r="E42" s="2"/>
      <c r="F42" s="19">
        <f t="shared" si="5"/>
        <v>0</v>
      </c>
      <c r="G42" s="2"/>
      <c r="H42" s="2"/>
      <c r="I42" s="2"/>
      <c r="J42" s="19">
        <f t="shared" si="6"/>
        <v>0</v>
      </c>
      <c r="K42" s="2"/>
      <c r="L42" s="2">
        <f t="shared" si="7"/>
        <v>0</v>
      </c>
      <c r="M42" s="2"/>
      <c r="N42" s="19">
        <f t="shared" si="8"/>
        <v>0</v>
      </c>
      <c r="O42" s="11"/>
      <c r="P42" s="2">
        <v>0</v>
      </c>
      <c r="Q42" s="2"/>
      <c r="R42" s="19">
        <f t="shared" si="9"/>
        <v>0</v>
      </c>
      <c r="S42" s="2"/>
      <c r="T42" s="2"/>
      <c r="U42" s="2"/>
      <c r="V42" s="19">
        <f t="shared" si="10"/>
        <v>0</v>
      </c>
      <c r="W42" s="2"/>
      <c r="X42" s="2">
        <f t="shared" si="11"/>
        <v>0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"5581", " - ", "FREIGHT-IN-ELECTRONICS")</f>
        <v xml:space="preserve">          5581 - FREIGHT-IN-ELECTRONICS</v>
      </c>
      <c r="C43" s="11"/>
      <c r="D43" s="2"/>
      <c r="E43" s="2"/>
      <c r="F43" s="19">
        <f t="shared" si="5"/>
        <v>0</v>
      </c>
      <c r="G43" s="2"/>
      <c r="H43" s="2"/>
      <c r="I43" s="2"/>
      <c r="J43" s="19">
        <f t="shared" si="6"/>
        <v>0</v>
      </c>
      <c r="K43" s="2"/>
      <c r="L43" s="2">
        <f t="shared" si="7"/>
        <v>0</v>
      </c>
      <c r="M43" s="2"/>
      <c r="N43" s="19">
        <f t="shared" si="8"/>
        <v>0</v>
      </c>
      <c r="O43" s="11"/>
      <c r="P43" s="2">
        <v>31</v>
      </c>
      <c r="Q43" s="2"/>
      <c r="R43" s="19">
        <f t="shared" si="9"/>
        <v>1.2050232365408139E-5</v>
      </c>
      <c r="S43" s="2"/>
      <c r="T43" s="2"/>
      <c r="U43" s="2"/>
      <c r="V43" s="19">
        <f t="shared" si="10"/>
        <v>0</v>
      </c>
      <c r="W43" s="2"/>
      <c r="X43" s="2">
        <f t="shared" si="11"/>
        <v>31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"5582", " - ", "FREIGHT-IN-COMPUTER HARDWARE")</f>
        <v xml:space="preserve">          5582 - FREIGHT-IN-COMPUTER HARDWARE</v>
      </c>
      <c r="C44" s="11"/>
      <c r="D44" s="2">
        <v>20</v>
      </c>
      <c r="E44" s="2"/>
      <c r="F44" s="19">
        <f t="shared" si="5"/>
        <v>1.3352864122589974E-4</v>
      </c>
      <c r="G44" s="2"/>
      <c r="H44" s="2"/>
      <c r="I44" s="2"/>
      <c r="J44" s="19">
        <f t="shared" si="6"/>
        <v>0</v>
      </c>
      <c r="K44" s="2"/>
      <c r="L44" s="2">
        <f t="shared" si="7"/>
        <v>20</v>
      </c>
      <c r="M44" s="2"/>
      <c r="N44" s="19">
        <f t="shared" si="8"/>
        <v>0</v>
      </c>
      <c r="O44" s="11"/>
      <c r="P44" s="2">
        <v>145</v>
      </c>
      <c r="Q44" s="2"/>
      <c r="R44" s="19">
        <f t="shared" si="9"/>
        <v>5.6363990096263875E-5</v>
      </c>
      <c r="S44" s="2"/>
      <c r="T44" s="2"/>
      <c r="U44" s="2"/>
      <c r="V44" s="19">
        <f t="shared" si="10"/>
        <v>0</v>
      </c>
      <c r="W44" s="2"/>
      <c r="X44" s="2">
        <f t="shared" si="11"/>
        <v>145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"5583", " - ", "FREIGHT-IN-COMPUTER EQUIPMENT")</f>
        <v xml:space="preserve">          5583 - FREIGHT-IN-COMPUTER EQUIPMENT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242.46</v>
      </c>
      <c r="Q45" s="2"/>
      <c r="R45" s="19">
        <f t="shared" si="9"/>
        <v>9.4248365784414757E-5</v>
      </c>
      <c r="S45" s="2"/>
      <c r="T45" s="2"/>
      <c r="U45" s="2"/>
      <c r="V45" s="19">
        <f t="shared" si="10"/>
        <v>0</v>
      </c>
      <c r="W45" s="2"/>
      <c r="X45" s="2">
        <f t="shared" si="11"/>
        <v>242.46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"5585", " - ", "FREIGHT-IN-SOFTWARE")</f>
        <v xml:space="preserve">          5585 - FREIGHT-IN-SOFTWARE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9.41</v>
      </c>
      <c r="Q46" s="2"/>
      <c r="R46" s="19">
        <f t="shared" si="9"/>
        <v>3.6578285986609865E-6</v>
      </c>
      <c r="S46" s="2"/>
      <c r="T46" s="2"/>
      <c r="U46" s="2"/>
      <c r="V46" s="19">
        <f t="shared" si="10"/>
        <v>0</v>
      </c>
      <c r="W46" s="2"/>
      <c r="X46" s="2">
        <f t="shared" si="11"/>
        <v>9.41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"5586", " - ", "FREIGHT-IN-COMPUTER SUPPLIES")</f>
        <v xml:space="preserve">          5586 - FREIGHT-IN-COMPUTER SUPPLIES</v>
      </c>
      <c r="C47" s="11"/>
      <c r="D47" s="2"/>
      <c r="E47" s="2"/>
      <c r="F47" s="19">
        <f t="shared" si="5"/>
        <v>0</v>
      </c>
      <c r="G47" s="2"/>
      <c r="H47" s="2"/>
      <c r="I47" s="2"/>
      <c r="J47" s="19">
        <f t="shared" si="6"/>
        <v>0</v>
      </c>
      <c r="K47" s="2"/>
      <c r="L47" s="2">
        <f t="shared" si="7"/>
        <v>0</v>
      </c>
      <c r="M47" s="2"/>
      <c r="N47" s="19">
        <f t="shared" si="8"/>
        <v>0</v>
      </c>
      <c r="O47" s="11"/>
      <c r="P47" s="2">
        <v>24.12</v>
      </c>
      <c r="Q47" s="2"/>
      <c r="R47" s="19">
        <f t="shared" si="9"/>
        <v>9.3758582146336879E-6</v>
      </c>
      <c r="S47" s="2"/>
      <c r="T47" s="2"/>
      <c r="U47" s="2"/>
      <c r="V47" s="19">
        <f t="shared" si="10"/>
        <v>0</v>
      </c>
      <c r="W47" s="2"/>
      <c r="X47" s="2">
        <f t="shared" si="11"/>
        <v>24.12</v>
      </c>
      <c r="Y47" s="2"/>
      <c r="Z47" s="19">
        <f t="shared" si="12"/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8" t="s">
        <v>108</v>
      </c>
      <c r="C49" s="28"/>
      <c r="D49" s="20">
        <f>D12-D33</f>
        <v>93225.600000000006</v>
      </c>
      <c r="E49" s="14"/>
      <c r="F49" s="21">
        <f>IF(D$12=0,0,D49/D$12)</f>
        <v>0.622414384773462</v>
      </c>
      <c r="G49" s="14"/>
      <c r="H49" s="20">
        <f>H12-H33</f>
        <v>-18014</v>
      </c>
      <c r="I49" s="14"/>
      <c r="J49" s="21">
        <f>IF(H$12=0,0,H49/H$12)</f>
        <v>-0.1726487698751186</v>
      </c>
      <c r="K49" s="15"/>
      <c r="L49" s="20">
        <f>+D49-H49</f>
        <v>111239.6</v>
      </c>
      <c r="M49" s="15"/>
      <c r="N49" s="21">
        <f>IF(H49=0,0,L49/H49)</f>
        <v>-6.1751748639946715</v>
      </c>
      <c r="O49" s="29"/>
      <c r="P49" s="20">
        <f>P12-P33</f>
        <v>282074.65999999922</v>
      </c>
      <c r="Q49" s="14"/>
      <c r="R49" s="21">
        <f>IF(P$12=0,0,P49/P$12)</f>
        <v>0.10964726443204798</v>
      </c>
      <c r="S49" s="14"/>
      <c r="T49" s="20">
        <f>T12-T33</f>
        <v>375818</v>
      </c>
      <c r="U49" s="14"/>
      <c r="V49" s="21">
        <f>IF(T$12=0,0,T49/T$12)</f>
        <v>0.1700470072843418</v>
      </c>
      <c r="W49" s="15"/>
      <c r="X49" s="20">
        <f>+P49-T49</f>
        <v>-93743.340000000782</v>
      </c>
      <c r="Y49" s="15"/>
      <c r="Z49" s="21">
        <f>IF(T49=0,0,X49/T49)</f>
        <v>-0.24943813228743908</v>
      </c>
    </row>
    <row r="50" spans="1:26" x14ac:dyDescent="0.25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9" t="s">
        <v>295</v>
      </c>
      <c r="C51" s="10"/>
      <c r="D51" s="22">
        <f>SUM(OSRRefD22x_0)</f>
        <v>13748.640000000001</v>
      </c>
      <c r="E51" s="22"/>
      <c r="F51" s="31">
        <f t="shared" ref="F51:F62" si="13">IF(D$12=0,0,D51/D$12)</f>
        <v>9.179186089520272E-2</v>
      </c>
      <c r="G51" s="22"/>
      <c r="H51" s="22">
        <f>SUM(OSRRefH22x_0)</f>
        <v>17070.320207646153</v>
      </c>
      <c r="I51" s="22"/>
      <c r="J51" s="31">
        <f t="shared" ref="J51:J62" si="14">IF(H$12=0,0,H51/H$12)</f>
        <v>0.16360440686268943</v>
      </c>
      <c r="K51" s="4"/>
      <c r="L51" s="22">
        <f t="shared" ref="L51:L62" si="15">+D51-H51</f>
        <v>-3321.6802076461518</v>
      </c>
      <c r="M51" s="4"/>
      <c r="N51" s="31">
        <f t="shared" ref="N51:N62" si="16">IF(H51=0,0,L51/H51)</f>
        <v>-0.19458804329624127</v>
      </c>
      <c r="O51" s="10"/>
      <c r="P51" s="22">
        <f>SUM(OSRRefP22x_0)</f>
        <v>151444.41999999998</v>
      </c>
      <c r="Q51" s="22"/>
      <c r="R51" s="31">
        <f t="shared" ref="R51:R62" si="17">IF(P$12=0,0,P51/P$12)</f>
        <v>5.8869046820789146E-2</v>
      </c>
      <c r="S51" s="22"/>
      <c r="T51" s="22">
        <f>SUM(OSRRefT22x_0)</f>
        <v>214946.22501855379</v>
      </c>
      <c r="U51" s="22"/>
      <c r="V51" s="31">
        <f t="shared" ref="V51:V62" si="18">IF(T$12=0,0,T51/T$12)</f>
        <v>9.7257082660947028E-2</v>
      </c>
      <c r="W51" s="4"/>
      <c r="X51" s="22">
        <f t="shared" ref="X51:X62" si="19">+P51-T51</f>
        <v>-63501.805018553801</v>
      </c>
      <c r="Y51" s="4"/>
      <c r="Z51" s="31">
        <f t="shared" ref="Z51:Z62" si="20">IF(T51=0,0,X51/T51)</f>
        <v>-0.29543112475258609</v>
      </c>
    </row>
    <row r="52" spans="1:26" s="27" customFormat="1" outlineLevel="1" collapsed="1" x14ac:dyDescent="0.25">
      <c r="A52" s="26"/>
      <c r="B52" s="13" t="str">
        <f>CONCATENATE("     ","*Benefits                                         ")</f>
        <v xml:space="preserve">     *Benefits                                         </v>
      </c>
      <c r="C52" s="13"/>
      <c r="D52" s="1">
        <f>SUM(OSRRefD22_0x_0)</f>
        <v>2910.57</v>
      </c>
      <c r="E52" s="1"/>
      <c r="F52" s="5">
        <f t="shared" si="13"/>
        <v>1.9432222864643352E-2</v>
      </c>
      <c r="G52" s="1"/>
      <c r="H52" s="1">
        <f>SUM(OSRRefH22_0x_0)</f>
        <v>2446.580247646154</v>
      </c>
      <c r="I52" s="1"/>
      <c r="J52" s="5">
        <f t="shared" si="14"/>
        <v>2.3448377381862524E-2</v>
      </c>
      <c r="K52" s="1"/>
      <c r="L52" s="1">
        <f t="shared" si="15"/>
        <v>463.98975235384614</v>
      </c>
      <c r="M52" s="1"/>
      <c r="N52" s="5">
        <f t="shared" si="16"/>
        <v>0.1896482867464695</v>
      </c>
      <c r="O52" s="13"/>
      <c r="P52" s="1">
        <f>SUM(OSRRefP22_0x_0)</f>
        <v>32489.070000000003</v>
      </c>
      <c r="Q52" s="1"/>
      <c r="R52" s="5">
        <f t="shared" si="17"/>
        <v>1.2629059446322925E-2</v>
      </c>
      <c r="S52" s="1"/>
      <c r="T52" s="1">
        <f>SUM(OSRRefT22_0x_0)</f>
        <v>29019.555138553798</v>
      </c>
      <c r="U52" s="1"/>
      <c r="V52" s="5">
        <f t="shared" si="18"/>
        <v>1.3130527287234822E-2</v>
      </c>
      <c r="W52" s="1"/>
      <c r="X52" s="1">
        <f t="shared" si="19"/>
        <v>3469.514861446205</v>
      </c>
      <c r="Y52" s="1"/>
      <c r="Z52" s="5">
        <f t="shared" si="20"/>
        <v>0.11955782384950474</v>
      </c>
    </row>
    <row r="53" spans="1:26" s="24" customFormat="1" hidden="1" outlineLevel="2" x14ac:dyDescent="0.25">
      <c r="A53" s="25"/>
      <c r="B53" s="11" t="str">
        <f>CONCATENATE("          ", "6111", " - ", "F.I.C.A.")</f>
        <v xml:space="preserve">          6111 - F.I.C.A.</v>
      </c>
      <c r="C53" s="11"/>
      <c r="D53" s="7">
        <v>523.37</v>
      </c>
      <c r="E53" s="2"/>
      <c r="F53" s="6">
        <f t="shared" si="13"/>
        <v>3.4942442479199576E-3</v>
      </c>
      <c r="G53" s="2"/>
      <c r="H53" s="7">
        <v>425.68281899999999</v>
      </c>
      <c r="I53" s="2"/>
      <c r="J53" s="6">
        <f t="shared" si="14"/>
        <v>4.079805432292815E-3</v>
      </c>
      <c r="K53" s="2"/>
      <c r="L53" s="7">
        <f t="shared" si="15"/>
        <v>97.68718100000001</v>
      </c>
      <c r="M53" s="2"/>
      <c r="N53" s="6">
        <f t="shared" si="16"/>
        <v>0.22948349484595951</v>
      </c>
      <c r="O53" s="11"/>
      <c r="P53" s="7">
        <v>5937.2</v>
      </c>
      <c r="Q53" s="2"/>
      <c r="R53" s="6">
        <f t="shared" si="17"/>
        <v>2.3078915999968129E-3</v>
      </c>
      <c r="S53" s="2"/>
      <c r="T53" s="7">
        <v>5535.5373479999998</v>
      </c>
      <c r="U53" s="2"/>
      <c r="V53" s="6">
        <f t="shared" si="18"/>
        <v>2.5046739638285077E-3</v>
      </c>
      <c r="W53" s="2"/>
      <c r="X53" s="7">
        <f t="shared" si="19"/>
        <v>401.66265199999998</v>
      </c>
      <c r="Y53" s="2"/>
      <c r="Z53" s="6">
        <f t="shared" si="20"/>
        <v>7.2560733809360248E-2</v>
      </c>
    </row>
    <row r="54" spans="1:26" s="24" customFormat="1" hidden="1" outlineLevel="2" x14ac:dyDescent="0.25">
      <c r="A54" s="25"/>
      <c r="B54" s="11" t="str">
        <f>CONCATENATE("          ", "6112", " - ", "COMPENSATION INSURANCE")</f>
        <v xml:space="preserve">          6112 - COMPENSATION INSURANCE</v>
      </c>
      <c r="C54" s="11"/>
      <c r="D54" s="7">
        <v>200.85</v>
      </c>
      <c r="E54" s="2"/>
      <c r="F54" s="6">
        <f t="shared" si="13"/>
        <v>1.3409613795110982E-3</v>
      </c>
      <c r="G54" s="2"/>
      <c r="H54" s="7">
        <v>204.24125799999999</v>
      </c>
      <c r="I54" s="2"/>
      <c r="J54" s="6">
        <f t="shared" si="14"/>
        <v>1.9574776258158501E-3</v>
      </c>
      <c r="K54" s="2"/>
      <c r="L54" s="7">
        <f t="shared" si="15"/>
        <v>-3.3912579999999934</v>
      </c>
      <c r="M54" s="2"/>
      <c r="N54" s="6">
        <f t="shared" si="16"/>
        <v>-1.6604177007174495E-2</v>
      </c>
      <c r="O54" s="11"/>
      <c r="P54" s="7">
        <v>1735.28</v>
      </c>
      <c r="Q54" s="2"/>
      <c r="R54" s="6">
        <f t="shared" si="17"/>
        <v>6.7453313609823983E-4</v>
      </c>
      <c r="S54" s="2"/>
      <c r="T54" s="7">
        <v>2357.0369740000001</v>
      </c>
      <c r="U54" s="2"/>
      <c r="V54" s="6">
        <f t="shared" si="18"/>
        <v>1.0664925136295786E-3</v>
      </c>
      <c r="W54" s="2"/>
      <c r="X54" s="7">
        <f t="shared" si="19"/>
        <v>-621.75697400000013</v>
      </c>
      <c r="Y54" s="2"/>
      <c r="Z54" s="6">
        <f t="shared" si="20"/>
        <v>-0.26378753530745425</v>
      </c>
    </row>
    <row r="55" spans="1:26" s="24" customFormat="1" hidden="1" outlineLevel="2" x14ac:dyDescent="0.25">
      <c r="A55" s="25"/>
      <c r="B55" s="11" t="str">
        <f>CONCATENATE("          ", "6113", " - ", "GROUP INSURANCE")</f>
        <v xml:space="preserve">          6113 - GROUP INSURANCE</v>
      </c>
      <c r="C55" s="11"/>
      <c r="D55" s="7">
        <v>1053.8499999999999</v>
      </c>
      <c r="E55" s="2"/>
      <c r="F55" s="6">
        <f t="shared" si="13"/>
        <v>7.035957927795722E-3</v>
      </c>
      <c r="G55" s="2"/>
      <c r="H55" s="7">
        <v>946.34615384615404</v>
      </c>
      <c r="I55" s="2"/>
      <c r="J55" s="6">
        <f t="shared" si="14"/>
        <v>9.0699178049066416E-3</v>
      </c>
      <c r="K55" s="2"/>
      <c r="L55" s="7">
        <f t="shared" si="15"/>
        <v>107.50384615384587</v>
      </c>
      <c r="M55" s="2"/>
      <c r="N55" s="6">
        <f t="shared" si="16"/>
        <v>0.11359886201991433</v>
      </c>
      <c r="O55" s="11"/>
      <c r="P55" s="7">
        <v>11484.03</v>
      </c>
      <c r="Q55" s="2"/>
      <c r="R55" s="6">
        <f t="shared" si="17"/>
        <v>4.4640396771392912E-3</v>
      </c>
      <c r="S55" s="2"/>
      <c r="T55" s="7">
        <v>11023.6538461538</v>
      </c>
      <c r="U55" s="2"/>
      <c r="V55" s="6">
        <f t="shared" si="18"/>
        <v>4.9878913353723821E-3</v>
      </c>
      <c r="W55" s="2"/>
      <c r="X55" s="7">
        <f t="shared" si="19"/>
        <v>460.3761538462004</v>
      </c>
      <c r="Y55" s="2"/>
      <c r="Z55" s="6">
        <f t="shared" si="20"/>
        <v>4.1762573487086369E-2</v>
      </c>
    </row>
    <row r="56" spans="1:26" s="24" customFormat="1" hidden="1" outlineLevel="2" x14ac:dyDescent="0.25">
      <c r="A56" s="25"/>
      <c r="B56" s="11" t="str">
        <f>CONCATENATE("          ", "6114", " - ", "STATE UNEMPLOYMENT INSURANCE")</f>
        <v xml:space="preserve">          6114 - STATE UNEMPLOYMENT INSURANCE</v>
      </c>
      <c r="C56" s="11"/>
      <c r="D56" s="7">
        <v>28.23</v>
      </c>
      <c r="E56" s="2"/>
      <c r="F56" s="6">
        <f t="shared" si="13"/>
        <v>1.8847567709035748E-4</v>
      </c>
      <c r="G56" s="2"/>
      <c r="H56" s="7">
        <v>28.704176799999999</v>
      </c>
      <c r="I56" s="2"/>
      <c r="J56" s="6">
        <f t="shared" si="14"/>
        <v>2.7510496362817354E-4</v>
      </c>
      <c r="K56" s="2"/>
      <c r="L56" s="7">
        <f t="shared" si="15"/>
        <v>-0.47417679999999862</v>
      </c>
      <c r="M56" s="2"/>
      <c r="N56" s="6">
        <f t="shared" si="16"/>
        <v>-1.6519435596564422E-2</v>
      </c>
      <c r="O56" s="11"/>
      <c r="P56" s="7">
        <v>258.58</v>
      </c>
      <c r="Q56" s="2"/>
      <c r="R56" s="6">
        <f t="shared" si="17"/>
        <v>1.0051448661442698E-4</v>
      </c>
      <c r="S56" s="2"/>
      <c r="T56" s="7">
        <v>331.25925039999998</v>
      </c>
      <c r="U56" s="2"/>
      <c r="V56" s="6">
        <f t="shared" si="18"/>
        <v>1.4988543434794077E-4</v>
      </c>
      <c r="W56" s="2"/>
      <c r="X56" s="7">
        <f t="shared" si="19"/>
        <v>-72.679250400000001</v>
      </c>
      <c r="Y56" s="2"/>
      <c r="Z56" s="6">
        <f t="shared" si="20"/>
        <v>-0.21940293082303008</v>
      </c>
    </row>
    <row r="57" spans="1:26" s="24" customFormat="1" hidden="1" outlineLevel="2" x14ac:dyDescent="0.25">
      <c r="A57" s="25"/>
      <c r="B57" s="11" t="str">
        <f>CONCATENATE("          ", "6115", " - ", "P.E.R.S.")</f>
        <v xml:space="preserve">          6115 - P.E.R.S.</v>
      </c>
      <c r="C57" s="11"/>
      <c r="D57" s="7">
        <v>176.42</v>
      </c>
      <c r="E57" s="2"/>
      <c r="F57" s="6">
        <f t="shared" si="13"/>
        <v>1.1778561442536617E-3</v>
      </c>
      <c r="G57" s="2"/>
      <c r="H57" s="7">
        <v>196.27780000000001</v>
      </c>
      <c r="I57" s="2"/>
      <c r="J57" s="6">
        <f t="shared" si="14"/>
        <v>1.8811546976681779E-3</v>
      </c>
      <c r="K57" s="2"/>
      <c r="L57" s="7">
        <f t="shared" si="15"/>
        <v>-19.857800000000026</v>
      </c>
      <c r="M57" s="2"/>
      <c r="N57" s="6">
        <f t="shared" si="16"/>
        <v>-0.10117191042491827</v>
      </c>
      <c r="O57" s="11"/>
      <c r="P57" s="7">
        <v>2117.04</v>
      </c>
      <c r="Q57" s="2"/>
      <c r="R57" s="6">
        <f t="shared" si="17"/>
        <v>8.2292980409237571E-4</v>
      </c>
      <c r="S57" s="2"/>
      <c r="T57" s="7">
        <v>2355.3335999999999</v>
      </c>
      <c r="U57" s="2"/>
      <c r="V57" s="6">
        <f t="shared" si="18"/>
        <v>1.0657217851094279E-3</v>
      </c>
      <c r="W57" s="2"/>
      <c r="X57" s="7">
        <f t="shared" si="19"/>
        <v>-238.29359999999997</v>
      </c>
      <c r="Y57" s="2"/>
      <c r="Z57" s="6">
        <f t="shared" si="20"/>
        <v>-0.10117191042491815</v>
      </c>
    </row>
    <row r="58" spans="1:26" s="24" customFormat="1" hidden="1" outlineLevel="2" x14ac:dyDescent="0.25">
      <c r="A58" s="25"/>
      <c r="B58" s="11" t="str">
        <f>CONCATENATE("          ", "6116", " - ", "EDUCATIONAL BENEFITS")</f>
        <v xml:space="preserve">          6116 - EDUCATIONAL BENEFITS</v>
      </c>
      <c r="C58" s="11"/>
      <c r="D58" s="7"/>
      <c r="E58" s="2"/>
      <c r="F58" s="6">
        <f t="shared" si="13"/>
        <v>0</v>
      </c>
      <c r="G58" s="2"/>
      <c r="H58" s="7">
        <v>0</v>
      </c>
      <c r="I58" s="2"/>
      <c r="J58" s="6">
        <f t="shared" si="14"/>
        <v>0</v>
      </c>
      <c r="K58" s="2"/>
      <c r="L58" s="7">
        <f t="shared" si="15"/>
        <v>0</v>
      </c>
      <c r="M58" s="2"/>
      <c r="N58" s="6">
        <f t="shared" si="16"/>
        <v>0</v>
      </c>
      <c r="O58" s="11"/>
      <c r="P58" s="7"/>
      <c r="Q58" s="2"/>
      <c r="R58" s="6">
        <f t="shared" si="17"/>
        <v>0</v>
      </c>
      <c r="S58" s="2"/>
      <c r="T58" s="7">
        <v>0</v>
      </c>
      <c r="U58" s="2"/>
      <c r="V58" s="6">
        <f t="shared" si="18"/>
        <v>0</v>
      </c>
      <c r="W58" s="2"/>
      <c r="X58" s="7">
        <f t="shared" si="19"/>
        <v>0</v>
      </c>
      <c r="Y58" s="2"/>
      <c r="Z58" s="6">
        <f t="shared" si="20"/>
        <v>0</v>
      </c>
    </row>
    <row r="59" spans="1:26" s="24" customFormat="1" hidden="1" outlineLevel="2" x14ac:dyDescent="0.25">
      <c r="A59" s="25"/>
      <c r="B59" s="11" t="str">
        <f>CONCATENATE("          ", "6117", " - ", "RETIREMENT STAFF HOURLY")</f>
        <v xml:space="preserve">          6117 - RETIREMENT STAFF HOURLY</v>
      </c>
      <c r="C59" s="11"/>
      <c r="D59" s="7">
        <v>176.79</v>
      </c>
      <c r="E59" s="2"/>
      <c r="F59" s="6">
        <f t="shared" si="13"/>
        <v>1.1803264241163408E-3</v>
      </c>
      <c r="G59" s="2"/>
      <c r="H59" s="7"/>
      <c r="I59" s="2"/>
      <c r="J59" s="6">
        <f t="shared" si="14"/>
        <v>0</v>
      </c>
      <c r="K59" s="2"/>
      <c r="L59" s="7">
        <f t="shared" si="15"/>
        <v>176.79</v>
      </c>
      <c r="M59" s="2"/>
      <c r="N59" s="6">
        <f t="shared" si="16"/>
        <v>0</v>
      </c>
      <c r="O59" s="11"/>
      <c r="P59" s="7">
        <v>2072.73</v>
      </c>
      <c r="Q59" s="2"/>
      <c r="R59" s="6">
        <f t="shared" si="17"/>
        <v>8.0570574615330362E-4</v>
      </c>
      <c r="S59" s="2"/>
      <c r="T59" s="7"/>
      <c r="U59" s="2"/>
      <c r="V59" s="6">
        <f t="shared" si="18"/>
        <v>0</v>
      </c>
      <c r="W59" s="2"/>
      <c r="X59" s="7">
        <f t="shared" si="19"/>
        <v>2072.73</v>
      </c>
      <c r="Y59" s="2"/>
      <c r="Z59" s="6">
        <f t="shared" si="20"/>
        <v>0</v>
      </c>
    </row>
    <row r="60" spans="1:26" s="24" customFormat="1" hidden="1" outlineLevel="2" x14ac:dyDescent="0.25">
      <c r="A60" s="25"/>
      <c r="B60" s="11" t="str">
        <f>CONCATENATE("          ", "6118", " - ", "VACATION")</f>
        <v xml:space="preserve">          6118 - VACATION</v>
      </c>
      <c r="C60" s="11"/>
      <c r="D60" s="7">
        <v>267.04000000000002</v>
      </c>
      <c r="E60" s="2"/>
      <c r="F60" s="6">
        <f t="shared" si="13"/>
        <v>1.7828744176482136E-3</v>
      </c>
      <c r="G60" s="2"/>
      <c r="H60" s="7">
        <v>194.749</v>
      </c>
      <c r="I60" s="2"/>
      <c r="J60" s="6">
        <f t="shared" si="14"/>
        <v>1.866502458332934E-3</v>
      </c>
      <c r="K60" s="2"/>
      <c r="L60" s="7">
        <f t="shared" si="15"/>
        <v>72.291000000000025</v>
      </c>
      <c r="M60" s="2"/>
      <c r="N60" s="6">
        <f t="shared" si="16"/>
        <v>0.37120087908025218</v>
      </c>
      <c r="O60" s="11"/>
      <c r="P60" s="7">
        <v>3158.26</v>
      </c>
      <c r="Q60" s="2"/>
      <c r="R60" s="6">
        <f t="shared" si="17"/>
        <v>1.2276698990443197E-3</v>
      </c>
      <c r="S60" s="2"/>
      <c r="T60" s="7">
        <v>2336.9879999999998</v>
      </c>
      <c r="U60" s="2"/>
      <c r="V60" s="6">
        <f t="shared" si="18"/>
        <v>1.0574209203907726E-3</v>
      </c>
      <c r="W60" s="2"/>
      <c r="X60" s="7">
        <f t="shared" si="19"/>
        <v>821.27200000000039</v>
      </c>
      <c r="Y60" s="2"/>
      <c r="Z60" s="6">
        <f t="shared" si="20"/>
        <v>0.35142328501472853</v>
      </c>
    </row>
    <row r="61" spans="1:26" s="24" customFormat="1" hidden="1" outlineLevel="2" x14ac:dyDescent="0.25">
      <c r="A61" s="25"/>
      <c r="B61" s="11" t="str">
        <f>CONCATENATE("          ", "6119", " - ", "SICK LEAVE")</f>
        <v xml:space="preserve">          6119 - SICK LEAVE</v>
      </c>
      <c r="C61" s="11"/>
      <c r="D61" s="7">
        <v>267.63</v>
      </c>
      <c r="E61" s="2"/>
      <c r="F61" s="6">
        <f t="shared" si="13"/>
        <v>1.7868135125643774E-3</v>
      </c>
      <c r="G61" s="2"/>
      <c r="H61" s="7">
        <v>275.57904000000002</v>
      </c>
      <c r="I61" s="2"/>
      <c r="J61" s="6">
        <f t="shared" si="14"/>
        <v>2.6411892005865499E-3</v>
      </c>
      <c r="K61" s="2"/>
      <c r="L61" s="7">
        <f t="shared" si="15"/>
        <v>-7.949040000000025</v>
      </c>
      <c r="M61" s="2"/>
      <c r="N61" s="6">
        <f t="shared" si="16"/>
        <v>-2.8844864253827231E-2</v>
      </c>
      <c r="O61" s="11"/>
      <c r="P61" s="7">
        <v>3156.26</v>
      </c>
      <c r="Q61" s="2"/>
      <c r="R61" s="6">
        <f t="shared" si="17"/>
        <v>1.2268924646981643E-3</v>
      </c>
      <c r="S61" s="2"/>
      <c r="T61" s="7">
        <v>3154.7461199999998</v>
      </c>
      <c r="U61" s="2"/>
      <c r="V61" s="6">
        <f t="shared" si="18"/>
        <v>1.4274333226399188E-3</v>
      </c>
      <c r="W61" s="2"/>
      <c r="X61" s="7">
        <f t="shared" si="19"/>
        <v>1.5138800000004267</v>
      </c>
      <c r="Y61" s="2"/>
      <c r="Z61" s="6">
        <f t="shared" si="20"/>
        <v>4.7987379726151361E-4</v>
      </c>
    </row>
    <row r="62" spans="1:26" s="24" customFormat="1" hidden="1" outlineLevel="2" x14ac:dyDescent="0.25">
      <c r="A62" s="25"/>
      <c r="B62" s="11" t="str">
        <f>CONCATENATE("          ", "6156", " - ", "EMPLOYEE MEALS")</f>
        <v xml:space="preserve">          6156 - EMPLOYEE MEALS</v>
      </c>
      <c r="C62" s="11"/>
      <c r="D62" s="7">
        <v>216.39</v>
      </c>
      <c r="E62" s="2"/>
      <c r="F62" s="6">
        <f t="shared" si="13"/>
        <v>1.4447131337436221E-3</v>
      </c>
      <c r="G62" s="2"/>
      <c r="H62" s="7">
        <v>175</v>
      </c>
      <c r="I62" s="2"/>
      <c r="J62" s="6">
        <f t="shared" si="14"/>
        <v>1.6772251986313842E-3</v>
      </c>
      <c r="K62" s="2"/>
      <c r="L62" s="7">
        <f t="shared" si="15"/>
        <v>41.389999999999986</v>
      </c>
      <c r="M62" s="2"/>
      <c r="N62" s="6">
        <f t="shared" si="16"/>
        <v>0.23651428571428565</v>
      </c>
      <c r="O62" s="11"/>
      <c r="P62" s="7">
        <v>2569.69</v>
      </c>
      <c r="Q62" s="2"/>
      <c r="R62" s="6">
        <f t="shared" si="17"/>
        <v>9.9888263248598848E-4</v>
      </c>
      <c r="S62" s="2"/>
      <c r="T62" s="7">
        <v>1925</v>
      </c>
      <c r="U62" s="2"/>
      <c r="V62" s="6">
        <f t="shared" si="18"/>
        <v>8.710080119162945E-4</v>
      </c>
      <c r="W62" s="2"/>
      <c r="X62" s="7">
        <f t="shared" si="19"/>
        <v>644.69000000000005</v>
      </c>
      <c r="Y62" s="2"/>
      <c r="Z62" s="6">
        <f t="shared" si="20"/>
        <v>0.33490389610389615</v>
      </c>
    </row>
    <row r="63" spans="1:26" s="27" customFormat="1" outlineLevel="1" collapsed="1" x14ac:dyDescent="0.25">
      <c r="A63" s="26"/>
      <c r="B63" s="13" t="str">
        <f>CONCATENATE("     ","*Payroll                                          ")</f>
        <v xml:space="preserve">     *Payroll                                          </v>
      </c>
      <c r="C63" s="13"/>
      <c r="D63" s="1">
        <f>SUM(OSRRefD22_1x_0)</f>
        <v>7314.24</v>
      </c>
      <c r="E63" s="1"/>
      <c r="F63" s="5">
        <f t="shared" ref="F63:F73" si="21">IF(D$12=0,0,D63/D$12)</f>
        <v>4.8833026440006248E-2</v>
      </c>
      <c r="G63" s="1"/>
      <c r="H63" s="1">
        <f>SUM(OSRRefH22_1x_0)</f>
        <v>10569.739959999999</v>
      </c>
      <c r="I63" s="1"/>
      <c r="J63" s="5">
        <f t="shared" ref="J63:J73" si="22">IF(H$12=0,0,H63/H$12)</f>
        <v>0.10130190973653187</v>
      </c>
      <c r="K63" s="1"/>
      <c r="L63" s="1">
        <f t="shared" ref="L63:L73" si="23">+D63-H63</f>
        <v>-3255.4999599999992</v>
      </c>
      <c r="M63" s="1"/>
      <c r="N63" s="5">
        <f t="shared" ref="N63:N73" si="24">IF(H63=0,0,L63/H63)</f>
        <v>-0.30800189714411852</v>
      </c>
      <c r="O63" s="13"/>
      <c r="P63" s="1">
        <f>SUM(OSRRefP22_1x_0)</f>
        <v>89389.18</v>
      </c>
      <c r="Q63" s="1"/>
      <c r="R63" s="5">
        <f t="shared" ref="R63:R73" si="25">IF(P$12=0,0,P63/P$12)</f>
        <v>3.4747109353332056E-2</v>
      </c>
      <c r="S63" s="1"/>
      <c r="T63" s="1">
        <f>SUM(OSRRefT22_1x_0)</f>
        <v>121915.66988</v>
      </c>
      <c r="U63" s="1"/>
      <c r="V63" s="5">
        <f t="shared" ref="V63:V73" si="26">IF(T$12=0,0,T63/T$12)</f>
        <v>5.5163389736946532E-2</v>
      </c>
      <c r="W63" s="1"/>
      <c r="X63" s="1">
        <f t="shared" ref="X63:X73" si="27">+P63-T63</f>
        <v>-32526.489880000008</v>
      </c>
      <c r="Y63" s="1"/>
      <c r="Z63" s="5">
        <f t="shared" ref="Z63:Z73" si="28">IF(T63=0,0,X63/T63)</f>
        <v>-0.26679498961877013</v>
      </c>
    </row>
    <row r="64" spans="1:26" s="24" customFormat="1" hidden="1" outlineLevel="2" x14ac:dyDescent="0.25">
      <c r="A64" s="25"/>
      <c r="B64" s="11" t="str">
        <f>CONCATENATE("          ", "6001", " - ", "ADMINISTRATIVE SALARIES")</f>
        <v xml:space="preserve">          6001 - ADMINISTRATIVE SALARIES</v>
      </c>
      <c r="C64" s="11"/>
      <c r="D64" s="7"/>
      <c r="E64" s="2"/>
      <c r="F64" s="6">
        <f t="shared" si="21"/>
        <v>0</v>
      </c>
      <c r="G64" s="2"/>
      <c r="H64" s="7">
        <v>0</v>
      </c>
      <c r="I64" s="2"/>
      <c r="J64" s="6">
        <f t="shared" si="22"/>
        <v>0</v>
      </c>
      <c r="K64" s="2"/>
      <c r="L64" s="7">
        <f t="shared" si="23"/>
        <v>0</v>
      </c>
      <c r="M64" s="2"/>
      <c r="N64" s="6">
        <f t="shared" si="24"/>
        <v>0</v>
      </c>
      <c r="O64" s="11"/>
      <c r="P64" s="7"/>
      <c r="Q64" s="2"/>
      <c r="R64" s="6">
        <f t="shared" si="25"/>
        <v>0</v>
      </c>
      <c r="S64" s="2"/>
      <c r="T64" s="7">
        <v>0</v>
      </c>
      <c r="U64" s="2"/>
      <c r="V64" s="6">
        <f t="shared" si="26"/>
        <v>0</v>
      </c>
      <c r="W64" s="2"/>
      <c r="X64" s="7">
        <f t="shared" si="27"/>
        <v>0</v>
      </c>
      <c r="Y64" s="2"/>
      <c r="Z64" s="6">
        <f t="shared" si="28"/>
        <v>0</v>
      </c>
    </row>
    <row r="65" spans="1:26" s="24" customFormat="1" hidden="1" outlineLevel="2" x14ac:dyDescent="0.25">
      <c r="A65" s="25"/>
      <c r="B65" s="11" t="str">
        <f>CONCATENATE("          ", "6002", " - ", "STAFF SALARIES")</f>
        <v xml:space="preserve">          6002 - STAFF SALARIES</v>
      </c>
      <c r="C65" s="11"/>
      <c r="D65" s="7">
        <v>2282.3000000000002</v>
      </c>
      <c r="E65" s="2"/>
      <c r="F65" s="6">
        <f t="shared" si="21"/>
        <v>1.523762089349355E-2</v>
      </c>
      <c r="G65" s="2"/>
      <c r="H65" s="7">
        <v>2168.1849999999999</v>
      </c>
      <c r="I65" s="2"/>
      <c r="J65" s="6">
        <f t="shared" si="22"/>
        <v>2.0780197241683358E-2</v>
      </c>
      <c r="K65" s="2"/>
      <c r="L65" s="7">
        <f t="shared" si="23"/>
        <v>114.11500000000024</v>
      </c>
      <c r="M65" s="2"/>
      <c r="N65" s="6">
        <f t="shared" si="24"/>
        <v>5.2631578947368529E-2</v>
      </c>
      <c r="O65" s="11"/>
      <c r="P65" s="7">
        <v>25558.54</v>
      </c>
      <c r="Q65" s="2"/>
      <c r="R65" s="6">
        <f t="shared" si="25"/>
        <v>9.9350434167928565E-3</v>
      </c>
      <c r="S65" s="2"/>
      <c r="T65" s="7">
        <v>26018.22</v>
      </c>
      <c r="U65" s="2"/>
      <c r="V65" s="6">
        <f t="shared" si="26"/>
        <v>1.1772508091325077E-2</v>
      </c>
      <c r="W65" s="2"/>
      <c r="X65" s="7">
        <f t="shared" si="27"/>
        <v>-459.68000000000029</v>
      </c>
      <c r="Y65" s="2"/>
      <c r="Z65" s="6">
        <f t="shared" si="28"/>
        <v>-1.7667619076170479E-2</v>
      </c>
    </row>
    <row r="66" spans="1:26" s="24" customFormat="1" hidden="1" outlineLevel="2" x14ac:dyDescent="0.25">
      <c r="A66" s="25"/>
      <c r="B66" s="11" t="str">
        <f>CONCATENATE("          ", "6003", " - ", "STAFF HOURLY-9 MONTH")</f>
        <v xml:space="preserve">          6003 - STAFF HOURLY-9 MONTH</v>
      </c>
      <c r="C66" s="11"/>
      <c r="D66" s="7"/>
      <c r="E66" s="2"/>
      <c r="F66" s="6">
        <f t="shared" si="21"/>
        <v>0</v>
      </c>
      <c r="G66" s="2"/>
      <c r="H66" s="7">
        <v>0</v>
      </c>
      <c r="I66" s="2"/>
      <c r="J66" s="6">
        <f t="shared" si="22"/>
        <v>0</v>
      </c>
      <c r="K66" s="2"/>
      <c r="L66" s="7">
        <f t="shared" si="23"/>
        <v>0</v>
      </c>
      <c r="M66" s="2"/>
      <c r="N66" s="6">
        <f t="shared" si="24"/>
        <v>0</v>
      </c>
      <c r="O66" s="11"/>
      <c r="P66" s="7"/>
      <c r="Q66" s="2"/>
      <c r="R66" s="6">
        <f t="shared" si="25"/>
        <v>0</v>
      </c>
      <c r="S66" s="2"/>
      <c r="T66" s="7">
        <v>0</v>
      </c>
      <c r="U66" s="2"/>
      <c r="V66" s="6">
        <f t="shared" si="26"/>
        <v>0</v>
      </c>
      <c r="W66" s="2"/>
      <c r="X66" s="7">
        <f t="shared" si="27"/>
        <v>0</v>
      </c>
      <c r="Y66" s="2"/>
      <c r="Z66" s="6">
        <f t="shared" si="28"/>
        <v>0</v>
      </c>
    </row>
    <row r="67" spans="1:26" s="24" customFormat="1" hidden="1" outlineLevel="2" x14ac:dyDescent="0.25">
      <c r="A67" s="25"/>
      <c r="B67" s="11" t="str">
        <f>CONCATENATE("          ", "6004", " - ", "STAFF HOURLY")</f>
        <v xml:space="preserve">          6004 - STAFF HOURLY</v>
      </c>
      <c r="C67" s="11"/>
      <c r="D67" s="7">
        <v>3224.54</v>
      </c>
      <c r="E67" s="2"/>
      <c r="F67" s="6">
        <f t="shared" si="21"/>
        <v>2.1528422238928136E-2</v>
      </c>
      <c r="G67" s="2"/>
      <c r="H67" s="7">
        <v>3088.12</v>
      </c>
      <c r="I67" s="2"/>
      <c r="J67" s="6">
        <f t="shared" si="22"/>
        <v>2.9596986745128857E-2</v>
      </c>
      <c r="K67" s="2"/>
      <c r="L67" s="7">
        <f t="shared" si="23"/>
        <v>136.42000000000007</v>
      </c>
      <c r="M67" s="2"/>
      <c r="N67" s="6">
        <f t="shared" si="24"/>
        <v>4.4175744465888657E-2</v>
      </c>
      <c r="O67" s="11"/>
      <c r="P67" s="7">
        <v>39735.199999999997</v>
      </c>
      <c r="Q67" s="2"/>
      <c r="R67" s="6">
        <f t="shared" si="25"/>
        <v>1.5445754615676304E-2</v>
      </c>
      <c r="S67" s="2"/>
      <c r="T67" s="7">
        <v>37057.440000000002</v>
      </c>
      <c r="U67" s="2"/>
      <c r="V67" s="6">
        <f t="shared" si="26"/>
        <v>1.6767442670705127E-2</v>
      </c>
      <c r="W67" s="2"/>
      <c r="X67" s="7">
        <f t="shared" si="27"/>
        <v>2677.7599999999948</v>
      </c>
      <c r="Y67" s="2"/>
      <c r="Z67" s="6">
        <f t="shared" si="28"/>
        <v>7.225971356898897E-2</v>
      </c>
    </row>
    <row r="68" spans="1:26" s="24" customFormat="1" hidden="1" outlineLevel="2" x14ac:dyDescent="0.25">
      <c r="A68" s="25"/>
      <c r="B68" s="11" t="str">
        <f>CONCATENATE("          ", "6005", " - ", "TEMPORARY WAGES-HOURLY")</f>
        <v xml:space="preserve">          6005 - TEMPORARY WAGES-HOURLY</v>
      </c>
      <c r="C68" s="11"/>
      <c r="D68" s="7"/>
      <c r="E68" s="2"/>
      <c r="F68" s="6">
        <f t="shared" si="21"/>
        <v>0</v>
      </c>
      <c r="G68" s="2"/>
      <c r="H68" s="7">
        <v>0</v>
      </c>
      <c r="I68" s="2"/>
      <c r="J68" s="6">
        <f t="shared" si="22"/>
        <v>0</v>
      </c>
      <c r="K68" s="2"/>
      <c r="L68" s="7">
        <f t="shared" si="23"/>
        <v>0</v>
      </c>
      <c r="M68" s="2"/>
      <c r="N68" s="6">
        <f t="shared" si="24"/>
        <v>0</v>
      </c>
      <c r="O68" s="11"/>
      <c r="P68" s="7"/>
      <c r="Q68" s="2"/>
      <c r="R68" s="6">
        <f t="shared" si="25"/>
        <v>0</v>
      </c>
      <c r="S68" s="2"/>
      <c r="T68" s="7">
        <v>0</v>
      </c>
      <c r="U68" s="2"/>
      <c r="V68" s="6">
        <f t="shared" si="26"/>
        <v>0</v>
      </c>
      <c r="W68" s="2"/>
      <c r="X68" s="7">
        <f t="shared" si="27"/>
        <v>0</v>
      </c>
      <c r="Y68" s="2"/>
      <c r="Z68" s="6">
        <f t="shared" si="28"/>
        <v>0</v>
      </c>
    </row>
    <row r="69" spans="1:26" s="24" customFormat="1" hidden="1" outlineLevel="2" x14ac:dyDescent="0.25">
      <c r="A69" s="25"/>
      <c r="B69" s="11" t="str">
        <f>CONCATENATE("          ", "6006", " - ", "TEMPORARY PART TIME")</f>
        <v xml:space="preserve">          6006 - TEMPORARY PART TIME</v>
      </c>
      <c r="C69" s="11"/>
      <c r="D69" s="7"/>
      <c r="E69" s="2"/>
      <c r="F69" s="6">
        <f t="shared" si="21"/>
        <v>0</v>
      </c>
      <c r="G69" s="2"/>
      <c r="H69" s="7">
        <v>0</v>
      </c>
      <c r="I69" s="2"/>
      <c r="J69" s="6">
        <f t="shared" si="22"/>
        <v>0</v>
      </c>
      <c r="K69" s="2"/>
      <c r="L69" s="7">
        <f t="shared" si="23"/>
        <v>0</v>
      </c>
      <c r="M69" s="2"/>
      <c r="N69" s="6">
        <f t="shared" si="24"/>
        <v>0</v>
      </c>
      <c r="O69" s="11"/>
      <c r="P69" s="7"/>
      <c r="Q69" s="2"/>
      <c r="R69" s="6">
        <f t="shared" si="25"/>
        <v>0</v>
      </c>
      <c r="S69" s="2"/>
      <c r="T69" s="7">
        <v>0</v>
      </c>
      <c r="U69" s="2"/>
      <c r="V69" s="6">
        <f t="shared" si="26"/>
        <v>0</v>
      </c>
      <c r="W69" s="2"/>
      <c r="X69" s="7">
        <f t="shared" si="27"/>
        <v>0</v>
      </c>
      <c r="Y69" s="2"/>
      <c r="Z69" s="6">
        <f t="shared" si="28"/>
        <v>0</v>
      </c>
    </row>
    <row r="70" spans="1:26" s="24" customFormat="1" hidden="1" outlineLevel="2" x14ac:dyDescent="0.25">
      <c r="A70" s="25"/>
      <c r="B70" s="11" t="str">
        <f>CONCATENATE("          ", "6007", " - ", "STUDENT HOURLY")</f>
        <v xml:space="preserve">          6007 - STUDENT HOURLY</v>
      </c>
      <c r="C70" s="11"/>
      <c r="D70" s="7">
        <v>1807.4</v>
      </c>
      <c r="E70" s="2"/>
      <c r="F70" s="6">
        <f t="shared" si="21"/>
        <v>1.206698330758456E-2</v>
      </c>
      <c r="G70" s="2"/>
      <c r="H70" s="7">
        <v>0</v>
      </c>
      <c r="I70" s="2"/>
      <c r="J70" s="6">
        <f t="shared" si="22"/>
        <v>0</v>
      </c>
      <c r="K70" s="2"/>
      <c r="L70" s="7">
        <f t="shared" si="23"/>
        <v>1807.4</v>
      </c>
      <c r="M70" s="2"/>
      <c r="N70" s="6">
        <f t="shared" si="24"/>
        <v>0</v>
      </c>
      <c r="O70" s="11"/>
      <c r="P70" s="7">
        <v>24095.439999999999</v>
      </c>
      <c r="Q70" s="2"/>
      <c r="R70" s="6">
        <f t="shared" si="25"/>
        <v>9.3663113208628992E-3</v>
      </c>
      <c r="S70" s="2"/>
      <c r="T70" s="7">
        <v>5416.48</v>
      </c>
      <c r="U70" s="2"/>
      <c r="V70" s="6">
        <f t="shared" si="26"/>
        <v>2.4508038838360366E-3</v>
      </c>
      <c r="W70" s="2"/>
      <c r="X70" s="7">
        <f t="shared" si="27"/>
        <v>18678.96</v>
      </c>
      <c r="Y70" s="2"/>
      <c r="Z70" s="6">
        <f t="shared" si="28"/>
        <v>3.4485422266859658</v>
      </c>
    </row>
    <row r="71" spans="1:26" s="24" customFormat="1" hidden="1" outlineLevel="2" x14ac:dyDescent="0.25">
      <c r="A71" s="25"/>
      <c r="B71" s="11" t="str">
        <f>CONCATENATE("          ", "6008", " - ", "STUDENT HOURLY-FICA EXEMPT")</f>
        <v xml:space="preserve">          6008 - STUDENT HOURLY-FICA EXEMPT</v>
      </c>
      <c r="C71" s="11"/>
      <c r="D71" s="7"/>
      <c r="E71" s="2"/>
      <c r="F71" s="6">
        <f t="shared" si="21"/>
        <v>0</v>
      </c>
      <c r="G71" s="2"/>
      <c r="H71" s="7">
        <v>5313.4349599999996</v>
      </c>
      <c r="I71" s="2"/>
      <c r="J71" s="6">
        <f t="shared" si="22"/>
        <v>5.0924725749719658E-2</v>
      </c>
      <c r="K71" s="2"/>
      <c r="L71" s="7">
        <f t="shared" si="23"/>
        <v>-5313.4349599999996</v>
      </c>
      <c r="M71" s="2"/>
      <c r="N71" s="6">
        <f t="shared" si="24"/>
        <v>-1</v>
      </c>
      <c r="O71" s="11"/>
      <c r="P71" s="7"/>
      <c r="Q71" s="2"/>
      <c r="R71" s="6">
        <f t="shared" si="25"/>
        <v>0</v>
      </c>
      <c r="S71" s="2"/>
      <c r="T71" s="7">
        <v>53423.529880000002</v>
      </c>
      <c r="U71" s="2"/>
      <c r="V71" s="6">
        <f t="shared" si="26"/>
        <v>2.417263509108029E-2</v>
      </c>
      <c r="W71" s="2"/>
      <c r="X71" s="7">
        <f t="shared" si="27"/>
        <v>-53423.529880000002</v>
      </c>
      <c r="Y71" s="2"/>
      <c r="Z71" s="6">
        <f t="shared" si="28"/>
        <v>-1</v>
      </c>
    </row>
    <row r="72" spans="1:26" s="24" customFormat="1" hidden="1" outlineLevel="2" x14ac:dyDescent="0.25">
      <c r="A72" s="25"/>
      <c r="B72" s="11" t="str">
        <f>CONCATENATE("          ", "6009", " - ", "TEMPORARY-SEASONAL")</f>
        <v xml:space="preserve">          6009 - TEMPORARY-SEASONAL</v>
      </c>
      <c r="C72" s="11"/>
      <c r="D72" s="7"/>
      <c r="E72" s="2"/>
      <c r="F72" s="6">
        <f t="shared" si="21"/>
        <v>0</v>
      </c>
      <c r="G72" s="2"/>
      <c r="H72" s="7">
        <v>0</v>
      </c>
      <c r="I72" s="2"/>
      <c r="J72" s="6">
        <f t="shared" si="22"/>
        <v>0</v>
      </c>
      <c r="K72" s="2"/>
      <c r="L72" s="7">
        <f t="shared" si="23"/>
        <v>0</v>
      </c>
      <c r="M72" s="2"/>
      <c r="N72" s="6">
        <f t="shared" si="24"/>
        <v>0</v>
      </c>
      <c r="O72" s="11"/>
      <c r="P72" s="7"/>
      <c r="Q72" s="2"/>
      <c r="R72" s="6">
        <f t="shared" si="25"/>
        <v>0</v>
      </c>
      <c r="S72" s="2"/>
      <c r="T72" s="7">
        <v>0</v>
      </c>
      <c r="U72" s="2"/>
      <c r="V72" s="6">
        <f t="shared" si="26"/>
        <v>0</v>
      </c>
      <c r="W72" s="2"/>
      <c r="X72" s="7">
        <f t="shared" si="27"/>
        <v>0</v>
      </c>
      <c r="Y72" s="2"/>
      <c r="Z72" s="6">
        <f t="shared" si="28"/>
        <v>0</v>
      </c>
    </row>
    <row r="73" spans="1:26" s="24" customFormat="1" hidden="1" outlineLevel="2" x14ac:dyDescent="0.25">
      <c r="A73" s="25"/>
      <c r="B73" s="11" t="str">
        <f>CONCATENATE("          ", "6010", " - ", "GRATUITY")</f>
        <v xml:space="preserve">          6010 - GRATUITY</v>
      </c>
      <c r="C73" s="11"/>
      <c r="D73" s="7"/>
      <c r="E73" s="2"/>
      <c r="F73" s="6">
        <f t="shared" si="21"/>
        <v>0</v>
      </c>
      <c r="G73" s="2"/>
      <c r="H73" s="7">
        <v>0</v>
      </c>
      <c r="I73" s="2"/>
      <c r="J73" s="6">
        <f t="shared" si="22"/>
        <v>0</v>
      </c>
      <c r="K73" s="2"/>
      <c r="L73" s="7">
        <f t="shared" si="23"/>
        <v>0</v>
      </c>
      <c r="M73" s="2"/>
      <c r="N73" s="6">
        <f t="shared" si="24"/>
        <v>0</v>
      </c>
      <c r="O73" s="11"/>
      <c r="P73" s="7"/>
      <c r="Q73" s="2"/>
      <c r="R73" s="6">
        <f t="shared" si="25"/>
        <v>0</v>
      </c>
      <c r="S73" s="2"/>
      <c r="T73" s="7">
        <v>0</v>
      </c>
      <c r="U73" s="2"/>
      <c r="V73" s="6">
        <f t="shared" si="26"/>
        <v>0</v>
      </c>
      <c r="W73" s="2"/>
      <c r="X73" s="7">
        <f t="shared" si="27"/>
        <v>0</v>
      </c>
      <c r="Y73" s="2"/>
      <c r="Z73" s="6">
        <f t="shared" si="28"/>
        <v>0</v>
      </c>
    </row>
    <row r="74" spans="1:26" s="27" customFormat="1" outlineLevel="1" collapsed="1" x14ac:dyDescent="0.25">
      <c r="A74" s="26"/>
      <c r="B74" s="13" t="str">
        <f>CONCATENATE("     ","Advertising/Promo                                 ")</f>
        <v xml:space="preserve">     Advertising/Promo                                 </v>
      </c>
      <c r="C74" s="13"/>
      <c r="D74" s="1">
        <f>SUM(OSRRefD22_2x_0)</f>
        <v>67.239999999999995</v>
      </c>
      <c r="E74" s="1"/>
      <c r="F74" s="5">
        <f t="shared" ref="F74:F84" si="29">IF(D$12=0,0,D74/D$12)</f>
        <v>4.4892329180147491E-4</v>
      </c>
      <c r="G74" s="1"/>
      <c r="H74" s="1">
        <f>SUM(OSRRefH22_2x_0)</f>
        <v>200</v>
      </c>
      <c r="I74" s="1"/>
      <c r="J74" s="5">
        <f t="shared" ref="J74:J84" si="30">IF(H$12=0,0,H74/H$12)</f>
        <v>1.9168287984358677E-3</v>
      </c>
      <c r="K74" s="1"/>
      <c r="L74" s="1">
        <f t="shared" ref="L74:L84" si="31">+D74-H74</f>
        <v>-132.76</v>
      </c>
      <c r="M74" s="1"/>
      <c r="N74" s="5">
        <f t="shared" ref="N74:N84" si="32">IF(H74=0,0,L74/H74)</f>
        <v>-0.66379999999999995</v>
      </c>
      <c r="O74" s="13"/>
      <c r="P74" s="1">
        <f>SUM(OSRRefP22_2x_0)</f>
        <v>692.63</v>
      </c>
      <c r="Q74" s="1"/>
      <c r="R74" s="5">
        <f t="shared" ref="R74:R84" si="33">IF(P$12=0,0,P74/P$12)</f>
        <v>2.6923717558879483E-4</v>
      </c>
      <c r="S74" s="1"/>
      <c r="T74" s="1">
        <f>SUM(OSRRefT22_2x_0)</f>
        <v>2200</v>
      </c>
      <c r="U74" s="1"/>
      <c r="V74" s="5">
        <f t="shared" ref="V74:V84" si="34">IF(T$12=0,0,T74/T$12)</f>
        <v>9.9543772790433669E-4</v>
      </c>
      <c r="W74" s="1"/>
      <c r="X74" s="1">
        <f t="shared" ref="X74:X84" si="35">+P74-T74</f>
        <v>-1507.37</v>
      </c>
      <c r="Y74" s="1"/>
      <c r="Z74" s="5">
        <f t="shared" ref="Z74:Z84" si="36">IF(T74=0,0,X74/T74)</f>
        <v>-0.68516818181818173</v>
      </c>
    </row>
    <row r="75" spans="1:26" s="24" customFormat="1" hidden="1" outlineLevel="2" x14ac:dyDescent="0.25">
      <c r="A75" s="25"/>
      <c r="B75" s="11" t="str">
        <f>CONCATENATE("          ", "6362", " - ", "ADVERTISING EXPENSE")</f>
        <v xml:space="preserve">          6362 - ADVERTISING EXPENSE</v>
      </c>
      <c r="C75" s="11"/>
      <c r="D75" s="7">
        <v>67.239999999999995</v>
      </c>
      <c r="E75" s="2"/>
      <c r="F75" s="6">
        <f t="shared" si="29"/>
        <v>4.4892329180147491E-4</v>
      </c>
      <c r="G75" s="2"/>
      <c r="H75" s="7">
        <v>200</v>
      </c>
      <c r="I75" s="2"/>
      <c r="J75" s="6">
        <f t="shared" si="30"/>
        <v>1.9168287984358677E-3</v>
      </c>
      <c r="K75" s="2"/>
      <c r="L75" s="7">
        <f t="shared" si="31"/>
        <v>-132.76</v>
      </c>
      <c r="M75" s="2"/>
      <c r="N75" s="6">
        <f t="shared" si="32"/>
        <v>-0.66379999999999995</v>
      </c>
      <c r="O75" s="11"/>
      <c r="P75" s="7">
        <v>692.63</v>
      </c>
      <c r="Q75" s="2"/>
      <c r="R75" s="6">
        <f t="shared" si="33"/>
        <v>2.6923717558879483E-4</v>
      </c>
      <c r="S75" s="2"/>
      <c r="T75" s="7">
        <v>2200</v>
      </c>
      <c r="U75" s="2"/>
      <c r="V75" s="6">
        <f t="shared" si="34"/>
        <v>9.9543772790433669E-4</v>
      </c>
      <c r="W75" s="2"/>
      <c r="X75" s="7">
        <f t="shared" si="35"/>
        <v>-1507.37</v>
      </c>
      <c r="Y75" s="2"/>
      <c r="Z75" s="6">
        <f t="shared" si="36"/>
        <v>-0.68516818181818173</v>
      </c>
    </row>
    <row r="76" spans="1:26" s="27" customFormat="1" outlineLevel="1" collapsed="1" x14ac:dyDescent="0.25">
      <c r="A76" s="26"/>
      <c r="B76" s="13" t="str">
        <f>CONCATENATE("     ","Depreciation                                      ")</f>
        <v xml:space="preserve">     Depreciation                                      </v>
      </c>
      <c r="C76" s="13"/>
      <c r="D76" s="1">
        <f>SUM(OSRRefD22_3x_0)</f>
        <v>280.44</v>
      </c>
      <c r="E76" s="1"/>
      <c r="F76" s="5">
        <f t="shared" si="29"/>
        <v>1.8723386072695661E-3</v>
      </c>
      <c r="G76" s="1"/>
      <c r="H76" s="1">
        <f>SUM(OSRRefH22_3x_0)</f>
        <v>300</v>
      </c>
      <c r="I76" s="1"/>
      <c r="J76" s="5">
        <f t="shared" si="30"/>
        <v>2.8752431976538017E-3</v>
      </c>
      <c r="K76" s="1"/>
      <c r="L76" s="1">
        <f t="shared" si="31"/>
        <v>-19.560000000000002</v>
      </c>
      <c r="M76" s="1"/>
      <c r="N76" s="5">
        <f t="shared" si="32"/>
        <v>-6.5200000000000008E-2</v>
      </c>
      <c r="O76" s="13"/>
      <c r="P76" s="1">
        <f>SUM(OSRRefP22_3x_0)</f>
        <v>3084.84</v>
      </c>
      <c r="Q76" s="1"/>
      <c r="R76" s="5">
        <f t="shared" si="33"/>
        <v>1.1991302841969562E-3</v>
      </c>
      <c r="S76" s="1"/>
      <c r="T76" s="1">
        <f>SUM(OSRRefT22_3x_0)</f>
        <v>3300</v>
      </c>
      <c r="U76" s="1"/>
      <c r="V76" s="5">
        <f t="shared" si="34"/>
        <v>1.493156591856505E-3</v>
      </c>
      <c r="W76" s="1"/>
      <c r="X76" s="1">
        <f t="shared" si="35"/>
        <v>-215.15999999999985</v>
      </c>
      <c r="Y76" s="1"/>
      <c r="Z76" s="5">
        <f t="shared" si="36"/>
        <v>-6.5199999999999952E-2</v>
      </c>
    </row>
    <row r="77" spans="1:26" s="24" customFormat="1" hidden="1" outlineLevel="2" x14ac:dyDescent="0.25">
      <c r="A77" s="25"/>
      <c r="B77" s="11" t="str">
        <f>CONCATENATE("          ", "6322", " - ", "EQUIPMENT DEPRECIATION EXPENSE")</f>
        <v xml:space="preserve">          6322 - EQUIPMENT DEPRECIATION EXPENSE</v>
      </c>
      <c r="C77" s="11"/>
      <c r="D77" s="7">
        <v>280.44</v>
      </c>
      <c r="E77" s="2"/>
      <c r="F77" s="6">
        <f t="shared" si="29"/>
        <v>1.8723386072695661E-3</v>
      </c>
      <c r="G77" s="2"/>
      <c r="H77" s="7">
        <v>300</v>
      </c>
      <c r="I77" s="2"/>
      <c r="J77" s="6">
        <f t="shared" si="30"/>
        <v>2.8752431976538017E-3</v>
      </c>
      <c r="K77" s="2"/>
      <c r="L77" s="7">
        <f t="shared" si="31"/>
        <v>-19.560000000000002</v>
      </c>
      <c r="M77" s="2"/>
      <c r="N77" s="6">
        <f t="shared" si="32"/>
        <v>-6.5200000000000008E-2</v>
      </c>
      <c r="O77" s="11"/>
      <c r="P77" s="7">
        <v>3084.84</v>
      </c>
      <c r="Q77" s="2"/>
      <c r="R77" s="6">
        <f t="shared" si="33"/>
        <v>1.1991302841969562E-3</v>
      </c>
      <c r="S77" s="2"/>
      <c r="T77" s="7">
        <v>3300</v>
      </c>
      <c r="U77" s="2"/>
      <c r="V77" s="6">
        <f t="shared" si="34"/>
        <v>1.493156591856505E-3</v>
      </c>
      <c r="W77" s="2"/>
      <c r="X77" s="7">
        <f t="shared" si="35"/>
        <v>-215.15999999999985</v>
      </c>
      <c r="Y77" s="2"/>
      <c r="Z77" s="6">
        <f t="shared" si="36"/>
        <v>-6.5199999999999952E-2</v>
      </c>
    </row>
    <row r="78" spans="1:26" s="27" customFormat="1" outlineLevel="1" collapsed="1" x14ac:dyDescent="0.25">
      <c r="A78" s="26"/>
      <c r="B78" s="13" t="str">
        <f>CONCATENATE("     ","Discounts and Markdowns                           ")</f>
        <v xml:space="preserve">     Discounts and Markdowns                           </v>
      </c>
      <c r="C78" s="13"/>
      <c r="D78" s="1">
        <f>SUM(OSRRefD22_4x_0)</f>
        <v>0</v>
      </c>
      <c r="E78" s="1"/>
      <c r="F78" s="5">
        <f t="shared" si="29"/>
        <v>0</v>
      </c>
      <c r="G78" s="1"/>
      <c r="H78" s="1">
        <f>SUM(OSRRefH22_4x_0)</f>
        <v>1659</v>
      </c>
      <c r="I78" s="1"/>
      <c r="J78" s="5">
        <f t="shared" si="30"/>
        <v>1.5900094883025524E-2</v>
      </c>
      <c r="K78" s="1"/>
      <c r="L78" s="1">
        <f t="shared" si="31"/>
        <v>-1659</v>
      </c>
      <c r="M78" s="1"/>
      <c r="N78" s="5">
        <f t="shared" si="32"/>
        <v>-1</v>
      </c>
      <c r="O78" s="13"/>
      <c r="P78" s="1">
        <f>SUM(OSRRefP22_4x_0)</f>
        <v>0</v>
      </c>
      <c r="Q78" s="1"/>
      <c r="R78" s="5">
        <f t="shared" si="33"/>
        <v>0</v>
      </c>
      <c r="S78" s="1"/>
      <c r="T78" s="1">
        <f>SUM(OSRRefT22_4x_0)</f>
        <v>35151</v>
      </c>
      <c r="U78" s="1"/>
      <c r="V78" s="5">
        <f t="shared" si="34"/>
        <v>1.590483253343879E-2</v>
      </c>
      <c r="W78" s="1"/>
      <c r="X78" s="1">
        <f t="shared" si="35"/>
        <v>-35151</v>
      </c>
      <c r="Y78" s="1"/>
      <c r="Z78" s="5">
        <f t="shared" si="36"/>
        <v>-1</v>
      </c>
    </row>
    <row r="79" spans="1:26" s="24" customFormat="1" hidden="1" outlineLevel="2" x14ac:dyDescent="0.25">
      <c r="A79" s="25"/>
      <c r="B79" s="11" t="str">
        <f>CONCATENATE("          ", "6382", " - ", "DISCOUNTS/MARK DOWNS")</f>
        <v xml:space="preserve">          6382 - DISCOUNTS/MARK DOWNS</v>
      </c>
      <c r="C79" s="11"/>
      <c r="D79" s="7">
        <v>0</v>
      </c>
      <c r="E79" s="2"/>
      <c r="F79" s="6">
        <f t="shared" si="29"/>
        <v>0</v>
      </c>
      <c r="G79" s="2"/>
      <c r="H79" s="7">
        <v>1659</v>
      </c>
      <c r="I79" s="2"/>
      <c r="J79" s="6">
        <f t="shared" si="30"/>
        <v>1.5900094883025524E-2</v>
      </c>
      <c r="K79" s="2"/>
      <c r="L79" s="7">
        <f t="shared" si="31"/>
        <v>-1659</v>
      </c>
      <c r="M79" s="2"/>
      <c r="N79" s="6">
        <f t="shared" si="32"/>
        <v>-1</v>
      </c>
      <c r="O79" s="11"/>
      <c r="P79" s="7">
        <v>0</v>
      </c>
      <c r="Q79" s="2"/>
      <c r="R79" s="6">
        <f t="shared" si="33"/>
        <v>0</v>
      </c>
      <c r="S79" s="2"/>
      <c r="T79" s="7">
        <v>35151</v>
      </c>
      <c r="U79" s="2"/>
      <c r="V79" s="6">
        <f t="shared" si="34"/>
        <v>1.590483253343879E-2</v>
      </c>
      <c r="W79" s="2"/>
      <c r="X79" s="7">
        <f t="shared" si="35"/>
        <v>-35151</v>
      </c>
      <c r="Y79" s="2"/>
      <c r="Z79" s="6">
        <f t="shared" si="36"/>
        <v>-1</v>
      </c>
    </row>
    <row r="80" spans="1:26" s="27" customFormat="1" outlineLevel="1" collapsed="1" x14ac:dyDescent="0.25">
      <c r="A80" s="26"/>
      <c r="B80" s="13" t="str">
        <f>CONCATENATE("     ","Employees' Appreciation                           ")</f>
        <v xml:space="preserve">     Employees' Appreciation                           </v>
      </c>
      <c r="C80" s="13"/>
      <c r="D80" s="1">
        <f>SUM(OSRRefD22_5x_0)</f>
        <v>0</v>
      </c>
      <c r="E80" s="1"/>
      <c r="F80" s="5">
        <f t="shared" si="29"/>
        <v>0</v>
      </c>
      <c r="G80" s="1"/>
      <c r="H80" s="1">
        <f>SUM(OSRRefH22_5x_0)</f>
        <v>20</v>
      </c>
      <c r="I80" s="1"/>
      <c r="J80" s="5">
        <f t="shared" si="30"/>
        <v>1.9168287984358678E-4</v>
      </c>
      <c r="K80" s="1"/>
      <c r="L80" s="1">
        <f t="shared" si="31"/>
        <v>-20</v>
      </c>
      <c r="M80" s="1"/>
      <c r="N80" s="5">
        <f t="shared" si="32"/>
        <v>-1</v>
      </c>
      <c r="O80" s="13"/>
      <c r="P80" s="1">
        <f>SUM(OSRRefP22_5x_0)</f>
        <v>0</v>
      </c>
      <c r="Q80" s="1"/>
      <c r="R80" s="5">
        <f t="shared" si="33"/>
        <v>0</v>
      </c>
      <c r="S80" s="1"/>
      <c r="T80" s="1">
        <f>SUM(OSRRefT22_5x_0)</f>
        <v>220</v>
      </c>
      <c r="U80" s="1"/>
      <c r="V80" s="5">
        <f t="shared" si="34"/>
        <v>9.9543772790433661E-5</v>
      </c>
      <c r="W80" s="1"/>
      <c r="X80" s="1">
        <f t="shared" si="35"/>
        <v>-220</v>
      </c>
      <c r="Y80" s="1"/>
      <c r="Z80" s="5">
        <f t="shared" si="36"/>
        <v>-1</v>
      </c>
    </row>
    <row r="81" spans="1:26" s="24" customFormat="1" hidden="1" outlineLevel="2" x14ac:dyDescent="0.25">
      <c r="A81" s="25"/>
      <c r="B81" s="11" t="str">
        <f>CONCATENATE("          ", "6277", " - ", "EMPLOYEE APPRECIATION")</f>
        <v xml:space="preserve">          6277 - EMPLOYEE APPRECIATION</v>
      </c>
      <c r="C81" s="11"/>
      <c r="D81" s="7"/>
      <c r="E81" s="2"/>
      <c r="F81" s="6">
        <f t="shared" si="29"/>
        <v>0</v>
      </c>
      <c r="G81" s="2"/>
      <c r="H81" s="7">
        <v>20</v>
      </c>
      <c r="I81" s="2"/>
      <c r="J81" s="6">
        <f t="shared" si="30"/>
        <v>1.9168287984358678E-4</v>
      </c>
      <c r="K81" s="2"/>
      <c r="L81" s="7">
        <f t="shared" si="31"/>
        <v>-20</v>
      </c>
      <c r="M81" s="2"/>
      <c r="N81" s="6">
        <f t="shared" si="32"/>
        <v>-1</v>
      </c>
      <c r="O81" s="11"/>
      <c r="P81" s="7"/>
      <c r="Q81" s="2"/>
      <c r="R81" s="6">
        <f t="shared" si="33"/>
        <v>0</v>
      </c>
      <c r="S81" s="2"/>
      <c r="T81" s="7">
        <v>220</v>
      </c>
      <c r="U81" s="2"/>
      <c r="V81" s="6">
        <f t="shared" si="34"/>
        <v>9.9543772790433661E-5</v>
      </c>
      <c r="W81" s="2"/>
      <c r="X81" s="7">
        <f t="shared" si="35"/>
        <v>-220</v>
      </c>
      <c r="Y81" s="2"/>
      <c r="Z81" s="6">
        <f t="shared" si="36"/>
        <v>-1</v>
      </c>
    </row>
    <row r="82" spans="1:26" s="27" customFormat="1" outlineLevel="1" collapsed="1" x14ac:dyDescent="0.25">
      <c r="A82" s="26"/>
      <c r="B82" s="13" t="str">
        <f>CONCATENATE("     ","Freight out/Postage                               ")</f>
        <v xml:space="preserve">     Freight out/Postage                               </v>
      </c>
      <c r="C82" s="13"/>
      <c r="D82" s="1">
        <f>SUM(OSRRefD22_6x_0)</f>
        <v>1057.28</v>
      </c>
      <c r="E82" s="1"/>
      <c r="F82" s="5">
        <f t="shared" si="29"/>
        <v>7.0588580897659641E-3</v>
      </c>
      <c r="G82" s="1"/>
      <c r="H82" s="1">
        <f>SUM(OSRRefH22_6x_0)</f>
        <v>15</v>
      </c>
      <c r="I82" s="1"/>
      <c r="J82" s="5">
        <f t="shared" si="30"/>
        <v>1.4376215988269006E-4</v>
      </c>
      <c r="K82" s="1"/>
      <c r="L82" s="1">
        <f t="shared" si="31"/>
        <v>1042.28</v>
      </c>
      <c r="M82" s="1"/>
      <c r="N82" s="5">
        <f t="shared" si="32"/>
        <v>69.48533333333333</v>
      </c>
      <c r="O82" s="13"/>
      <c r="P82" s="1">
        <f>SUM(OSRRefP22_6x_0)</f>
        <v>2698.56</v>
      </c>
      <c r="Q82" s="1"/>
      <c r="R82" s="5">
        <f t="shared" si="33"/>
        <v>1.0489766145805092E-3</v>
      </c>
      <c r="S82" s="1"/>
      <c r="T82" s="1">
        <f>SUM(OSRRefT22_6x_0)</f>
        <v>165</v>
      </c>
      <c r="U82" s="1"/>
      <c r="V82" s="5">
        <f t="shared" si="34"/>
        <v>7.4657829592825249E-5</v>
      </c>
      <c r="W82" s="1"/>
      <c r="X82" s="1">
        <f t="shared" si="35"/>
        <v>2533.56</v>
      </c>
      <c r="Y82" s="1"/>
      <c r="Z82" s="5">
        <f t="shared" si="36"/>
        <v>15.354909090909091</v>
      </c>
    </row>
    <row r="83" spans="1:26" s="24" customFormat="1" hidden="1" outlineLevel="2" x14ac:dyDescent="0.25">
      <c r="A83" s="25"/>
      <c r="B83" s="11" t="str">
        <f>CONCATENATE("          ", "6305", " - ", "FREIGHT OUT")</f>
        <v xml:space="preserve">          6305 - FREIGHT OUT</v>
      </c>
      <c r="C83" s="11"/>
      <c r="D83" s="7">
        <v>1057.28</v>
      </c>
      <c r="E83" s="2"/>
      <c r="F83" s="6">
        <f t="shared" si="29"/>
        <v>7.0588580897659641E-3</v>
      </c>
      <c r="G83" s="2"/>
      <c r="H83" s="7">
        <v>15</v>
      </c>
      <c r="I83" s="2"/>
      <c r="J83" s="6">
        <f t="shared" si="30"/>
        <v>1.4376215988269006E-4</v>
      </c>
      <c r="K83" s="2"/>
      <c r="L83" s="7">
        <f t="shared" si="31"/>
        <v>1042.28</v>
      </c>
      <c r="M83" s="2"/>
      <c r="N83" s="6">
        <f t="shared" si="32"/>
        <v>69.48533333333333</v>
      </c>
      <c r="O83" s="11"/>
      <c r="P83" s="7">
        <v>2685.96</v>
      </c>
      <c r="Q83" s="2"/>
      <c r="R83" s="6">
        <f t="shared" si="33"/>
        <v>1.0440787781997305E-3</v>
      </c>
      <c r="S83" s="2"/>
      <c r="T83" s="7">
        <v>165</v>
      </c>
      <c r="U83" s="2"/>
      <c r="V83" s="6">
        <f t="shared" si="34"/>
        <v>7.4657829592825249E-5</v>
      </c>
      <c r="W83" s="2"/>
      <c r="X83" s="7">
        <f t="shared" si="35"/>
        <v>2520.96</v>
      </c>
      <c r="Y83" s="2"/>
      <c r="Z83" s="6">
        <f t="shared" si="36"/>
        <v>15.278545454545455</v>
      </c>
    </row>
    <row r="84" spans="1:26" s="24" customFormat="1" hidden="1" outlineLevel="2" x14ac:dyDescent="0.25">
      <c r="A84" s="25"/>
      <c r="B84" s="11" t="str">
        <f>CONCATENATE("          ", "6307", " - ", "POSTAGE")</f>
        <v xml:space="preserve">          6307 - POSTAGE</v>
      </c>
      <c r="C84" s="11"/>
      <c r="D84" s="7"/>
      <c r="E84" s="2"/>
      <c r="F84" s="6">
        <f t="shared" si="29"/>
        <v>0</v>
      </c>
      <c r="G84" s="2"/>
      <c r="H84" s="7"/>
      <c r="I84" s="2"/>
      <c r="J84" s="6">
        <f t="shared" si="30"/>
        <v>0</v>
      </c>
      <c r="K84" s="2"/>
      <c r="L84" s="7">
        <f t="shared" si="31"/>
        <v>0</v>
      </c>
      <c r="M84" s="2"/>
      <c r="N84" s="6">
        <f t="shared" si="32"/>
        <v>0</v>
      </c>
      <c r="O84" s="11"/>
      <c r="P84" s="7">
        <v>12.6</v>
      </c>
      <c r="Q84" s="2"/>
      <c r="R84" s="6">
        <f t="shared" si="33"/>
        <v>4.8978363807787919E-6</v>
      </c>
      <c r="S84" s="2"/>
      <c r="T84" s="7"/>
      <c r="U84" s="2"/>
      <c r="V84" s="6">
        <f t="shared" si="34"/>
        <v>0</v>
      </c>
      <c r="W84" s="2"/>
      <c r="X84" s="7">
        <f t="shared" si="35"/>
        <v>12.6</v>
      </c>
      <c r="Y84" s="2"/>
      <c r="Z84" s="6">
        <f t="shared" si="36"/>
        <v>0</v>
      </c>
    </row>
    <row r="85" spans="1:26" s="27" customFormat="1" outlineLevel="1" collapsed="1" x14ac:dyDescent="0.25">
      <c r="A85" s="26"/>
      <c r="B85" s="13" t="str">
        <f>CONCATENATE("     ","General                                           ")</f>
        <v xml:space="preserve">     General                                           </v>
      </c>
      <c r="C85" s="13"/>
      <c r="D85" s="1">
        <f>SUM(OSRRefD22_7x_0)</f>
        <v>285</v>
      </c>
      <c r="E85" s="1"/>
      <c r="F85" s="5">
        <f t="shared" ref="F85:F91" si="37">IF(D$12=0,0,D85/D$12)</f>
        <v>1.9027831374690714E-3</v>
      </c>
      <c r="G85" s="1"/>
      <c r="H85" s="1">
        <f>SUM(OSRRefH22_7x_0)</f>
        <v>30</v>
      </c>
      <c r="I85" s="1"/>
      <c r="J85" s="5">
        <f t="shared" ref="J85:J91" si="38">IF(H$12=0,0,H85/H$12)</f>
        <v>2.8752431976538013E-4</v>
      </c>
      <c r="K85" s="1"/>
      <c r="L85" s="1">
        <f t="shared" ref="L85:L91" si="39">+D85-H85</f>
        <v>255</v>
      </c>
      <c r="M85" s="1"/>
      <c r="N85" s="5">
        <f t="shared" ref="N85:N91" si="40">IF(H85=0,0,L85/H85)</f>
        <v>8.5</v>
      </c>
      <c r="O85" s="13"/>
      <c r="P85" s="1">
        <f>SUM(OSRRefP22_7x_0)</f>
        <v>254.85</v>
      </c>
      <c r="Q85" s="1"/>
      <c r="R85" s="5">
        <f t="shared" ref="R85:R91" si="41">IF(P$12=0,0,P85/P$12)</f>
        <v>9.9064571558847233E-5</v>
      </c>
      <c r="S85" s="1"/>
      <c r="T85" s="1">
        <f>SUM(OSRRefT22_7x_0)</f>
        <v>330</v>
      </c>
      <c r="U85" s="1"/>
      <c r="V85" s="5">
        <f t="shared" ref="V85:V91" si="42">IF(T$12=0,0,T85/T$12)</f>
        <v>1.493156591856505E-4</v>
      </c>
      <c r="W85" s="1"/>
      <c r="X85" s="1">
        <f t="shared" ref="X85:X91" si="43">+P85-T85</f>
        <v>-75.150000000000006</v>
      </c>
      <c r="Y85" s="1"/>
      <c r="Z85" s="5">
        <f t="shared" ref="Z85:Z91" si="44">IF(T85=0,0,X85/T85)</f>
        <v>-0.22772727272727275</v>
      </c>
    </row>
    <row r="86" spans="1:26" s="24" customFormat="1" hidden="1" outlineLevel="2" x14ac:dyDescent="0.25">
      <c r="A86" s="25"/>
      <c r="B86" s="11" t="str">
        <f>CONCATENATE("          ", "6279", " - ", "GENERAL EXPENSE")</f>
        <v xml:space="preserve">          6279 - GENERAL EXPENSE</v>
      </c>
      <c r="C86" s="11"/>
      <c r="D86" s="7">
        <v>285</v>
      </c>
      <c r="E86" s="2"/>
      <c r="F86" s="6">
        <f t="shared" si="37"/>
        <v>1.9027831374690714E-3</v>
      </c>
      <c r="G86" s="2"/>
      <c r="H86" s="7">
        <v>30</v>
      </c>
      <c r="I86" s="2"/>
      <c r="J86" s="6">
        <f t="shared" si="38"/>
        <v>2.8752431976538013E-4</v>
      </c>
      <c r="K86" s="2"/>
      <c r="L86" s="7">
        <f t="shared" si="39"/>
        <v>255</v>
      </c>
      <c r="M86" s="2"/>
      <c r="N86" s="6">
        <f t="shared" si="40"/>
        <v>8.5</v>
      </c>
      <c r="O86" s="11"/>
      <c r="P86" s="7">
        <v>254.85</v>
      </c>
      <c r="Q86" s="2"/>
      <c r="R86" s="6">
        <f t="shared" si="41"/>
        <v>9.9064571558847233E-5</v>
      </c>
      <c r="S86" s="2"/>
      <c r="T86" s="7">
        <v>330</v>
      </c>
      <c r="U86" s="2"/>
      <c r="V86" s="6">
        <f t="shared" si="42"/>
        <v>1.493156591856505E-4</v>
      </c>
      <c r="W86" s="2"/>
      <c r="X86" s="7">
        <f t="shared" si="43"/>
        <v>-75.150000000000006</v>
      </c>
      <c r="Y86" s="2"/>
      <c r="Z86" s="6">
        <f t="shared" si="44"/>
        <v>-0.22772727272727275</v>
      </c>
    </row>
    <row r="87" spans="1:26" s="27" customFormat="1" outlineLevel="1" collapsed="1" x14ac:dyDescent="0.25">
      <c r="A87" s="26"/>
      <c r="B87" s="13" t="str">
        <f>CONCATENATE("     ","Inventory Adjustment                              ")</f>
        <v xml:space="preserve">     Inventory Adjustment                              </v>
      </c>
      <c r="C87" s="13"/>
      <c r="D87" s="1">
        <f>SUM(OSRRefD22_8x_0)</f>
        <v>1250</v>
      </c>
      <c r="E87" s="1"/>
      <c r="F87" s="5">
        <f t="shared" si="37"/>
        <v>8.3455400766187342E-3</v>
      </c>
      <c r="G87" s="1"/>
      <c r="H87" s="1">
        <f>SUM(OSRRefH22_8x_0)</f>
        <v>1250</v>
      </c>
      <c r="I87" s="1"/>
      <c r="J87" s="5">
        <f t="shared" si="38"/>
        <v>1.1980179990224172E-2</v>
      </c>
      <c r="K87" s="1"/>
      <c r="L87" s="1">
        <f t="shared" si="39"/>
        <v>0</v>
      </c>
      <c r="M87" s="1"/>
      <c r="N87" s="5">
        <f t="shared" si="40"/>
        <v>0</v>
      </c>
      <c r="O87" s="13"/>
      <c r="P87" s="1">
        <f>SUM(OSRRefP22_8x_0)</f>
        <v>13750</v>
      </c>
      <c r="Q87" s="1"/>
      <c r="R87" s="5">
        <f t="shared" si="41"/>
        <v>5.3448611298181261E-3</v>
      </c>
      <c r="S87" s="1"/>
      <c r="T87" s="1">
        <f>SUM(OSRRefT22_8x_0)</f>
        <v>13750</v>
      </c>
      <c r="U87" s="1"/>
      <c r="V87" s="5">
        <f t="shared" si="42"/>
        <v>6.2214857994021041E-3</v>
      </c>
      <c r="W87" s="1"/>
      <c r="X87" s="1">
        <f t="shared" si="43"/>
        <v>0</v>
      </c>
      <c r="Y87" s="1"/>
      <c r="Z87" s="5">
        <f t="shared" si="44"/>
        <v>0</v>
      </c>
    </row>
    <row r="88" spans="1:26" s="24" customFormat="1" hidden="1" outlineLevel="2" x14ac:dyDescent="0.25">
      <c r="A88" s="25"/>
      <c r="B88" s="11" t="str">
        <f>CONCATENATE("          ", "6408", " - ", "INVENTORY ADJUSTMENT")</f>
        <v xml:space="preserve">          6408 - INVENTORY ADJUSTMENT</v>
      </c>
      <c r="C88" s="11"/>
      <c r="D88" s="7">
        <v>1250</v>
      </c>
      <c r="E88" s="2"/>
      <c r="F88" s="6">
        <f t="shared" si="37"/>
        <v>8.3455400766187342E-3</v>
      </c>
      <c r="G88" s="2"/>
      <c r="H88" s="7">
        <v>1250</v>
      </c>
      <c r="I88" s="2"/>
      <c r="J88" s="6">
        <f t="shared" si="38"/>
        <v>1.1980179990224172E-2</v>
      </c>
      <c r="K88" s="2"/>
      <c r="L88" s="7">
        <f t="shared" si="39"/>
        <v>0</v>
      </c>
      <c r="M88" s="2"/>
      <c r="N88" s="6">
        <f t="shared" si="40"/>
        <v>0</v>
      </c>
      <c r="O88" s="11"/>
      <c r="P88" s="7">
        <v>13750</v>
      </c>
      <c r="Q88" s="2"/>
      <c r="R88" s="6">
        <f t="shared" si="41"/>
        <v>5.3448611298181261E-3</v>
      </c>
      <c r="S88" s="2"/>
      <c r="T88" s="7">
        <v>13750</v>
      </c>
      <c r="U88" s="2"/>
      <c r="V88" s="6">
        <f t="shared" si="42"/>
        <v>6.2214857994021041E-3</v>
      </c>
      <c r="W88" s="2"/>
      <c r="X88" s="7">
        <f t="shared" si="43"/>
        <v>0</v>
      </c>
      <c r="Y88" s="2"/>
      <c r="Z88" s="6">
        <f t="shared" si="44"/>
        <v>0</v>
      </c>
    </row>
    <row r="89" spans="1:26" s="27" customFormat="1" outlineLevel="1" collapsed="1" x14ac:dyDescent="0.25">
      <c r="A89" s="26"/>
      <c r="B89" s="13" t="str">
        <f>CONCATENATE("     ","Repair and Maintenance                            ")</f>
        <v xml:space="preserve">     Repair and Maintenance                            </v>
      </c>
      <c r="C89" s="13"/>
      <c r="D89" s="1">
        <f>SUM(OSRRefD22_9x_0)</f>
        <v>0</v>
      </c>
      <c r="E89" s="1"/>
      <c r="F89" s="5">
        <f t="shared" si="37"/>
        <v>0</v>
      </c>
      <c r="G89" s="1"/>
      <c r="H89" s="1">
        <f>SUM(OSRRefH22_9x_0)</f>
        <v>20</v>
      </c>
      <c r="I89" s="1"/>
      <c r="J89" s="5">
        <f t="shared" si="38"/>
        <v>1.9168287984358678E-4</v>
      </c>
      <c r="K89" s="1"/>
      <c r="L89" s="1">
        <f t="shared" si="39"/>
        <v>-20</v>
      </c>
      <c r="M89" s="1"/>
      <c r="N89" s="5">
        <f t="shared" si="40"/>
        <v>-1</v>
      </c>
      <c r="O89" s="13"/>
      <c r="P89" s="1">
        <f>SUM(OSRRefP22_9x_0)</f>
        <v>1550</v>
      </c>
      <c r="Q89" s="1"/>
      <c r="R89" s="5">
        <f t="shared" si="41"/>
        <v>6.025116182704069E-4</v>
      </c>
      <c r="S89" s="1"/>
      <c r="T89" s="1">
        <f>SUM(OSRRefT22_9x_0)</f>
        <v>225</v>
      </c>
      <c r="U89" s="1"/>
      <c r="V89" s="5">
        <f t="shared" si="42"/>
        <v>1.0180613126294352E-4</v>
      </c>
      <c r="W89" s="1"/>
      <c r="X89" s="1">
        <f t="shared" si="43"/>
        <v>1325</v>
      </c>
      <c r="Y89" s="1"/>
      <c r="Z89" s="5">
        <f t="shared" si="44"/>
        <v>5.8888888888888893</v>
      </c>
    </row>
    <row r="90" spans="1:26" s="24" customFormat="1" hidden="1" outlineLevel="2" x14ac:dyDescent="0.25">
      <c r="A90" s="25"/>
      <c r="B90" s="11" t="str">
        <f>CONCATENATE("          ", "6371", " - ", "COMPUTER SOFTWARE MAINTENANCE")</f>
        <v xml:space="preserve">          6371 - COMPUTER SOFTWARE MAINTENANCE</v>
      </c>
      <c r="C90" s="11"/>
      <c r="D90" s="7"/>
      <c r="E90" s="2"/>
      <c r="F90" s="6">
        <f t="shared" si="37"/>
        <v>0</v>
      </c>
      <c r="G90" s="2"/>
      <c r="H90" s="7"/>
      <c r="I90" s="2"/>
      <c r="J90" s="6">
        <f t="shared" si="38"/>
        <v>0</v>
      </c>
      <c r="K90" s="2"/>
      <c r="L90" s="7">
        <f t="shared" si="39"/>
        <v>0</v>
      </c>
      <c r="M90" s="2"/>
      <c r="N90" s="6">
        <f t="shared" si="40"/>
        <v>0</v>
      </c>
      <c r="O90" s="11"/>
      <c r="P90" s="7">
        <v>1550</v>
      </c>
      <c r="Q90" s="2"/>
      <c r="R90" s="6">
        <f t="shared" si="41"/>
        <v>6.025116182704069E-4</v>
      </c>
      <c r="S90" s="2"/>
      <c r="T90" s="7"/>
      <c r="U90" s="2"/>
      <c r="V90" s="6">
        <f t="shared" si="42"/>
        <v>0</v>
      </c>
      <c r="W90" s="2"/>
      <c r="X90" s="7">
        <f t="shared" si="43"/>
        <v>1550</v>
      </c>
      <c r="Y90" s="2"/>
      <c r="Z90" s="6">
        <f t="shared" si="44"/>
        <v>0</v>
      </c>
    </row>
    <row r="91" spans="1:26" s="24" customFormat="1" hidden="1" outlineLevel="2" x14ac:dyDescent="0.25">
      <c r="A91" s="25"/>
      <c r="B91" s="11" t="str">
        <f>CONCATENATE("          ", "6375", " - ", "OUTSIDE REPAIRS &amp; MAINTENANCE")</f>
        <v xml:space="preserve">          6375 - OUTSIDE REPAIRS &amp; MAINTENANCE</v>
      </c>
      <c r="C91" s="11"/>
      <c r="D91" s="7"/>
      <c r="E91" s="2"/>
      <c r="F91" s="6">
        <f t="shared" si="37"/>
        <v>0</v>
      </c>
      <c r="G91" s="2"/>
      <c r="H91" s="7">
        <v>20</v>
      </c>
      <c r="I91" s="2"/>
      <c r="J91" s="6">
        <f t="shared" si="38"/>
        <v>1.9168287984358678E-4</v>
      </c>
      <c r="K91" s="2"/>
      <c r="L91" s="7">
        <f t="shared" si="39"/>
        <v>-20</v>
      </c>
      <c r="M91" s="2"/>
      <c r="N91" s="6">
        <f t="shared" si="40"/>
        <v>-1</v>
      </c>
      <c r="O91" s="11"/>
      <c r="P91" s="7"/>
      <c r="Q91" s="2"/>
      <c r="R91" s="6">
        <f t="shared" si="41"/>
        <v>0</v>
      </c>
      <c r="S91" s="2"/>
      <c r="T91" s="7">
        <v>225</v>
      </c>
      <c r="U91" s="2"/>
      <c r="V91" s="6">
        <f t="shared" si="42"/>
        <v>1.0180613126294352E-4</v>
      </c>
      <c r="W91" s="2"/>
      <c r="X91" s="7">
        <f t="shared" si="43"/>
        <v>-225</v>
      </c>
      <c r="Y91" s="2"/>
      <c r="Z91" s="6">
        <f t="shared" si="44"/>
        <v>-1</v>
      </c>
    </row>
    <row r="92" spans="1:26" s="27" customFormat="1" outlineLevel="1" collapsed="1" x14ac:dyDescent="0.25">
      <c r="A92" s="26"/>
      <c r="B92" s="13" t="str">
        <f>CONCATENATE("     ","Subscriptions &amp; Dues                              ")</f>
        <v xml:space="preserve">     Subscriptions &amp; Dues                              </v>
      </c>
      <c r="C92" s="13"/>
      <c r="D92" s="1">
        <f>SUM(OSRRefD22_10x_0)</f>
        <v>0</v>
      </c>
      <c r="E92" s="1"/>
      <c r="F92" s="5">
        <f t="shared" ref="F92:F98" si="45">IF(D$12=0,0,D92/D$12)</f>
        <v>0</v>
      </c>
      <c r="G92" s="1"/>
      <c r="H92" s="1">
        <f>SUM(OSRRefH22_10x_0)</f>
        <v>0</v>
      </c>
      <c r="I92" s="1"/>
      <c r="J92" s="5">
        <f t="shared" ref="J92:J98" si="46">IF(H$12=0,0,H92/H$12)</f>
        <v>0</v>
      </c>
      <c r="K92" s="1"/>
      <c r="L92" s="1">
        <f t="shared" ref="L92:L98" si="47">+D92-H92</f>
        <v>0</v>
      </c>
      <c r="M92" s="1"/>
      <c r="N92" s="5">
        <f t="shared" ref="N92:N98" si="48">IF(H92=0,0,L92/H92)</f>
        <v>0</v>
      </c>
      <c r="O92" s="13"/>
      <c r="P92" s="1">
        <f>SUM(OSRRefP22_10x_0)</f>
        <v>142.22</v>
      </c>
      <c r="Q92" s="1"/>
      <c r="R92" s="5">
        <f t="shared" ref="R92:R98" si="49">IF(P$12=0,0,P92/P$12)</f>
        <v>5.5283356355107917E-5</v>
      </c>
      <c r="S92" s="1"/>
      <c r="T92" s="1">
        <f>SUM(OSRRefT22_10x_0)</f>
        <v>0</v>
      </c>
      <c r="U92" s="1"/>
      <c r="V92" s="5">
        <f t="shared" ref="V92:V98" si="50">IF(T$12=0,0,T92/T$12)</f>
        <v>0</v>
      </c>
      <c r="W92" s="1"/>
      <c r="X92" s="1">
        <f t="shared" ref="X92:X98" si="51">+P92-T92</f>
        <v>142.22</v>
      </c>
      <c r="Y92" s="1"/>
      <c r="Z92" s="5">
        <f t="shared" ref="Z92:Z98" si="52">IF(T92=0,0,X92/T92)</f>
        <v>0</v>
      </c>
    </row>
    <row r="93" spans="1:26" s="24" customFormat="1" hidden="1" outlineLevel="2" x14ac:dyDescent="0.25">
      <c r="A93" s="25"/>
      <c r="B93" s="11" t="str">
        <f>CONCATENATE("          ", "6275", " - ", "SUBSCRIPTIONS")</f>
        <v xml:space="preserve">          6275 - SUBSCRIPTIONS</v>
      </c>
      <c r="C93" s="11"/>
      <c r="D93" s="7"/>
      <c r="E93" s="2"/>
      <c r="F93" s="6">
        <f t="shared" si="45"/>
        <v>0</v>
      </c>
      <c r="G93" s="2"/>
      <c r="H93" s="7"/>
      <c r="I93" s="2"/>
      <c r="J93" s="6">
        <f t="shared" si="46"/>
        <v>0</v>
      </c>
      <c r="K93" s="2"/>
      <c r="L93" s="7">
        <f t="shared" si="47"/>
        <v>0</v>
      </c>
      <c r="M93" s="2"/>
      <c r="N93" s="6">
        <f t="shared" si="48"/>
        <v>0</v>
      </c>
      <c r="O93" s="11"/>
      <c r="P93" s="7">
        <v>142.22</v>
      </c>
      <c r="Q93" s="2"/>
      <c r="R93" s="6">
        <f t="shared" si="49"/>
        <v>5.5283356355107917E-5</v>
      </c>
      <c r="S93" s="2"/>
      <c r="T93" s="7"/>
      <c r="U93" s="2"/>
      <c r="V93" s="6">
        <f t="shared" si="50"/>
        <v>0</v>
      </c>
      <c r="W93" s="2"/>
      <c r="X93" s="7">
        <f t="shared" si="51"/>
        <v>142.22</v>
      </c>
      <c r="Y93" s="2"/>
      <c r="Z93" s="6">
        <f t="shared" si="52"/>
        <v>0</v>
      </c>
    </row>
    <row r="94" spans="1:26" s="27" customFormat="1" outlineLevel="1" collapsed="1" x14ac:dyDescent="0.25">
      <c r="A94" s="26"/>
      <c r="B94" s="13" t="str">
        <f>CONCATENATE("     ","Supplies                                          ")</f>
        <v xml:space="preserve">     Supplies                                          </v>
      </c>
      <c r="C94" s="13"/>
      <c r="D94" s="1">
        <f>SUM(OSRRefD22_11x_0)</f>
        <v>200.67</v>
      </c>
      <c r="E94" s="1"/>
      <c r="F94" s="5">
        <f t="shared" si="45"/>
        <v>1.3397596217400651E-3</v>
      </c>
      <c r="G94" s="1"/>
      <c r="H94" s="1">
        <f>SUM(OSRRefH22_11x_0)</f>
        <v>310</v>
      </c>
      <c r="I94" s="1"/>
      <c r="J94" s="5">
        <f t="shared" si="46"/>
        <v>2.9710846375755949E-3</v>
      </c>
      <c r="K94" s="1"/>
      <c r="L94" s="1">
        <f t="shared" si="47"/>
        <v>-109.33000000000001</v>
      </c>
      <c r="M94" s="1"/>
      <c r="N94" s="5">
        <f t="shared" si="48"/>
        <v>-0.35267741935483876</v>
      </c>
      <c r="O94" s="13"/>
      <c r="P94" s="1">
        <f>SUM(OSRRefP22_11x_0)</f>
        <v>4032.32</v>
      </c>
      <c r="Q94" s="1"/>
      <c r="R94" s="5">
        <f t="shared" si="49"/>
        <v>1.5674320313445983E-3</v>
      </c>
      <c r="S94" s="1"/>
      <c r="T94" s="1">
        <f>SUM(OSRRefT22_11x_0)</f>
        <v>3410</v>
      </c>
      <c r="U94" s="1"/>
      <c r="V94" s="5">
        <f t="shared" si="50"/>
        <v>1.5429284782517217E-3</v>
      </c>
      <c r="W94" s="1"/>
      <c r="X94" s="1">
        <f t="shared" si="51"/>
        <v>622.32000000000016</v>
      </c>
      <c r="Y94" s="1"/>
      <c r="Z94" s="5">
        <f t="shared" si="52"/>
        <v>0.18249853372434022</v>
      </c>
    </row>
    <row r="95" spans="1:26" s="24" customFormat="1" hidden="1" outlineLevel="2" x14ac:dyDescent="0.25">
      <c r="A95" s="25"/>
      <c r="B95" s="11" t="str">
        <f>CONCATENATE("          ", "6234", " - ", "EXPENDABLE SUPPLIES &amp; EQUIPMEN")</f>
        <v xml:space="preserve">          6234 - EXPENDABLE SUPPLIES &amp; EQUIPMEN</v>
      </c>
      <c r="C95" s="11"/>
      <c r="D95" s="7"/>
      <c r="E95" s="2"/>
      <c r="F95" s="6">
        <f t="shared" si="45"/>
        <v>0</v>
      </c>
      <c r="G95" s="2"/>
      <c r="H95" s="7"/>
      <c r="I95" s="2"/>
      <c r="J95" s="6">
        <f t="shared" si="46"/>
        <v>0</v>
      </c>
      <c r="K95" s="2"/>
      <c r="L95" s="7">
        <f t="shared" si="47"/>
        <v>0</v>
      </c>
      <c r="M95" s="2"/>
      <c r="N95" s="6">
        <f t="shared" si="48"/>
        <v>0</v>
      </c>
      <c r="O95" s="11"/>
      <c r="P95" s="7">
        <v>1733.49</v>
      </c>
      <c r="Q95" s="2"/>
      <c r="R95" s="6">
        <f t="shared" si="49"/>
        <v>6.7383733235843075E-4</v>
      </c>
      <c r="S95" s="2"/>
      <c r="T95" s="7"/>
      <c r="U95" s="2"/>
      <c r="V95" s="6">
        <f t="shared" si="50"/>
        <v>0</v>
      </c>
      <c r="W95" s="2"/>
      <c r="X95" s="7">
        <f t="shared" si="51"/>
        <v>1733.49</v>
      </c>
      <c r="Y95" s="2"/>
      <c r="Z95" s="6">
        <f t="shared" si="52"/>
        <v>0</v>
      </c>
    </row>
    <row r="96" spans="1:26" s="24" customFormat="1" hidden="1" outlineLevel="2" x14ac:dyDescent="0.25">
      <c r="A96" s="25"/>
      <c r="B96" s="11" t="str">
        <f>CONCATENATE("          ", "6235", " - ", "COVID-19 EXPENSES")</f>
        <v xml:space="preserve">          6235 - COVID-19 EXPENSES</v>
      </c>
      <c r="C96" s="11"/>
      <c r="D96" s="7"/>
      <c r="E96" s="2"/>
      <c r="F96" s="6">
        <f t="shared" si="45"/>
        <v>0</v>
      </c>
      <c r="G96" s="2"/>
      <c r="H96" s="7"/>
      <c r="I96" s="2"/>
      <c r="J96" s="6">
        <f t="shared" si="46"/>
        <v>0</v>
      </c>
      <c r="K96" s="2"/>
      <c r="L96" s="7">
        <f t="shared" si="47"/>
        <v>0</v>
      </c>
      <c r="M96" s="2"/>
      <c r="N96" s="6">
        <f t="shared" si="48"/>
        <v>0</v>
      </c>
      <c r="O96" s="11"/>
      <c r="P96" s="7">
        <v>668.12</v>
      </c>
      <c r="Q96" s="2"/>
      <c r="R96" s="6">
        <f t="shared" si="49"/>
        <v>2.5970971767666083E-4</v>
      </c>
      <c r="S96" s="2"/>
      <c r="T96" s="7"/>
      <c r="U96" s="2"/>
      <c r="V96" s="6">
        <f t="shared" si="50"/>
        <v>0</v>
      </c>
      <c r="W96" s="2"/>
      <c r="X96" s="7">
        <f t="shared" si="51"/>
        <v>668.12</v>
      </c>
      <c r="Y96" s="2"/>
      <c r="Z96" s="6">
        <f t="shared" si="52"/>
        <v>0</v>
      </c>
    </row>
    <row r="97" spans="1:26" s="24" customFormat="1" hidden="1" outlineLevel="2" x14ac:dyDescent="0.25">
      <c r="A97" s="25"/>
      <c r="B97" s="11" t="str">
        <f>CONCATENATE("          ", "6241", " - ", "OFFICE EXPENSE")</f>
        <v xml:space="preserve">          6241 - OFFICE EXPENSE</v>
      </c>
      <c r="C97" s="11"/>
      <c r="D97" s="7">
        <v>200.67</v>
      </c>
      <c r="E97" s="2"/>
      <c r="F97" s="6">
        <f t="shared" si="45"/>
        <v>1.3397596217400651E-3</v>
      </c>
      <c r="G97" s="2"/>
      <c r="H97" s="7">
        <v>110</v>
      </c>
      <c r="I97" s="2"/>
      <c r="J97" s="6">
        <f t="shared" si="46"/>
        <v>1.0542558391397271E-3</v>
      </c>
      <c r="K97" s="2"/>
      <c r="L97" s="7">
        <f t="shared" si="47"/>
        <v>90.669999999999987</v>
      </c>
      <c r="M97" s="2"/>
      <c r="N97" s="6">
        <f t="shared" si="48"/>
        <v>0.82427272727272716</v>
      </c>
      <c r="O97" s="11"/>
      <c r="P97" s="7">
        <v>1630.71</v>
      </c>
      <c r="Q97" s="2"/>
      <c r="R97" s="6">
        <f t="shared" si="49"/>
        <v>6.3388498130950667E-4</v>
      </c>
      <c r="S97" s="2"/>
      <c r="T97" s="7">
        <v>1210</v>
      </c>
      <c r="U97" s="2"/>
      <c r="V97" s="6">
        <f t="shared" si="50"/>
        <v>5.4749075034738511E-4</v>
      </c>
      <c r="W97" s="2"/>
      <c r="X97" s="7">
        <f t="shared" si="51"/>
        <v>420.71000000000004</v>
      </c>
      <c r="Y97" s="2"/>
      <c r="Z97" s="6">
        <f t="shared" si="52"/>
        <v>0.34769421487603308</v>
      </c>
    </row>
    <row r="98" spans="1:26" s="24" customFormat="1" hidden="1" outlineLevel="2" x14ac:dyDescent="0.25">
      <c r="A98" s="25"/>
      <c r="B98" s="11" t="str">
        <f>CONCATENATE("          ", "6247", " - ", "STORE SUPPLIES")</f>
        <v xml:space="preserve">          6247 - STORE SUPPLIES</v>
      </c>
      <c r="C98" s="11"/>
      <c r="D98" s="7"/>
      <c r="E98" s="2"/>
      <c r="F98" s="6">
        <f t="shared" si="45"/>
        <v>0</v>
      </c>
      <c r="G98" s="2"/>
      <c r="H98" s="7">
        <v>200</v>
      </c>
      <c r="I98" s="2"/>
      <c r="J98" s="6">
        <f t="shared" si="46"/>
        <v>1.9168287984358677E-3</v>
      </c>
      <c r="K98" s="2"/>
      <c r="L98" s="7">
        <f t="shared" si="47"/>
        <v>-200</v>
      </c>
      <c r="M98" s="2"/>
      <c r="N98" s="6">
        <f t="shared" si="48"/>
        <v>-1</v>
      </c>
      <c r="O98" s="11"/>
      <c r="P98" s="7"/>
      <c r="Q98" s="2"/>
      <c r="R98" s="6">
        <f t="shared" si="49"/>
        <v>0</v>
      </c>
      <c r="S98" s="2"/>
      <c r="T98" s="7">
        <v>2200</v>
      </c>
      <c r="U98" s="2"/>
      <c r="V98" s="6">
        <f t="shared" si="50"/>
        <v>9.9543772790433669E-4</v>
      </c>
      <c r="W98" s="2"/>
      <c r="X98" s="7">
        <f t="shared" si="51"/>
        <v>-2200</v>
      </c>
      <c r="Y98" s="2"/>
      <c r="Z98" s="6">
        <f t="shared" si="52"/>
        <v>-1</v>
      </c>
    </row>
    <row r="99" spans="1:26" s="27" customFormat="1" outlineLevel="1" collapsed="1" x14ac:dyDescent="0.25">
      <c r="A99" s="26"/>
      <c r="B99" s="13" t="str">
        <f>CONCATENATE("     ","Telephone/Data Lines                              ")</f>
        <v xml:space="preserve">     Telephone/Data Lines                              </v>
      </c>
      <c r="C99" s="13"/>
      <c r="D99" s="1">
        <f>SUM(OSRRefD22_12x_0)</f>
        <v>383.2</v>
      </c>
      <c r="E99" s="1"/>
      <c r="F99" s="5">
        <f t="shared" ref="F99:F102" si="53">IF(D$12=0,0,D99/D$12)</f>
        <v>2.558408765888239E-3</v>
      </c>
      <c r="G99" s="1"/>
      <c r="H99" s="1">
        <f>SUM(OSRRefH22_12x_0)</f>
        <v>250</v>
      </c>
      <c r="I99" s="1"/>
      <c r="J99" s="5">
        <f t="shared" ref="J99:J102" si="54">IF(H$12=0,0,H99/H$12)</f>
        <v>2.3960359980448346E-3</v>
      </c>
      <c r="K99" s="1"/>
      <c r="L99" s="1">
        <f t="shared" ref="L99:L102" si="55">+D99-H99</f>
        <v>133.19999999999999</v>
      </c>
      <c r="M99" s="1"/>
      <c r="N99" s="5">
        <f t="shared" ref="N99:N102" si="56">IF(H99=0,0,L99/H99)</f>
        <v>0.53279999999999994</v>
      </c>
      <c r="O99" s="13"/>
      <c r="P99" s="1">
        <f>SUM(OSRRefP22_12x_0)</f>
        <v>3260.75</v>
      </c>
      <c r="Q99" s="1"/>
      <c r="R99" s="5">
        <f t="shared" ref="R99:R102" si="57">IF(P$12=0,0,P99/P$12)</f>
        <v>1.2675095221130511E-3</v>
      </c>
      <c r="S99" s="1"/>
      <c r="T99" s="1">
        <f>SUM(OSRRefT22_12x_0)</f>
        <v>2760</v>
      </c>
      <c r="U99" s="1"/>
      <c r="V99" s="5">
        <f t="shared" ref="V99:V102" si="58">IF(T$12=0,0,T99/T$12)</f>
        <v>1.2488218768254406E-3</v>
      </c>
      <c r="W99" s="1"/>
      <c r="X99" s="1">
        <f t="shared" ref="X99:X102" si="59">+P99-T99</f>
        <v>500.75</v>
      </c>
      <c r="Y99" s="1"/>
      <c r="Z99" s="5">
        <f t="shared" ref="Z99:Z102" si="60">IF(T99=0,0,X99/T99)</f>
        <v>0.18143115942028987</v>
      </c>
    </row>
    <row r="100" spans="1:26" s="24" customFormat="1" hidden="1" outlineLevel="2" x14ac:dyDescent="0.25">
      <c r="A100" s="25"/>
      <c r="B100" s="11" t="str">
        <f>CONCATENATE("          ", "6309", " - ", "TELEPHONE")</f>
        <v xml:space="preserve">          6309 - TELEPHONE</v>
      </c>
      <c r="C100" s="11"/>
      <c r="D100" s="7">
        <v>383.2</v>
      </c>
      <c r="E100" s="2"/>
      <c r="F100" s="6">
        <f t="shared" si="53"/>
        <v>2.558408765888239E-3</v>
      </c>
      <c r="G100" s="2"/>
      <c r="H100" s="7">
        <v>250</v>
      </c>
      <c r="I100" s="2"/>
      <c r="J100" s="6">
        <f t="shared" si="54"/>
        <v>2.3960359980448346E-3</v>
      </c>
      <c r="K100" s="2"/>
      <c r="L100" s="7">
        <f t="shared" si="55"/>
        <v>133.19999999999999</v>
      </c>
      <c r="M100" s="2"/>
      <c r="N100" s="6">
        <f t="shared" si="56"/>
        <v>0.53279999999999994</v>
      </c>
      <c r="O100" s="11"/>
      <c r="P100" s="7">
        <v>3260.75</v>
      </c>
      <c r="Q100" s="2"/>
      <c r="R100" s="6">
        <f t="shared" si="57"/>
        <v>1.2675095221130511E-3</v>
      </c>
      <c r="S100" s="2"/>
      <c r="T100" s="7">
        <v>2760</v>
      </c>
      <c r="U100" s="2"/>
      <c r="V100" s="6">
        <f t="shared" si="58"/>
        <v>1.2488218768254406E-3</v>
      </c>
      <c r="W100" s="2"/>
      <c r="X100" s="7">
        <f t="shared" si="59"/>
        <v>500.75</v>
      </c>
      <c r="Y100" s="2"/>
      <c r="Z100" s="6">
        <f t="shared" si="60"/>
        <v>0.18143115942028987</v>
      </c>
    </row>
    <row r="101" spans="1:26" s="27" customFormat="1" outlineLevel="1" collapsed="1" x14ac:dyDescent="0.25">
      <c r="A101" s="26"/>
      <c r="B101" s="13" t="str">
        <f>CONCATENATE("     ","Training                                          ")</f>
        <v xml:space="preserve">     Training                                          </v>
      </c>
      <c r="C101" s="13"/>
      <c r="D101" s="1">
        <f>SUM(OSRRefD22_13x_0)</f>
        <v>0</v>
      </c>
      <c r="E101" s="1"/>
      <c r="F101" s="5">
        <f t="shared" si="53"/>
        <v>0</v>
      </c>
      <c r="G101" s="1"/>
      <c r="H101" s="1">
        <f>SUM(OSRRefH22_13x_0)</f>
        <v>0</v>
      </c>
      <c r="I101" s="1"/>
      <c r="J101" s="5">
        <f t="shared" si="54"/>
        <v>0</v>
      </c>
      <c r="K101" s="1"/>
      <c r="L101" s="1">
        <f t="shared" si="55"/>
        <v>0</v>
      </c>
      <c r="M101" s="1"/>
      <c r="N101" s="5">
        <f t="shared" si="56"/>
        <v>0</v>
      </c>
      <c r="O101" s="13"/>
      <c r="P101" s="1">
        <f>SUM(OSRRefP22_13x_0)</f>
        <v>100</v>
      </c>
      <c r="Q101" s="1"/>
      <c r="R101" s="5">
        <f t="shared" si="57"/>
        <v>3.8871717307768191E-5</v>
      </c>
      <c r="S101" s="1"/>
      <c r="T101" s="1">
        <f>SUM(OSRRefT22_13x_0)</f>
        <v>2500</v>
      </c>
      <c r="U101" s="1"/>
      <c r="V101" s="5">
        <f t="shared" si="58"/>
        <v>1.1311792362549279E-3</v>
      </c>
      <c r="W101" s="1"/>
      <c r="X101" s="1">
        <f t="shared" si="59"/>
        <v>-2400</v>
      </c>
      <c r="Y101" s="1"/>
      <c r="Z101" s="5">
        <f t="shared" si="60"/>
        <v>-0.96</v>
      </c>
    </row>
    <row r="102" spans="1:26" s="24" customFormat="1" hidden="1" outlineLevel="2" x14ac:dyDescent="0.25">
      <c r="A102" s="25"/>
      <c r="B102" s="11" t="str">
        <f>CONCATENATE("          ", "6376", " - ", "TRAINING")</f>
        <v xml:space="preserve">          6376 - TRAINING</v>
      </c>
      <c r="C102" s="11"/>
      <c r="D102" s="7"/>
      <c r="E102" s="2"/>
      <c r="F102" s="6">
        <f t="shared" si="53"/>
        <v>0</v>
      </c>
      <c r="G102" s="2"/>
      <c r="H102" s="7"/>
      <c r="I102" s="2"/>
      <c r="J102" s="6">
        <f t="shared" si="54"/>
        <v>0</v>
      </c>
      <c r="K102" s="2"/>
      <c r="L102" s="7">
        <f t="shared" si="55"/>
        <v>0</v>
      </c>
      <c r="M102" s="2"/>
      <c r="N102" s="6">
        <f t="shared" si="56"/>
        <v>0</v>
      </c>
      <c r="O102" s="11"/>
      <c r="P102" s="7">
        <v>100</v>
      </c>
      <c r="Q102" s="2"/>
      <c r="R102" s="6">
        <f t="shared" si="57"/>
        <v>3.8871717307768191E-5</v>
      </c>
      <c r="S102" s="2"/>
      <c r="T102" s="7">
        <v>2500</v>
      </c>
      <c r="U102" s="2"/>
      <c r="V102" s="6">
        <f t="shared" si="58"/>
        <v>1.1311792362549279E-3</v>
      </c>
      <c r="W102" s="2"/>
      <c r="X102" s="7">
        <f t="shared" si="59"/>
        <v>-2400</v>
      </c>
      <c r="Y102" s="2"/>
      <c r="Z102" s="6">
        <f t="shared" si="60"/>
        <v>-0.96</v>
      </c>
    </row>
    <row r="103" spans="1:26" s="56" customFormat="1" x14ac:dyDescent="0.25">
      <c r="A103" s="36"/>
      <c r="B103" s="36"/>
      <c r="C103" s="36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6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collapsed="1" x14ac:dyDescent="0.25">
      <c r="A104" s="10"/>
      <c r="B104" s="29" t="s">
        <v>293</v>
      </c>
      <c r="C104" s="10"/>
      <c r="D104" s="4">
        <f>SUM(OSRRefD25x_0)</f>
        <v>296.52000000000004</v>
      </c>
      <c r="E104" s="4"/>
      <c r="F104" s="12">
        <f t="shared" ref="F104:F106" si="61">IF(D$12=0,0,D104/D$12)</f>
        <v>1.9796956348151901E-3</v>
      </c>
      <c r="G104" s="4"/>
      <c r="H104" s="4">
        <f>SUM(OSRRefH25x_0)</f>
        <v>829</v>
      </c>
      <c r="I104" s="4"/>
      <c r="J104" s="12">
        <f t="shared" ref="J104:J106" si="62">IF(H$12=0,0,H104/H$12)</f>
        <v>7.9452553695166708E-3</v>
      </c>
      <c r="K104" s="4"/>
      <c r="L104" s="4">
        <f t="shared" ref="L104:L106" si="63">+D104-H104</f>
        <v>-532.48</v>
      </c>
      <c r="M104" s="4"/>
      <c r="N104" s="12">
        <f t="shared" ref="N104:N106" si="64">IF(H104=0,0,L104/H104)</f>
        <v>-0.64231604342581428</v>
      </c>
      <c r="O104" s="10"/>
      <c r="P104" s="4">
        <f>SUM(OSRRefP25x_0)</f>
        <v>4032.78</v>
      </c>
      <c r="Q104" s="4"/>
      <c r="R104" s="12">
        <f t="shared" ref="R104:R106" si="65">IF(P$12=0,0,P104/P$12)</f>
        <v>1.5676108412442141E-3</v>
      </c>
      <c r="S104" s="4"/>
      <c r="T104" s="4">
        <f>SUM(OSRRefT25x_0)</f>
        <v>17576</v>
      </c>
      <c r="U104" s="4"/>
      <c r="V104" s="12">
        <f t="shared" ref="V104:V106" si="66">IF(T$12=0,0,T104/T$12)</f>
        <v>7.9526425025666456E-3</v>
      </c>
      <c r="W104" s="4"/>
      <c r="X104" s="4">
        <f t="shared" ref="X104:X106" si="67">+P104-T104</f>
        <v>-13543.22</v>
      </c>
      <c r="Y104" s="4"/>
      <c r="Z104" s="12">
        <f t="shared" ref="Z104:Z106" si="68">IF(T104=0,0,X104/T104)</f>
        <v>-0.77055188893946291</v>
      </c>
    </row>
    <row r="105" spans="1:26" s="24" customFormat="1" hidden="1" outlineLevel="1" x14ac:dyDescent="0.25">
      <c r="A105" s="44"/>
      <c r="B105" s="11" t="str">
        <f>CONCATENATE("          ", "4187", " - ", "NON-TAXABLE SALES-COMPUTER REP")</f>
        <v xml:space="preserve">          4187 - NON-TAXABLE SALES-COMPUTER REP</v>
      </c>
      <c r="C105" s="11"/>
      <c r="D105" s="2">
        <f>--264.48</f>
        <v>264.48</v>
      </c>
      <c r="E105" s="2"/>
      <c r="F105" s="19">
        <f t="shared" si="61"/>
        <v>1.7657827515712983E-3</v>
      </c>
      <c r="G105" s="2"/>
      <c r="H105" s="2"/>
      <c r="I105" s="2"/>
      <c r="J105" s="19">
        <f t="shared" si="62"/>
        <v>0</v>
      </c>
      <c r="K105" s="2"/>
      <c r="L105" s="2">
        <f t="shared" si="63"/>
        <v>264.48</v>
      </c>
      <c r="M105" s="2"/>
      <c r="N105" s="19">
        <f t="shared" si="64"/>
        <v>0</v>
      </c>
      <c r="O105" s="11"/>
      <c r="P105" s="2">
        <f>--3580.44</f>
        <v>3580.44</v>
      </c>
      <c r="Q105" s="2"/>
      <c r="R105" s="19">
        <f t="shared" si="65"/>
        <v>1.3917785151742555E-3</v>
      </c>
      <c r="S105" s="2"/>
      <c r="T105" s="2"/>
      <c r="U105" s="2"/>
      <c r="V105" s="19">
        <f t="shared" si="66"/>
        <v>0</v>
      </c>
      <c r="W105" s="2"/>
      <c r="X105" s="2">
        <f t="shared" si="67"/>
        <v>3580.44</v>
      </c>
      <c r="Y105" s="2"/>
      <c r="Z105" s="19">
        <f t="shared" si="68"/>
        <v>0</v>
      </c>
    </row>
    <row r="106" spans="1:26" s="24" customFormat="1" hidden="1" outlineLevel="1" x14ac:dyDescent="0.25">
      <c r="A106" s="44"/>
      <c r="B106" s="11" t="str">
        <f>CONCATENATE("          ", "9150", " - ", "MISC. INCOME")</f>
        <v xml:space="preserve">          9150 - MISC. INCOME</v>
      </c>
      <c r="C106" s="11"/>
      <c r="D106" s="2">
        <f>--32.04</f>
        <v>32.04</v>
      </c>
      <c r="E106" s="2"/>
      <c r="F106" s="19">
        <f t="shared" si="61"/>
        <v>2.1391288324389138E-4</v>
      </c>
      <c r="G106" s="2"/>
      <c r="H106" s="2">
        <v>829</v>
      </c>
      <c r="I106" s="2"/>
      <c r="J106" s="19">
        <f t="shared" si="62"/>
        <v>7.9452553695166708E-3</v>
      </c>
      <c r="K106" s="2"/>
      <c r="L106" s="2">
        <f t="shared" si="63"/>
        <v>-796.96</v>
      </c>
      <c r="M106" s="2"/>
      <c r="N106" s="19">
        <f t="shared" si="64"/>
        <v>-0.96135102533172501</v>
      </c>
      <c r="O106" s="11"/>
      <c r="P106" s="2">
        <f>--452.34</f>
        <v>452.34</v>
      </c>
      <c r="Q106" s="2"/>
      <c r="R106" s="19">
        <f t="shared" si="65"/>
        <v>1.7583232606995861E-4</v>
      </c>
      <c r="S106" s="2"/>
      <c r="T106" s="2">
        <v>17576</v>
      </c>
      <c r="U106" s="2"/>
      <c r="V106" s="19">
        <f t="shared" si="66"/>
        <v>7.9526425025666456E-3</v>
      </c>
      <c r="W106" s="2"/>
      <c r="X106" s="2">
        <f t="shared" si="67"/>
        <v>-17123.66</v>
      </c>
      <c r="Y106" s="2"/>
      <c r="Z106" s="19">
        <f t="shared" si="68"/>
        <v>-0.97426376877560306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8" t="s">
        <v>277</v>
      </c>
      <c r="C108" s="28"/>
      <c r="D108" s="20">
        <f>+D49-D51+D104</f>
        <v>79773.48000000001</v>
      </c>
      <c r="E108" s="14"/>
      <c r="F108" s="21">
        <f>IF(D$12=0,0,D108/D$12)</f>
        <v>0.53260221951307452</v>
      </c>
      <c r="G108" s="14"/>
      <c r="H108" s="20">
        <f>+H49-H51+H104</f>
        <v>-34255.320207646153</v>
      </c>
      <c r="I108" s="14"/>
      <c r="J108" s="21">
        <f>IF(H$12=0,0,H108/H$12)</f>
        <v>-0.32830792136829134</v>
      </c>
      <c r="K108" s="15"/>
      <c r="L108" s="20">
        <f>+D108-H108</f>
        <v>114028.80020764616</v>
      </c>
      <c r="M108" s="15"/>
      <c r="N108" s="21">
        <f>IF(H108=0,0,L108/H108)</f>
        <v>-3.3287909590812617</v>
      </c>
      <c r="O108" s="29"/>
      <c r="P108" s="20">
        <f>+P49-P51+P104</f>
        <v>134663.01999999923</v>
      </c>
      <c r="Q108" s="14"/>
      <c r="R108" s="21">
        <f>IF(P$12=0,0,P108/P$12)</f>
        <v>5.2345828452503039E-2</v>
      </c>
      <c r="S108" s="14"/>
      <c r="T108" s="20">
        <f>+T49-T51+T104</f>
        <v>178447.77498144621</v>
      </c>
      <c r="U108" s="14"/>
      <c r="V108" s="21">
        <f>IF(T$12=0,0,T108/T$12)</f>
        <v>8.0742567125961423E-2</v>
      </c>
      <c r="W108" s="15"/>
      <c r="X108" s="20">
        <f>+P108-T108</f>
        <v>-43784.754981446982</v>
      </c>
      <c r="Y108" s="15"/>
      <c r="Z108" s="21">
        <f>IF(T108=0,0,X108/T108)</f>
        <v>-0.24536453304614991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2"/>
      <c r="B110" s="10" t="s">
        <v>128</v>
      </c>
      <c r="C110" s="10"/>
      <c r="D110" s="4">
        <v>42876.41</v>
      </c>
      <c r="E110" s="4"/>
      <c r="F110" s="12">
        <f>IF(D$12=0,0,D110/D$12)</f>
        <v>0.28626143839722901</v>
      </c>
      <c r="G110" s="4"/>
      <c r="H110" s="4">
        <v>26566</v>
      </c>
      <c r="I110" s="4"/>
      <c r="J110" s="12">
        <f>IF(H$12=0,0,H110/H$12)</f>
        <v>0.25461236929623632</v>
      </c>
      <c r="K110" s="4"/>
      <c r="L110" s="4">
        <f>+D110-H110</f>
        <v>16310.410000000003</v>
      </c>
      <c r="M110" s="4"/>
      <c r="N110" s="12">
        <f>IF(H110=0,0,L110/H110)</f>
        <v>0.61395806670179942</v>
      </c>
      <c r="O110" s="10"/>
      <c r="P110" s="4">
        <v>549732.64</v>
      </c>
      <c r="Q110" s="4"/>
      <c r="R110" s="12">
        <f>IF(P$12=0,0,P110/P$12)</f>
        <v>0.21369051776933098</v>
      </c>
      <c r="S110" s="4"/>
      <c r="T110" s="4">
        <v>408015</v>
      </c>
      <c r="U110" s="4"/>
      <c r="V110" s="12">
        <f>IF(T$12=0,0,T110/T$12)</f>
        <v>0.18461523843222177</v>
      </c>
      <c r="W110" s="4"/>
      <c r="X110" s="4">
        <f>+P110-T110</f>
        <v>141717.64000000001</v>
      </c>
      <c r="Y110" s="4"/>
      <c r="Z110" s="12">
        <f>IF(T110=0,0,X110/T110)</f>
        <v>0.34733438721615628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8" t="s">
        <v>126</v>
      </c>
      <c r="C112" s="28"/>
      <c r="D112" s="35">
        <f>+D108-D110</f>
        <v>36897.070000000007</v>
      </c>
      <c r="E112" s="14"/>
      <c r="F112" s="34">
        <f>IF(D$12=0,0,D112/D$12)</f>
        <v>0.24634078111584548</v>
      </c>
      <c r="G112" s="14"/>
      <c r="H112" s="35">
        <f>+H108-H110</f>
        <v>-60821.320207646153</v>
      </c>
      <c r="I112" s="14"/>
      <c r="J112" s="34">
        <f>IF(H$12=0,0,H112/H$12)</f>
        <v>-0.58292029066452766</v>
      </c>
      <c r="K112" s="15"/>
      <c r="L112" s="35">
        <f>D112-H112</f>
        <v>97718.390207646153</v>
      </c>
      <c r="M112" s="15"/>
      <c r="N112" s="34">
        <f>IF(H112=0,0,L112/H112)</f>
        <v>-1.6066469763239615</v>
      </c>
      <c r="O112" s="29"/>
      <c r="P112" s="35">
        <f>+P108-P110</f>
        <v>-415069.62000000081</v>
      </c>
      <c r="Q112" s="14"/>
      <c r="R112" s="34">
        <f>IF(P$12=0,0,P112/P$12)</f>
        <v>-0.16134468931682797</v>
      </c>
      <c r="S112" s="14"/>
      <c r="T112" s="35">
        <f>+T108-T110</f>
        <v>-229567.22501855379</v>
      </c>
      <c r="U112" s="14"/>
      <c r="V112" s="34">
        <f>IF(T$12=0,0,T112/T$12)</f>
        <v>-0.10387267130626035</v>
      </c>
      <c r="W112" s="15"/>
      <c r="X112" s="35">
        <f>P112-T112</f>
        <v>-185502.39498144703</v>
      </c>
      <c r="Y112" s="15"/>
      <c r="Z112" s="34">
        <f>IF(T112=0,0,X112/T112)</f>
        <v>0.80805260840895121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8" t="s">
        <v>294</v>
      </c>
      <c r="C115" s="28"/>
      <c r="D115" s="33">
        <f>SUM(D112:D114)</f>
        <v>36897.070000000007</v>
      </c>
      <c r="E115" s="14"/>
      <c r="F115" s="32">
        <f>IF(D$12=0,0,D115/D$12)</f>
        <v>0.24634078111584548</v>
      </c>
      <c r="G115" s="14"/>
      <c r="H115" s="33">
        <f>SUM(H112:H114)</f>
        <v>-60821.320207646153</v>
      </c>
      <c r="I115" s="14"/>
      <c r="J115" s="32">
        <f>IF(H$12=0,0,H115/H$12)</f>
        <v>-0.58292029066452766</v>
      </c>
      <c r="K115" s="15"/>
      <c r="L115" s="33">
        <f>+D115-H115</f>
        <v>97718.390207646153</v>
      </c>
      <c r="M115" s="15"/>
      <c r="N115" s="32">
        <f>IF(H115=0,0,L115/H115)</f>
        <v>-1.6066469763239615</v>
      </c>
      <c r="O115" s="29"/>
      <c r="P115" s="33">
        <f>SUM(P112:P114)</f>
        <v>-415069.62000000081</v>
      </c>
      <c r="Q115" s="14"/>
      <c r="R115" s="32">
        <f>IF(P$12=0,0,P115/P$12)</f>
        <v>-0.16134468931682797</v>
      </c>
      <c r="S115" s="14"/>
      <c r="T115" s="33">
        <f>SUM(T112:T114)</f>
        <v>-229567.22501855379</v>
      </c>
      <c r="U115" s="14"/>
      <c r="V115" s="32">
        <f>IF(T$12=0,0,T115/T$12)</f>
        <v>-0.10387267130626035</v>
      </c>
      <c r="W115" s="15"/>
      <c r="X115" s="33">
        <f>+P115-T115</f>
        <v>-185502.39498144703</v>
      </c>
      <c r="Y115" s="15"/>
      <c r="Z115" s="32">
        <f>IF(T115=0,0,X115/T115)</f>
        <v>0.80805260840895121</v>
      </c>
    </row>
    <row r="116" spans="1:26" ht="15.75" thickTop="1" x14ac:dyDescent="0.25">
      <c r="A116" s="9"/>
      <c r="C116" s="9"/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6" x14ac:dyDescent="0.25">
      <c r="A117" s="9"/>
      <c r="B117" s="60">
        <v>44356.891829363427</v>
      </c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55" t="s">
        <v>56</v>
      </c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A119" s="9"/>
      <c r="B119" s="63"/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  <row r="120" spans="1:26" x14ac:dyDescent="0.25"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2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","317", " - ", "Computer Store")</f>
        <v>Department 317 - Computer 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149780.6</v>
      </c>
      <c r="E12" s="4"/>
      <c r="F12" s="12"/>
      <c r="G12" s="4"/>
      <c r="H12" s="4">
        <f>SUM(OSRRefH13x_0)</f>
        <v>104339</v>
      </c>
      <c r="I12" s="4"/>
      <c r="J12" s="12"/>
      <c r="K12" s="4"/>
      <c r="L12" s="4">
        <f t="shared" ref="L12:L31" si="0">+D12-H12</f>
        <v>45441.600000000006</v>
      </c>
      <c r="M12" s="4"/>
      <c r="N12" s="12">
        <f t="shared" ref="N12:N31" si="1">IF(H12=0,0,L12/H12)</f>
        <v>0.4355188376350167</v>
      </c>
      <c r="O12" s="10"/>
      <c r="P12" s="4">
        <f>SUM(OSRRefP13x_0)</f>
        <v>2572564.4999999995</v>
      </c>
      <c r="Q12" s="4"/>
      <c r="R12" s="12"/>
      <c r="S12" s="4"/>
      <c r="T12" s="4">
        <f>SUM(OSRRefT13x_0)</f>
        <v>2210083</v>
      </c>
      <c r="U12" s="4"/>
      <c r="V12" s="12"/>
      <c r="W12" s="4"/>
      <c r="X12" s="4">
        <f t="shared" ref="X12:X31" si="2">+P12-T12</f>
        <v>362481.49999999953</v>
      </c>
      <c r="Y12" s="4"/>
      <c r="Z12" s="12">
        <f t="shared" ref="Z12:Z31" si="3">IF(T12=0,0,X12/T12)</f>
        <v>0.16401261853061605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-55.8</f>
        <v>-55.8</v>
      </c>
      <c r="E13" s="2"/>
      <c r="F13" s="19"/>
      <c r="G13" s="2"/>
      <c r="H13" s="2">
        <v>91818</v>
      </c>
      <c r="I13" s="2"/>
      <c r="J13" s="19"/>
      <c r="K13" s="2"/>
      <c r="L13" s="2">
        <f t="shared" si="0"/>
        <v>-91873.8</v>
      </c>
      <c r="M13" s="2"/>
      <c r="N13" s="19">
        <f t="shared" si="1"/>
        <v>-1.000607723975691</v>
      </c>
      <c r="O13" s="11"/>
      <c r="P13" s="2">
        <f>-2963.91</f>
        <v>-2963.91</v>
      </c>
      <c r="Q13" s="2"/>
      <c r="R13" s="19"/>
      <c r="S13" s="2"/>
      <c r="T13" s="2">
        <v>2035081</v>
      </c>
      <c r="U13" s="2"/>
      <c r="V13" s="19"/>
      <c r="W13" s="2"/>
      <c r="X13" s="2">
        <f t="shared" si="2"/>
        <v>-2038044.91</v>
      </c>
      <c r="Y13" s="2"/>
      <c r="Z13" s="19">
        <f t="shared" si="3"/>
        <v>-1.0014564088603843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--1857.91</f>
        <v>1857.91</v>
      </c>
      <c r="E14" s="2"/>
      <c r="F14" s="19"/>
      <c r="G14" s="2"/>
      <c r="H14" s="2"/>
      <c r="I14" s="2"/>
      <c r="J14" s="19"/>
      <c r="K14" s="2"/>
      <c r="L14" s="2">
        <f t="shared" si="0"/>
        <v>1857.91</v>
      </c>
      <c r="M14" s="2"/>
      <c r="N14" s="19">
        <f t="shared" si="1"/>
        <v>0</v>
      </c>
      <c r="O14" s="11"/>
      <c r="P14" s="2">
        <f>--63953.98</f>
        <v>63953.98</v>
      </c>
      <c r="Q14" s="2"/>
      <c r="R14" s="19"/>
      <c r="S14" s="2"/>
      <c r="T14" s="2"/>
      <c r="U14" s="2"/>
      <c r="V14" s="19"/>
      <c r="W14" s="2"/>
      <c r="X14" s="2">
        <f t="shared" si="2"/>
        <v>63953.98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--117610.99</f>
        <v>117610.99</v>
      </c>
      <c r="E15" s="2"/>
      <c r="F15" s="19"/>
      <c r="G15" s="2"/>
      <c r="H15" s="2"/>
      <c r="I15" s="2"/>
      <c r="J15" s="19"/>
      <c r="K15" s="2"/>
      <c r="L15" s="2">
        <f t="shared" si="0"/>
        <v>117610.99</v>
      </c>
      <c r="M15" s="2"/>
      <c r="N15" s="19">
        <f t="shared" si="1"/>
        <v>0</v>
      </c>
      <c r="O15" s="11"/>
      <c r="P15" s="2">
        <f>--2129658.62</f>
        <v>2129658.62</v>
      </c>
      <c r="Q15" s="2"/>
      <c r="R15" s="19"/>
      <c r="S15" s="2"/>
      <c r="T15" s="2"/>
      <c r="U15" s="2"/>
      <c r="V15" s="19"/>
      <c r="W15" s="2"/>
      <c r="X15" s="2">
        <f t="shared" si="2"/>
        <v>2129658.62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--10204.05</f>
        <v>10204.049999999999</v>
      </c>
      <c r="E16" s="2"/>
      <c r="F16" s="19"/>
      <c r="G16" s="2"/>
      <c r="H16" s="2"/>
      <c r="I16" s="2"/>
      <c r="J16" s="19"/>
      <c r="K16" s="2"/>
      <c r="L16" s="2">
        <f t="shared" si="0"/>
        <v>10204.049999999999</v>
      </c>
      <c r="M16" s="2"/>
      <c r="N16" s="19">
        <f t="shared" si="1"/>
        <v>0</v>
      </c>
      <c r="O16" s="11"/>
      <c r="P16" s="2">
        <f>--137136.99</f>
        <v>137136.99</v>
      </c>
      <c r="Q16" s="2"/>
      <c r="R16" s="19"/>
      <c r="S16" s="2"/>
      <c r="T16" s="2"/>
      <c r="U16" s="2"/>
      <c r="V16" s="19"/>
      <c r="W16" s="2"/>
      <c r="X16" s="2">
        <f t="shared" si="2"/>
        <v>137136.99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--4870.79</f>
        <v>4870.79</v>
      </c>
      <c r="Q17" s="2"/>
      <c r="R17" s="19"/>
      <c r="S17" s="2"/>
      <c r="T17" s="2"/>
      <c r="U17" s="2"/>
      <c r="V17" s="19"/>
      <c r="W17" s="2"/>
      <c r="X17" s="2">
        <f t="shared" si="2"/>
        <v>4870.79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--1662.79</f>
        <v>1662.79</v>
      </c>
      <c r="E18" s="2"/>
      <c r="F18" s="19"/>
      <c r="G18" s="2"/>
      <c r="H18" s="2"/>
      <c r="I18" s="2"/>
      <c r="J18" s="19"/>
      <c r="K18" s="2"/>
      <c r="L18" s="2">
        <f t="shared" si="0"/>
        <v>1662.79</v>
      </c>
      <c r="M18" s="2"/>
      <c r="N18" s="19">
        <f t="shared" si="1"/>
        <v>0</v>
      </c>
      <c r="O18" s="11"/>
      <c r="P18" s="2">
        <f>--66932.42</f>
        <v>66932.42</v>
      </c>
      <c r="Q18" s="2"/>
      <c r="R18" s="19"/>
      <c r="S18" s="2"/>
      <c r="T18" s="2"/>
      <c r="U18" s="2"/>
      <c r="V18" s="19"/>
      <c r="W18" s="2"/>
      <c r="X18" s="2">
        <f t="shared" si="2"/>
        <v>66932.42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12521</v>
      </c>
      <c r="I19" s="2"/>
      <c r="J19" s="19"/>
      <c r="K19" s="2"/>
      <c r="L19" s="2">
        <f t="shared" si="0"/>
        <v>-12521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175002</v>
      </c>
      <c r="U19" s="2"/>
      <c r="V19" s="19"/>
      <c r="W19" s="2"/>
      <c r="X19" s="2">
        <f t="shared" si="2"/>
        <v>-175002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--1779.96</f>
        <v>1779.96</v>
      </c>
      <c r="E20" s="2"/>
      <c r="F20" s="19"/>
      <c r="G20" s="2"/>
      <c r="H20" s="2"/>
      <c r="I20" s="2"/>
      <c r="J20" s="19"/>
      <c r="K20" s="2"/>
      <c r="L20" s="2">
        <f t="shared" si="0"/>
        <v>1779.96</v>
      </c>
      <c r="M20" s="2"/>
      <c r="N20" s="19">
        <f t="shared" si="1"/>
        <v>0</v>
      </c>
      <c r="O20" s="11"/>
      <c r="P20" s="2">
        <f>--14288.58</f>
        <v>14288.58</v>
      </c>
      <c r="Q20" s="2"/>
      <c r="R20" s="19"/>
      <c r="S20" s="2"/>
      <c r="T20" s="2"/>
      <c r="U20" s="2"/>
      <c r="V20" s="19"/>
      <c r="W20" s="2"/>
      <c r="X20" s="2">
        <f t="shared" si="2"/>
        <v>14288.58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--33038.75</f>
        <v>33038.75</v>
      </c>
      <c r="E21" s="2"/>
      <c r="F21" s="19"/>
      <c r="G21" s="2"/>
      <c r="H21" s="2"/>
      <c r="I21" s="2"/>
      <c r="J21" s="19"/>
      <c r="K21" s="2"/>
      <c r="L21" s="2">
        <f t="shared" si="0"/>
        <v>33038.75</v>
      </c>
      <c r="M21" s="2"/>
      <c r="N21" s="19">
        <f t="shared" si="1"/>
        <v>0</v>
      </c>
      <c r="O21" s="11"/>
      <c r="P21" s="2">
        <f>--347529.22</f>
        <v>347529.22</v>
      </c>
      <c r="Q21" s="2"/>
      <c r="R21" s="19"/>
      <c r="S21" s="2"/>
      <c r="T21" s="2"/>
      <c r="U21" s="2"/>
      <c r="V21" s="19"/>
      <c r="W21" s="2"/>
      <c r="X21" s="2">
        <f t="shared" si="2"/>
        <v>347529.22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--2959.73</f>
        <v>2959.73</v>
      </c>
      <c r="E22" s="2"/>
      <c r="F22" s="19"/>
      <c r="G22" s="2"/>
      <c r="H22" s="2"/>
      <c r="I22" s="2"/>
      <c r="J22" s="19"/>
      <c r="K22" s="2"/>
      <c r="L22" s="2">
        <f t="shared" si="0"/>
        <v>2959.73</v>
      </c>
      <c r="M22" s="2"/>
      <c r="N22" s="19">
        <f t="shared" si="1"/>
        <v>0</v>
      </c>
      <c r="O22" s="11"/>
      <c r="P22" s="2">
        <f>--22445.75</f>
        <v>22445.75</v>
      </c>
      <c r="Q22" s="2"/>
      <c r="R22" s="19"/>
      <c r="S22" s="2"/>
      <c r="T22" s="2"/>
      <c r="U22" s="2"/>
      <c r="V22" s="19"/>
      <c r="W22" s="2"/>
      <c r="X22" s="2">
        <f t="shared" si="2"/>
        <v>22445.75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>--5925.22</f>
        <v>5925.22</v>
      </c>
      <c r="E23" s="2"/>
      <c r="F23" s="19"/>
      <c r="G23" s="2"/>
      <c r="H23" s="2"/>
      <c r="I23" s="2"/>
      <c r="J23" s="19"/>
      <c r="K23" s="2"/>
      <c r="L23" s="2">
        <f t="shared" si="0"/>
        <v>5925.22</v>
      </c>
      <c r="M23" s="2"/>
      <c r="N23" s="19">
        <f t="shared" si="1"/>
        <v>0</v>
      </c>
      <c r="O23" s="11"/>
      <c r="P23" s="2">
        <f>--55957.61</f>
        <v>55957.61</v>
      </c>
      <c r="Q23" s="2"/>
      <c r="R23" s="19"/>
      <c r="S23" s="2"/>
      <c r="T23" s="2"/>
      <c r="U23" s="2"/>
      <c r="V23" s="19"/>
      <c r="W23" s="2"/>
      <c r="X23" s="2">
        <f t="shared" si="2"/>
        <v>55957.61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--133.97</f>
        <v>133.97</v>
      </c>
      <c r="E24" s="2"/>
      <c r="F24" s="19"/>
      <c r="G24" s="2"/>
      <c r="H24" s="2"/>
      <c r="I24" s="2"/>
      <c r="J24" s="19"/>
      <c r="K24" s="2"/>
      <c r="L24" s="2">
        <f t="shared" si="0"/>
        <v>133.97</v>
      </c>
      <c r="M24" s="2"/>
      <c r="N24" s="19">
        <f t="shared" si="1"/>
        <v>0</v>
      </c>
      <c r="O24" s="11"/>
      <c r="P24" s="2">
        <f>--3479.14</f>
        <v>3479.14</v>
      </c>
      <c r="Q24" s="2"/>
      <c r="R24" s="19"/>
      <c r="S24" s="2"/>
      <c r="T24" s="2"/>
      <c r="U24" s="2"/>
      <c r="V24" s="19"/>
      <c r="W24" s="2"/>
      <c r="X24" s="2">
        <f t="shared" si="2"/>
        <v>3479.14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-79.99</f>
        <v>-79.989999999999995</v>
      </c>
      <c r="E25" s="2"/>
      <c r="F25" s="19"/>
      <c r="G25" s="2"/>
      <c r="H25" s="2"/>
      <c r="I25" s="2"/>
      <c r="J25" s="19"/>
      <c r="K25" s="2"/>
      <c r="L25" s="2">
        <f t="shared" si="0"/>
        <v>-79.989999999999995</v>
      </c>
      <c r="M25" s="2"/>
      <c r="N25" s="19">
        <f t="shared" si="1"/>
        <v>0</v>
      </c>
      <c r="O25" s="11"/>
      <c r="P25" s="2">
        <f>-14842.13</f>
        <v>-14842.13</v>
      </c>
      <c r="Q25" s="2"/>
      <c r="R25" s="19"/>
      <c r="S25" s="2"/>
      <c r="T25" s="2"/>
      <c r="U25" s="2"/>
      <c r="V25" s="19"/>
      <c r="W25" s="2"/>
      <c r="X25" s="2">
        <f t="shared" si="2"/>
        <v>-14842.13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-25075.01</f>
        <v>-25075.01</v>
      </c>
      <c r="E26" s="2"/>
      <c r="F26" s="19"/>
      <c r="G26" s="2"/>
      <c r="H26" s="2"/>
      <c r="I26" s="2"/>
      <c r="J26" s="19"/>
      <c r="K26" s="2"/>
      <c r="L26" s="2">
        <f t="shared" si="0"/>
        <v>-25075.01</v>
      </c>
      <c r="M26" s="2"/>
      <c r="N26" s="19">
        <f t="shared" si="1"/>
        <v>0</v>
      </c>
      <c r="O26" s="11"/>
      <c r="P26" s="2">
        <f>-240220.17</f>
        <v>-240220.17</v>
      </c>
      <c r="Q26" s="2"/>
      <c r="R26" s="19"/>
      <c r="S26" s="2"/>
      <c r="T26" s="2"/>
      <c r="U26" s="2"/>
      <c r="V26" s="19"/>
      <c r="W26" s="2"/>
      <c r="X26" s="2">
        <f t="shared" si="2"/>
        <v>-240220.17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-181.97</f>
        <v>-181.97</v>
      </c>
      <c r="E27" s="2"/>
      <c r="F27" s="19"/>
      <c r="G27" s="2"/>
      <c r="H27" s="2"/>
      <c r="I27" s="2"/>
      <c r="J27" s="19"/>
      <c r="K27" s="2"/>
      <c r="L27" s="2">
        <f t="shared" si="0"/>
        <v>-181.97</v>
      </c>
      <c r="M27" s="2"/>
      <c r="N27" s="19">
        <f t="shared" si="1"/>
        <v>0</v>
      </c>
      <c r="O27" s="11"/>
      <c r="P27" s="2">
        <f>-4129.17</f>
        <v>-4129.17</v>
      </c>
      <c r="Q27" s="2"/>
      <c r="R27" s="19"/>
      <c r="S27" s="2"/>
      <c r="T27" s="2"/>
      <c r="U27" s="2"/>
      <c r="V27" s="19"/>
      <c r="W27" s="2"/>
      <c r="X27" s="2">
        <f t="shared" si="2"/>
        <v>-4129.17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 t="shared" ref="D28:D31" si="4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-1091.79</f>
        <v>-1091.79</v>
      </c>
      <c r="Q28" s="2"/>
      <c r="R28" s="19"/>
      <c r="S28" s="2"/>
      <c r="T28" s="2"/>
      <c r="U28" s="2"/>
      <c r="V28" s="19"/>
      <c r="W28" s="2"/>
      <c r="X28" s="2">
        <f t="shared" si="2"/>
        <v>-1091.79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 t="shared" si="4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-4802.29</f>
        <v>-4802.29</v>
      </c>
      <c r="Q29" s="2"/>
      <c r="R29" s="19"/>
      <c r="S29" s="2"/>
      <c r="T29" s="2"/>
      <c r="U29" s="2"/>
      <c r="V29" s="19"/>
      <c r="W29" s="2"/>
      <c r="X29" s="2">
        <f t="shared" si="2"/>
        <v>-4802.29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-5624.15</f>
        <v>-5624.15</v>
      </c>
      <c r="Q30" s="2"/>
      <c r="R30" s="19"/>
      <c r="S30" s="2"/>
      <c r="T30" s="2"/>
      <c r="U30" s="2"/>
      <c r="V30" s="19"/>
      <c r="W30" s="2"/>
      <c r="X30" s="2">
        <f t="shared" si="2"/>
        <v>-5624.15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"4383", " - ", "SALES RETURN NON TAXABLE-COMPU")</f>
        <v xml:space="preserve">          4383 - SALES RETURN NON TAXABLE-COMPU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-14.99</f>
        <v>-14.99</v>
      </c>
      <c r="Q31" s="2"/>
      <c r="R31" s="19"/>
      <c r="S31" s="2"/>
      <c r="T31" s="2"/>
      <c r="U31" s="2"/>
      <c r="V31" s="19"/>
      <c r="W31" s="2"/>
      <c r="X31" s="2">
        <f t="shared" si="2"/>
        <v>-14.99</v>
      </c>
      <c r="Y31" s="2"/>
      <c r="Z31" s="19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9" t="s">
        <v>257</v>
      </c>
      <c r="C33" s="10"/>
      <c r="D33" s="4">
        <f>SUM(OSRRefD16x_0)</f>
        <v>56555</v>
      </c>
      <c r="E33" s="4"/>
      <c r="F33" s="12">
        <f t="shared" ref="F33:F47" si="5">IF(D$12=0,0,D33/D$12)</f>
        <v>0.377585615226538</v>
      </c>
      <c r="G33" s="4"/>
      <c r="H33" s="4">
        <f>SUM(OSRRefH16x_0)</f>
        <v>122353</v>
      </c>
      <c r="I33" s="4"/>
      <c r="J33" s="12">
        <f t="shared" ref="J33:J47" si="6">IF(H$12=0,0,H33/H$12)</f>
        <v>1.1726487698751187</v>
      </c>
      <c r="K33" s="4"/>
      <c r="L33" s="4">
        <f t="shared" ref="L33:L47" si="7">+D33-H33</f>
        <v>-65798</v>
      </c>
      <c r="M33" s="4"/>
      <c r="N33" s="12">
        <f t="shared" ref="N33:N47" si="8">IF(H33=0,0,L33/H33)</f>
        <v>-0.53777185684045348</v>
      </c>
      <c r="O33" s="10"/>
      <c r="P33" s="4">
        <f>SUM(OSRRefP16x_0)</f>
        <v>2290489.8400000003</v>
      </c>
      <c r="Q33" s="4"/>
      <c r="R33" s="12">
        <f t="shared" ref="R33:R47" si="9">IF(P$12=0,0,P33/P$12)</f>
        <v>0.89035273556795202</v>
      </c>
      <c r="S33" s="4"/>
      <c r="T33" s="4">
        <f>SUM(OSRRefT16x_0)</f>
        <v>1834265</v>
      </c>
      <c r="U33" s="4"/>
      <c r="V33" s="12">
        <f t="shared" ref="V33:V47" si="10">IF(T$12=0,0,T33/T$12)</f>
        <v>0.82995299271565814</v>
      </c>
      <c r="W33" s="4"/>
      <c r="X33" s="4">
        <f t="shared" ref="X33:X47" si="11">+P33-T33</f>
        <v>456224.84000000032</v>
      </c>
      <c r="Y33" s="4"/>
      <c r="Z33" s="12">
        <f t="shared" ref="Z33:Z47" si="12">IF(T33=0,0,X33/T33)</f>
        <v>0.24872351595870842</v>
      </c>
    </row>
    <row r="34" spans="1:26" s="24" customFormat="1" hidden="1" outlineLevel="1" x14ac:dyDescent="0.25">
      <c r="A34" s="44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19">
        <f t="shared" si="5"/>
        <v>0</v>
      </c>
      <c r="G34" s="2"/>
      <c r="H34" s="2">
        <v>122353</v>
      </c>
      <c r="I34" s="2"/>
      <c r="J34" s="19">
        <f t="shared" si="6"/>
        <v>1.1726487698751187</v>
      </c>
      <c r="K34" s="2"/>
      <c r="L34" s="2">
        <f t="shared" si="7"/>
        <v>-122353</v>
      </c>
      <c r="M34" s="2"/>
      <c r="N34" s="19">
        <f t="shared" si="8"/>
        <v>-1</v>
      </c>
      <c r="O34" s="11"/>
      <c r="P34" s="2">
        <v>0</v>
      </c>
      <c r="Q34" s="2"/>
      <c r="R34" s="19">
        <f t="shared" si="9"/>
        <v>0</v>
      </c>
      <c r="S34" s="2"/>
      <c r="T34" s="2">
        <v>1834265</v>
      </c>
      <c r="U34" s="2"/>
      <c r="V34" s="19">
        <f t="shared" si="10"/>
        <v>0.82995299271565814</v>
      </c>
      <c r="W34" s="2"/>
      <c r="X34" s="2">
        <f t="shared" si="11"/>
        <v>-1834265</v>
      </c>
      <c r="Y34" s="2"/>
      <c r="Z34" s="19">
        <f t="shared" si="12"/>
        <v>-1</v>
      </c>
    </row>
    <row r="35" spans="1:26" s="24" customFormat="1" hidden="1" outlineLevel="1" x14ac:dyDescent="0.25">
      <c r="A35" s="44"/>
      <c r="B35" s="11" t="str">
        <f>CONCATENATE("          ", "5081", " - ", "PURCHASES @ COST-ELECTRONICS")</f>
        <v xml:space="preserve">          5081 - PURCHASES @ COST-ELECTRONICS</v>
      </c>
      <c r="C35" s="11"/>
      <c r="D35" s="2">
        <v>-28.91</v>
      </c>
      <c r="E35" s="2"/>
      <c r="F35" s="19">
        <f t="shared" si="5"/>
        <v>-1.9301565089203807E-4</v>
      </c>
      <c r="G35" s="2"/>
      <c r="H35" s="2"/>
      <c r="I35" s="2"/>
      <c r="J35" s="19">
        <f t="shared" si="6"/>
        <v>0</v>
      </c>
      <c r="K35" s="2"/>
      <c r="L35" s="2">
        <f t="shared" si="7"/>
        <v>-28.91</v>
      </c>
      <c r="M35" s="2"/>
      <c r="N35" s="19">
        <f t="shared" si="8"/>
        <v>0</v>
      </c>
      <c r="O35" s="11"/>
      <c r="P35" s="2">
        <v>32419.46</v>
      </c>
      <c r="Q35" s="2"/>
      <c r="R35" s="19">
        <f t="shared" si="9"/>
        <v>1.2602000843904984E-2</v>
      </c>
      <c r="S35" s="2"/>
      <c r="T35" s="2"/>
      <c r="U35" s="2"/>
      <c r="V35" s="19">
        <f t="shared" si="10"/>
        <v>0</v>
      </c>
      <c r="W35" s="2"/>
      <c r="X35" s="2">
        <f t="shared" si="11"/>
        <v>32419.46</v>
      </c>
      <c r="Y35" s="2"/>
      <c r="Z35" s="19">
        <f t="shared" si="12"/>
        <v>0</v>
      </c>
    </row>
    <row r="36" spans="1:26" s="24" customFormat="1" hidden="1" outlineLevel="1" x14ac:dyDescent="0.25">
      <c r="A36" s="44"/>
      <c r="B36" s="11" t="str">
        <f>CONCATENATE("          ", "5082", " - ", "PURCHASES @ COST-COMPUTER HARD")</f>
        <v xml:space="preserve">          5082 - PURCHASES @ COST-COMPUTER HARD</v>
      </c>
      <c r="C36" s="11"/>
      <c r="D36" s="2">
        <v>129194.07</v>
      </c>
      <c r="E36" s="2"/>
      <c r="F36" s="19">
        <f t="shared" si="5"/>
        <v>0.86255543107718891</v>
      </c>
      <c r="G36" s="2"/>
      <c r="H36" s="2"/>
      <c r="I36" s="2"/>
      <c r="J36" s="19">
        <f t="shared" si="6"/>
        <v>0</v>
      </c>
      <c r="K36" s="2"/>
      <c r="L36" s="2">
        <f t="shared" si="7"/>
        <v>129194.07</v>
      </c>
      <c r="M36" s="2"/>
      <c r="N36" s="19">
        <f t="shared" si="8"/>
        <v>0</v>
      </c>
      <c r="O36" s="11"/>
      <c r="P36" s="2">
        <v>1802534.87</v>
      </c>
      <c r="Q36" s="2"/>
      <c r="R36" s="19">
        <f t="shared" si="9"/>
        <v>0.70067625904034692</v>
      </c>
      <c r="S36" s="2"/>
      <c r="T36" s="2"/>
      <c r="U36" s="2"/>
      <c r="V36" s="19">
        <f t="shared" si="10"/>
        <v>0</v>
      </c>
      <c r="W36" s="2"/>
      <c r="X36" s="2">
        <f t="shared" si="11"/>
        <v>1802534.87</v>
      </c>
      <c r="Y36" s="2"/>
      <c r="Z36" s="19">
        <f t="shared" si="12"/>
        <v>0</v>
      </c>
    </row>
    <row r="37" spans="1:26" s="24" customFormat="1" hidden="1" outlineLevel="1" x14ac:dyDescent="0.25">
      <c r="A37" s="44"/>
      <c r="B37" s="11" t="str">
        <f>CONCATENATE("          ", "5083", " - ", "PURCHASES @ COST-COMPUTER EQUI")</f>
        <v xml:space="preserve">          5083 - PURCHASES @ COST-COMPUTER EQUI</v>
      </c>
      <c r="C37" s="11"/>
      <c r="D37" s="2">
        <v>7514.45</v>
      </c>
      <c r="E37" s="2"/>
      <c r="F37" s="19">
        <f t="shared" si="5"/>
        <v>5.0169714902998118E-2</v>
      </c>
      <c r="G37" s="2"/>
      <c r="H37" s="2"/>
      <c r="I37" s="2"/>
      <c r="J37" s="19">
        <f t="shared" si="6"/>
        <v>0</v>
      </c>
      <c r="K37" s="2"/>
      <c r="L37" s="2">
        <f t="shared" si="7"/>
        <v>7514.45</v>
      </c>
      <c r="M37" s="2"/>
      <c r="N37" s="19">
        <f t="shared" si="8"/>
        <v>0</v>
      </c>
      <c r="O37" s="11"/>
      <c r="P37" s="2">
        <v>127029.94</v>
      </c>
      <c r="Q37" s="2"/>
      <c r="R37" s="19">
        <f t="shared" si="9"/>
        <v>4.9378719173027545E-2</v>
      </c>
      <c r="S37" s="2"/>
      <c r="T37" s="2"/>
      <c r="U37" s="2"/>
      <c r="V37" s="19">
        <f t="shared" si="10"/>
        <v>0</v>
      </c>
      <c r="W37" s="2"/>
      <c r="X37" s="2">
        <f t="shared" si="11"/>
        <v>127029.94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"5085", " - ", "PURCHASES @ COST-SOFTWARE")</f>
        <v xml:space="preserve">          5085 - PURCHASES @ COST-SOFTWARE</v>
      </c>
      <c r="C38" s="11"/>
      <c r="D38" s="2">
        <v>8375.49</v>
      </c>
      <c r="E38" s="2"/>
      <c r="F38" s="19">
        <f t="shared" si="5"/>
        <v>5.5918389965055548E-2</v>
      </c>
      <c r="G38" s="2"/>
      <c r="H38" s="2"/>
      <c r="I38" s="2"/>
      <c r="J38" s="19">
        <f t="shared" si="6"/>
        <v>0</v>
      </c>
      <c r="K38" s="2"/>
      <c r="L38" s="2">
        <f t="shared" si="7"/>
        <v>8375.49</v>
      </c>
      <c r="M38" s="2"/>
      <c r="N38" s="19">
        <f t="shared" si="8"/>
        <v>0</v>
      </c>
      <c r="O38" s="11"/>
      <c r="P38" s="2">
        <v>46286.37</v>
      </c>
      <c r="Q38" s="2"/>
      <c r="R38" s="19">
        <f t="shared" si="9"/>
        <v>1.7992306898427624E-2</v>
      </c>
      <c r="S38" s="2"/>
      <c r="T38" s="2"/>
      <c r="U38" s="2"/>
      <c r="V38" s="19">
        <f t="shared" si="10"/>
        <v>0</v>
      </c>
      <c r="W38" s="2"/>
      <c r="X38" s="2">
        <f t="shared" si="11"/>
        <v>46286.37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"5086", " - ", "PURCHASES @ COST-COMPUTER SUPP")</f>
        <v xml:space="preserve">          5086 - PURCHASES @ COST-COMPUTER SUPP</v>
      </c>
      <c r="C39" s="11"/>
      <c r="D39" s="2">
        <v>83.62</v>
      </c>
      <c r="E39" s="2"/>
      <c r="F39" s="19">
        <f t="shared" si="5"/>
        <v>5.5828324896548681E-4</v>
      </c>
      <c r="G39" s="2"/>
      <c r="H39" s="2"/>
      <c r="I39" s="2"/>
      <c r="J39" s="19">
        <f t="shared" si="6"/>
        <v>0</v>
      </c>
      <c r="K39" s="2"/>
      <c r="L39" s="2">
        <f t="shared" si="7"/>
        <v>83.62</v>
      </c>
      <c r="M39" s="2"/>
      <c r="N39" s="19">
        <f t="shared" si="8"/>
        <v>0</v>
      </c>
      <c r="O39" s="11"/>
      <c r="P39" s="2">
        <v>23763.01</v>
      </c>
      <c r="Q39" s="2"/>
      <c r="R39" s="19">
        <f t="shared" si="9"/>
        <v>9.2370900710166855E-3</v>
      </c>
      <c r="S39" s="2"/>
      <c r="T39" s="2"/>
      <c r="U39" s="2"/>
      <c r="V39" s="19">
        <f t="shared" si="10"/>
        <v>0</v>
      </c>
      <c r="W39" s="2"/>
      <c r="X39" s="2">
        <f t="shared" si="11"/>
        <v>23763.01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"5200", " - ", "PURCHASES OFFSET")</f>
        <v xml:space="preserve">          5200 - PURCHASES OFFSET</v>
      </c>
      <c r="C40" s="11"/>
      <c r="D40" s="2">
        <v>-145158.72</v>
      </c>
      <c r="E40" s="2"/>
      <c r="F40" s="19">
        <f t="shared" si="5"/>
        <v>-0.96914233218454193</v>
      </c>
      <c r="G40" s="2"/>
      <c r="H40" s="2"/>
      <c r="I40" s="2"/>
      <c r="J40" s="19">
        <f t="shared" si="6"/>
        <v>0</v>
      </c>
      <c r="K40" s="2"/>
      <c r="L40" s="2">
        <f t="shared" si="7"/>
        <v>-145158.72</v>
      </c>
      <c r="M40" s="2"/>
      <c r="N40" s="19">
        <f t="shared" si="8"/>
        <v>0</v>
      </c>
      <c r="O40" s="11"/>
      <c r="P40" s="2">
        <v>-2028539.8</v>
      </c>
      <c r="Q40" s="2"/>
      <c r="R40" s="19">
        <f t="shared" si="9"/>
        <v>-0.78852825653156622</v>
      </c>
      <c r="S40" s="2"/>
      <c r="T40" s="2"/>
      <c r="U40" s="2"/>
      <c r="V40" s="19">
        <f t="shared" si="10"/>
        <v>0</v>
      </c>
      <c r="W40" s="2"/>
      <c r="X40" s="2">
        <f t="shared" si="11"/>
        <v>-2028539.8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"5300", " - ", "COG$ OFFSET")</f>
        <v xml:space="preserve">          5300 - COG$ OFFSET</v>
      </c>
      <c r="C41" s="11"/>
      <c r="D41" s="2">
        <v>56555</v>
      </c>
      <c r="E41" s="2"/>
      <c r="F41" s="19">
        <f t="shared" si="5"/>
        <v>0.377585615226538</v>
      </c>
      <c r="G41" s="2"/>
      <c r="H41" s="2"/>
      <c r="I41" s="2"/>
      <c r="J41" s="19">
        <f t="shared" si="6"/>
        <v>0</v>
      </c>
      <c r="K41" s="2"/>
      <c r="L41" s="2">
        <f t="shared" si="7"/>
        <v>56555</v>
      </c>
      <c r="M41" s="2"/>
      <c r="N41" s="19">
        <f t="shared" si="8"/>
        <v>0</v>
      </c>
      <c r="O41" s="11"/>
      <c r="P41" s="2">
        <v>2286544</v>
      </c>
      <c r="Q41" s="2"/>
      <c r="R41" s="19">
        <f t="shared" si="9"/>
        <v>0.88881891979773509</v>
      </c>
      <c r="S41" s="2"/>
      <c r="T41" s="2"/>
      <c r="U41" s="2"/>
      <c r="V41" s="19">
        <f t="shared" si="10"/>
        <v>0</v>
      </c>
      <c r="W41" s="2"/>
      <c r="X41" s="2">
        <f t="shared" si="11"/>
        <v>2286544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"5500", " - ", "FREIGHT-IN")</f>
        <v xml:space="preserve">          5500 - FREIGHT-IN</v>
      </c>
      <c r="C42" s="11"/>
      <c r="D42" s="2">
        <v>0</v>
      </c>
      <c r="E42" s="2"/>
      <c r="F42" s="19">
        <f t="shared" si="5"/>
        <v>0</v>
      </c>
      <c r="G42" s="2"/>
      <c r="H42" s="2"/>
      <c r="I42" s="2"/>
      <c r="J42" s="19">
        <f t="shared" si="6"/>
        <v>0</v>
      </c>
      <c r="K42" s="2"/>
      <c r="L42" s="2">
        <f t="shared" si="7"/>
        <v>0</v>
      </c>
      <c r="M42" s="2"/>
      <c r="N42" s="19">
        <f t="shared" si="8"/>
        <v>0</v>
      </c>
      <c r="O42" s="11"/>
      <c r="P42" s="2">
        <v>0</v>
      </c>
      <c r="Q42" s="2"/>
      <c r="R42" s="19">
        <f t="shared" si="9"/>
        <v>0</v>
      </c>
      <c r="S42" s="2"/>
      <c r="T42" s="2"/>
      <c r="U42" s="2"/>
      <c r="V42" s="19">
        <f t="shared" si="10"/>
        <v>0</v>
      </c>
      <c r="W42" s="2"/>
      <c r="X42" s="2">
        <f t="shared" si="11"/>
        <v>0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"5581", " - ", "FREIGHT-IN-ELECTRONICS")</f>
        <v xml:space="preserve">          5581 - FREIGHT-IN-ELECTRONICS</v>
      </c>
      <c r="C43" s="11"/>
      <c r="D43" s="2"/>
      <c r="E43" s="2"/>
      <c r="F43" s="19">
        <f t="shared" si="5"/>
        <v>0</v>
      </c>
      <c r="G43" s="2"/>
      <c r="H43" s="2"/>
      <c r="I43" s="2"/>
      <c r="J43" s="19">
        <f t="shared" si="6"/>
        <v>0</v>
      </c>
      <c r="K43" s="2"/>
      <c r="L43" s="2">
        <f t="shared" si="7"/>
        <v>0</v>
      </c>
      <c r="M43" s="2"/>
      <c r="N43" s="19">
        <f t="shared" si="8"/>
        <v>0</v>
      </c>
      <c r="O43" s="11"/>
      <c r="P43" s="2">
        <v>31</v>
      </c>
      <c r="Q43" s="2"/>
      <c r="R43" s="19">
        <f t="shared" si="9"/>
        <v>1.2050232365408139E-5</v>
      </c>
      <c r="S43" s="2"/>
      <c r="T43" s="2"/>
      <c r="U43" s="2"/>
      <c r="V43" s="19">
        <f t="shared" si="10"/>
        <v>0</v>
      </c>
      <c r="W43" s="2"/>
      <c r="X43" s="2">
        <f t="shared" si="11"/>
        <v>31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"5582", " - ", "FREIGHT-IN-COMPUTER HARDWARE")</f>
        <v xml:space="preserve">          5582 - FREIGHT-IN-COMPUTER HARDWARE</v>
      </c>
      <c r="C44" s="11"/>
      <c r="D44" s="2">
        <v>20</v>
      </c>
      <c r="E44" s="2"/>
      <c r="F44" s="19">
        <f t="shared" si="5"/>
        <v>1.3352864122589974E-4</v>
      </c>
      <c r="G44" s="2"/>
      <c r="H44" s="2"/>
      <c r="I44" s="2"/>
      <c r="J44" s="19">
        <f t="shared" si="6"/>
        <v>0</v>
      </c>
      <c r="K44" s="2"/>
      <c r="L44" s="2">
        <f t="shared" si="7"/>
        <v>20</v>
      </c>
      <c r="M44" s="2"/>
      <c r="N44" s="19">
        <f t="shared" si="8"/>
        <v>0</v>
      </c>
      <c r="O44" s="11"/>
      <c r="P44" s="2">
        <v>145</v>
      </c>
      <c r="Q44" s="2"/>
      <c r="R44" s="19">
        <f t="shared" si="9"/>
        <v>5.6363990096263875E-5</v>
      </c>
      <c r="S44" s="2"/>
      <c r="T44" s="2"/>
      <c r="U44" s="2"/>
      <c r="V44" s="19">
        <f t="shared" si="10"/>
        <v>0</v>
      </c>
      <c r="W44" s="2"/>
      <c r="X44" s="2">
        <f t="shared" si="11"/>
        <v>145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"5583", " - ", "FREIGHT-IN-COMPUTER EQUIPMENT")</f>
        <v xml:space="preserve">          5583 - FREIGHT-IN-COMPUTER EQUIPMENT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242.46</v>
      </c>
      <c r="Q45" s="2"/>
      <c r="R45" s="19">
        <f t="shared" si="9"/>
        <v>9.4248365784414757E-5</v>
      </c>
      <c r="S45" s="2"/>
      <c r="T45" s="2"/>
      <c r="U45" s="2"/>
      <c r="V45" s="19">
        <f t="shared" si="10"/>
        <v>0</v>
      </c>
      <c r="W45" s="2"/>
      <c r="X45" s="2">
        <f t="shared" si="11"/>
        <v>242.46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"5585", " - ", "FREIGHT-IN-SOFTWARE")</f>
        <v xml:space="preserve">          5585 - FREIGHT-IN-SOFTWARE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9.41</v>
      </c>
      <c r="Q46" s="2"/>
      <c r="R46" s="19">
        <f t="shared" si="9"/>
        <v>3.6578285986609865E-6</v>
      </c>
      <c r="S46" s="2"/>
      <c r="T46" s="2"/>
      <c r="U46" s="2"/>
      <c r="V46" s="19">
        <f t="shared" si="10"/>
        <v>0</v>
      </c>
      <c r="W46" s="2"/>
      <c r="X46" s="2">
        <f t="shared" si="11"/>
        <v>9.41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"5586", " - ", "FREIGHT-IN-COMPUTER SUPPLIES")</f>
        <v xml:space="preserve">          5586 - FREIGHT-IN-COMPUTER SUPPLIES</v>
      </c>
      <c r="C47" s="11"/>
      <c r="D47" s="2"/>
      <c r="E47" s="2"/>
      <c r="F47" s="19">
        <f t="shared" si="5"/>
        <v>0</v>
      </c>
      <c r="G47" s="2"/>
      <c r="H47" s="2"/>
      <c r="I47" s="2"/>
      <c r="J47" s="19">
        <f t="shared" si="6"/>
        <v>0</v>
      </c>
      <c r="K47" s="2"/>
      <c r="L47" s="2">
        <f t="shared" si="7"/>
        <v>0</v>
      </c>
      <c r="M47" s="2"/>
      <c r="N47" s="19">
        <f t="shared" si="8"/>
        <v>0</v>
      </c>
      <c r="O47" s="11"/>
      <c r="P47" s="2">
        <v>24.12</v>
      </c>
      <c r="Q47" s="2"/>
      <c r="R47" s="19">
        <f t="shared" si="9"/>
        <v>9.3758582146336879E-6</v>
      </c>
      <c r="S47" s="2"/>
      <c r="T47" s="2"/>
      <c r="U47" s="2"/>
      <c r="V47" s="19">
        <f t="shared" si="10"/>
        <v>0</v>
      </c>
      <c r="W47" s="2"/>
      <c r="X47" s="2">
        <f t="shared" si="11"/>
        <v>24.12</v>
      </c>
      <c r="Y47" s="2"/>
      <c r="Z47" s="19">
        <f t="shared" si="12"/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8" t="s">
        <v>108</v>
      </c>
      <c r="C49" s="28"/>
      <c r="D49" s="20">
        <f>D12-D33</f>
        <v>93225.600000000006</v>
      </c>
      <c r="E49" s="14"/>
      <c r="F49" s="21">
        <f>IF(D$12=0,0,D49/D$12)</f>
        <v>0.622414384773462</v>
      </c>
      <c r="G49" s="14"/>
      <c r="H49" s="20">
        <f>H12-H33</f>
        <v>-18014</v>
      </c>
      <c r="I49" s="14"/>
      <c r="J49" s="21">
        <f>IF(H$12=0,0,H49/H$12)</f>
        <v>-0.1726487698751186</v>
      </c>
      <c r="K49" s="15"/>
      <c r="L49" s="20">
        <f>+D49-H49</f>
        <v>111239.6</v>
      </c>
      <c r="M49" s="15"/>
      <c r="N49" s="21">
        <f>IF(H49=0,0,L49/H49)</f>
        <v>-6.1751748639946715</v>
      </c>
      <c r="O49" s="29"/>
      <c r="P49" s="20">
        <f>P12-P33</f>
        <v>282074.65999999922</v>
      </c>
      <c r="Q49" s="14"/>
      <c r="R49" s="21">
        <f>IF(P$12=0,0,P49/P$12)</f>
        <v>0.10964726443204798</v>
      </c>
      <c r="S49" s="14"/>
      <c r="T49" s="20">
        <f>T12-T33</f>
        <v>375818</v>
      </c>
      <c r="U49" s="14"/>
      <c r="V49" s="21">
        <f>IF(T$12=0,0,T49/T$12)</f>
        <v>0.1700470072843418</v>
      </c>
      <c r="W49" s="15"/>
      <c r="X49" s="20">
        <f>+P49-T49</f>
        <v>-93743.340000000782</v>
      </c>
      <c r="Y49" s="15"/>
      <c r="Z49" s="21">
        <f>IF(T49=0,0,X49/T49)</f>
        <v>-0.24943813228743908</v>
      </c>
    </row>
    <row r="50" spans="1:26" x14ac:dyDescent="0.25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9" t="s">
        <v>295</v>
      </c>
      <c r="C51" s="10"/>
      <c r="D51" s="22">
        <f>SUM(OSRRefD22x_0)</f>
        <v>13748.640000000001</v>
      </c>
      <c r="E51" s="22"/>
      <c r="F51" s="31">
        <f t="shared" ref="F51:F62" si="13">IF(D$12=0,0,D51/D$12)</f>
        <v>9.179186089520272E-2</v>
      </c>
      <c r="G51" s="22"/>
      <c r="H51" s="22">
        <f>SUM(OSRRefH22x_0)</f>
        <v>17070.320207646153</v>
      </c>
      <c r="I51" s="22"/>
      <c r="J51" s="31">
        <f t="shared" ref="J51:J62" si="14">IF(H$12=0,0,H51/H$12)</f>
        <v>0.16360440686268943</v>
      </c>
      <c r="K51" s="4"/>
      <c r="L51" s="22">
        <f t="shared" ref="L51:L62" si="15">+D51-H51</f>
        <v>-3321.6802076461518</v>
      </c>
      <c r="M51" s="4"/>
      <c r="N51" s="31">
        <f t="shared" ref="N51:N62" si="16">IF(H51=0,0,L51/H51)</f>
        <v>-0.19458804329624127</v>
      </c>
      <c r="O51" s="10"/>
      <c r="P51" s="22">
        <f>SUM(OSRRefP22x_0)</f>
        <v>151444.41999999998</v>
      </c>
      <c r="Q51" s="22"/>
      <c r="R51" s="31">
        <f t="shared" ref="R51:R62" si="17">IF(P$12=0,0,P51/P$12)</f>
        <v>5.8869046820789146E-2</v>
      </c>
      <c r="S51" s="22"/>
      <c r="T51" s="22">
        <f>SUM(OSRRefT22x_0)</f>
        <v>214946.22501855379</v>
      </c>
      <c r="U51" s="22"/>
      <c r="V51" s="31">
        <f t="shared" ref="V51:V62" si="18">IF(T$12=0,0,T51/T$12)</f>
        <v>9.7257082660947028E-2</v>
      </c>
      <c r="W51" s="4"/>
      <c r="X51" s="22">
        <f t="shared" ref="X51:X62" si="19">+P51-T51</f>
        <v>-63501.805018553801</v>
      </c>
      <c r="Y51" s="4"/>
      <c r="Z51" s="31">
        <f t="shared" ref="Z51:Z62" si="20">IF(T51=0,0,X51/T51)</f>
        <v>-0.29543112475258609</v>
      </c>
    </row>
    <row r="52" spans="1:26" s="27" customFormat="1" outlineLevel="1" collapsed="1" x14ac:dyDescent="0.25">
      <c r="A52" s="26"/>
      <c r="B52" s="13" t="str">
        <f>CONCATENATE("     ","*Benefits                                         ")</f>
        <v xml:space="preserve">     *Benefits                                         </v>
      </c>
      <c r="C52" s="13"/>
      <c r="D52" s="1">
        <f>SUM(OSRRefD22_0x_0)</f>
        <v>2910.57</v>
      </c>
      <c r="E52" s="1"/>
      <c r="F52" s="5">
        <f t="shared" si="13"/>
        <v>1.9432222864643352E-2</v>
      </c>
      <c r="G52" s="1"/>
      <c r="H52" s="1">
        <f>SUM(OSRRefH22_0x_0)</f>
        <v>2446.580247646154</v>
      </c>
      <c r="I52" s="1"/>
      <c r="J52" s="5">
        <f t="shared" si="14"/>
        <v>2.3448377381862524E-2</v>
      </c>
      <c r="K52" s="1"/>
      <c r="L52" s="1">
        <f t="shared" si="15"/>
        <v>463.98975235384614</v>
      </c>
      <c r="M52" s="1"/>
      <c r="N52" s="5">
        <f t="shared" si="16"/>
        <v>0.1896482867464695</v>
      </c>
      <c r="O52" s="13"/>
      <c r="P52" s="1">
        <f>SUM(OSRRefP22_0x_0)</f>
        <v>32489.070000000003</v>
      </c>
      <c r="Q52" s="1"/>
      <c r="R52" s="5">
        <f t="shared" si="17"/>
        <v>1.2629059446322925E-2</v>
      </c>
      <c r="S52" s="1"/>
      <c r="T52" s="1">
        <f>SUM(OSRRefT22_0x_0)</f>
        <v>29019.555138553798</v>
      </c>
      <c r="U52" s="1"/>
      <c r="V52" s="5">
        <f t="shared" si="18"/>
        <v>1.3130527287234822E-2</v>
      </c>
      <c r="W52" s="1"/>
      <c r="X52" s="1">
        <f t="shared" si="19"/>
        <v>3469.514861446205</v>
      </c>
      <c r="Y52" s="1"/>
      <c r="Z52" s="5">
        <f t="shared" si="20"/>
        <v>0.11955782384950474</v>
      </c>
    </row>
    <row r="53" spans="1:26" s="24" customFormat="1" hidden="1" outlineLevel="2" x14ac:dyDescent="0.25">
      <c r="A53" s="25"/>
      <c r="B53" s="11" t="str">
        <f>CONCATENATE("          ", "6111", " - ", "F.I.C.A.")</f>
        <v xml:space="preserve">          6111 - F.I.C.A.</v>
      </c>
      <c r="C53" s="11"/>
      <c r="D53" s="7">
        <v>523.37</v>
      </c>
      <c r="E53" s="2"/>
      <c r="F53" s="6">
        <f t="shared" si="13"/>
        <v>3.4942442479199576E-3</v>
      </c>
      <c r="G53" s="2"/>
      <c r="H53" s="7">
        <v>425.68281899999999</v>
      </c>
      <c r="I53" s="2"/>
      <c r="J53" s="6">
        <f t="shared" si="14"/>
        <v>4.079805432292815E-3</v>
      </c>
      <c r="K53" s="2"/>
      <c r="L53" s="7">
        <f t="shared" si="15"/>
        <v>97.68718100000001</v>
      </c>
      <c r="M53" s="2"/>
      <c r="N53" s="6">
        <f t="shared" si="16"/>
        <v>0.22948349484595951</v>
      </c>
      <c r="O53" s="11"/>
      <c r="P53" s="7">
        <v>5937.2</v>
      </c>
      <c r="Q53" s="2"/>
      <c r="R53" s="6">
        <f t="shared" si="17"/>
        <v>2.3078915999968129E-3</v>
      </c>
      <c r="S53" s="2"/>
      <c r="T53" s="7">
        <v>5535.5373479999998</v>
      </c>
      <c r="U53" s="2"/>
      <c r="V53" s="6">
        <f t="shared" si="18"/>
        <v>2.5046739638285077E-3</v>
      </c>
      <c r="W53" s="2"/>
      <c r="X53" s="7">
        <f t="shared" si="19"/>
        <v>401.66265199999998</v>
      </c>
      <c r="Y53" s="2"/>
      <c r="Z53" s="6">
        <f t="shared" si="20"/>
        <v>7.2560733809360248E-2</v>
      </c>
    </row>
    <row r="54" spans="1:26" s="24" customFormat="1" hidden="1" outlineLevel="2" x14ac:dyDescent="0.25">
      <c r="A54" s="25"/>
      <c r="B54" s="11" t="str">
        <f>CONCATENATE("          ", "6112", " - ", "COMPENSATION INSURANCE")</f>
        <v xml:space="preserve">          6112 - COMPENSATION INSURANCE</v>
      </c>
      <c r="C54" s="11"/>
      <c r="D54" s="7">
        <v>200.85</v>
      </c>
      <c r="E54" s="2"/>
      <c r="F54" s="6">
        <f t="shared" si="13"/>
        <v>1.3409613795110982E-3</v>
      </c>
      <c r="G54" s="2"/>
      <c r="H54" s="7">
        <v>204.24125799999999</v>
      </c>
      <c r="I54" s="2"/>
      <c r="J54" s="6">
        <f t="shared" si="14"/>
        <v>1.9574776258158501E-3</v>
      </c>
      <c r="K54" s="2"/>
      <c r="L54" s="7">
        <f t="shared" si="15"/>
        <v>-3.3912579999999934</v>
      </c>
      <c r="M54" s="2"/>
      <c r="N54" s="6">
        <f t="shared" si="16"/>
        <v>-1.6604177007174495E-2</v>
      </c>
      <c r="O54" s="11"/>
      <c r="P54" s="7">
        <v>1735.28</v>
      </c>
      <c r="Q54" s="2"/>
      <c r="R54" s="6">
        <f t="shared" si="17"/>
        <v>6.7453313609823983E-4</v>
      </c>
      <c r="S54" s="2"/>
      <c r="T54" s="7">
        <v>2357.0369740000001</v>
      </c>
      <c r="U54" s="2"/>
      <c r="V54" s="6">
        <f t="shared" si="18"/>
        <v>1.0664925136295786E-3</v>
      </c>
      <c r="W54" s="2"/>
      <c r="X54" s="7">
        <f t="shared" si="19"/>
        <v>-621.75697400000013</v>
      </c>
      <c r="Y54" s="2"/>
      <c r="Z54" s="6">
        <f t="shared" si="20"/>
        <v>-0.26378753530745425</v>
      </c>
    </row>
    <row r="55" spans="1:26" s="24" customFormat="1" hidden="1" outlineLevel="2" x14ac:dyDescent="0.25">
      <c r="A55" s="25"/>
      <c r="B55" s="11" t="str">
        <f>CONCATENATE("          ", "6113", " - ", "GROUP INSURANCE")</f>
        <v xml:space="preserve">          6113 - GROUP INSURANCE</v>
      </c>
      <c r="C55" s="11"/>
      <c r="D55" s="7">
        <v>1053.8499999999999</v>
      </c>
      <c r="E55" s="2"/>
      <c r="F55" s="6">
        <f t="shared" si="13"/>
        <v>7.035957927795722E-3</v>
      </c>
      <c r="G55" s="2"/>
      <c r="H55" s="7">
        <v>946.34615384615404</v>
      </c>
      <c r="I55" s="2"/>
      <c r="J55" s="6">
        <f t="shared" si="14"/>
        <v>9.0699178049066416E-3</v>
      </c>
      <c r="K55" s="2"/>
      <c r="L55" s="7">
        <f t="shared" si="15"/>
        <v>107.50384615384587</v>
      </c>
      <c r="M55" s="2"/>
      <c r="N55" s="6">
        <f t="shared" si="16"/>
        <v>0.11359886201991433</v>
      </c>
      <c r="O55" s="11"/>
      <c r="P55" s="7">
        <v>11484.03</v>
      </c>
      <c r="Q55" s="2"/>
      <c r="R55" s="6">
        <f t="shared" si="17"/>
        <v>4.4640396771392912E-3</v>
      </c>
      <c r="S55" s="2"/>
      <c r="T55" s="7">
        <v>11023.6538461538</v>
      </c>
      <c r="U55" s="2"/>
      <c r="V55" s="6">
        <f t="shared" si="18"/>
        <v>4.9878913353723821E-3</v>
      </c>
      <c r="W55" s="2"/>
      <c r="X55" s="7">
        <f t="shared" si="19"/>
        <v>460.3761538462004</v>
      </c>
      <c r="Y55" s="2"/>
      <c r="Z55" s="6">
        <f t="shared" si="20"/>
        <v>4.1762573487086369E-2</v>
      </c>
    </row>
    <row r="56" spans="1:26" s="24" customFormat="1" hidden="1" outlineLevel="2" x14ac:dyDescent="0.25">
      <c r="A56" s="25"/>
      <c r="B56" s="11" t="str">
        <f>CONCATENATE("          ", "6114", " - ", "STATE UNEMPLOYMENT INSURANCE")</f>
        <v xml:space="preserve">          6114 - STATE UNEMPLOYMENT INSURANCE</v>
      </c>
      <c r="C56" s="11"/>
      <c r="D56" s="7">
        <v>28.23</v>
      </c>
      <c r="E56" s="2"/>
      <c r="F56" s="6">
        <f t="shared" si="13"/>
        <v>1.8847567709035748E-4</v>
      </c>
      <c r="G56" s="2"/>
      <c r="H56" s="7">
        <v>28.704176799999999</v>
      </c>
      <c r="I56" s="2"/>
      <c r="J56" s="6">
        <f t="shared" si="14"/>
        <v>2.7510496362817354E-4</v>
      </c>
      <c r="K56" s="2"/>
      <c r="L56" s="7">
        <f t="shared" si="15"/>
        <v>-0.47417679999999862</v>
      </c>
      <c r="M56" s="2"/>
      <c r="N56" s="6">
        <f t="shared" si="16"/>
        <v>-1.6519435596564422E-2</v>
      </c>
      <c r="O56" s="11"/>
      <c r="P56" s="7">
        <v>258.58</v>
      </c>
      <c r="Q56" s="2"/>
      <c r="R56" s="6">
        <f t="shared" si="17"/>
        <v>1.0051448661442698E-4</v>
      </c>
      <c r="S56" s="2"/>
      <c r="T56" s="7">
        <v>331.25925039999998</v>
      </c>
      <c r="U56" s="2"/>
      <c r="V56" s="6">
        <f t="shared" si="18"/>
        <v>1.4988543434794077E-4</v>
      </c>
      <c r="W56" s="2"/>
      <c r="X56" s="7">
        <f t="shared" si="19"/>
        <v>-72.679250400000001</v>
      </c>
      <c r="Y56" s="2"/>
      <c r="Z56" s="6">
        <f t="shared" si="20"/>
        <v>-0.21940293082303008</v>
      </c>
    </row>
    <row r="57" spans="1:26" s="24" customFormat="1" hidden="1" outlineLevel="2" x14ac:dyDescent="0.25">
      <c r="A57" s="25"/>
      <c r="B57" s="11" t="str">
        <f>CONCATENATE("          ", "6115", " - ", "P.E.R.S.")</f>
        <v xml:space="preserve">          6115 - P.E.R.S.</v>
      </c>
      <c r="C57" s="11"/>
      <c r="D57" s="7">
        <v>176.42</v>
      </c>
      <c r="E57" s="2"/>
      <c r="F57" s="6">
        <f t="shared" si="13"/>
        <v>1.1778561442536617E-3</v>
      </c>
      <c r="G57" s="2"/>
      <c r="H57" s="7">
        <v>196.27780000000001</v>
      </c>
      <c r="I57" s="2"/>
      <c r="J57" s="6">
        <f t="shared" si="14"/>
        <v>1.8811546976681779E-3</v>
      </c>
      <c r="K57" s="2"/>
      <c r="L57" s="7">
        <f t="shared" si="15"/>
        <v>-19.857800000000026</v>
      </c>
      <c r="M57" s="2"/>
      <c r="N57" s="6">
        <f t="shared" si="16"/>
        <v>-0.10117191042491827</v>
      </c>
      <c r="O57" s="11"/>
      <c r="P57" s="7">
        <v>2117.04</v>
      </c>
      <c r="Q57" s="2"/>
      <c r="R57" s="6">
        <f t="shared" si="17"/>
        <v>8.2292980409237571E-4</v>
      </c>
      <c r="S57" s="2"/>
      <c r="T57" s="7">
        <v>2355.3335999999999</v>
      </c>
      <c r="U57" s="2"/>
      <c r="V57" s="6">
        <f t="shared" si="18"/>
        <v>1.0657217851094279E-3</v>
      </c>
      <c r="W57" s="2"/>
      <c r="X57" s="7">
        <f t="shared" si="19"/>
        <v>-238.29359999999997</v>
      </c>
      <c r="Y57" s="2"/>
      <c r="Z57" s="6">
        <f t="shared" si="20"/>
        <v>-0.10117191042491815</v>
      </c>
    </row>
    <row r="58" spans="1:26" s="24" customFormat="1" hidden="1" outlineLevel="2" x14ac:dyDescent="0.25">
      <c r="A58" s="25"/>
      <c r="B58" s="11" t="str">
        <f>CONCATENATE("          ", "6116", " - ", "EDUCATIONAL BENEFITS")</f>
        <v xml:space="preserve">          6116 - EDUCATIONAL BENEFITS</v>
      </c>
      <c r="C58" s="11"/>
      <c r="D58" s="7"/>
      <c r="E58" s="2"/>
      <c r="F58" s="6">
        <f t="shared" si="13"/>
        <v>0</v>
      </c>
      <c r="G58" s="2"/>
      <c r="H58" s="7">
        <v>0</v>
      </c>
      <c r="I58" s="2"/>
      <c r="J58" s="6">
        <f t="shared" si="14"/>
        <v>0</v>
      </c>
      <c r="K58" s="2"/>
      <c r="L58" s="7">
        <f t="shared" si="15"/>
        <v>0</v>
      </c>
      <c r="M58" s="2"/>
      <c r="N58" s="6">
        <f t="shared" si="16"/>
        <v>0</v>
      </c>
      <c r="O58" s="11"/>
      <c r="P58" s="7"/>
      <c r="Q58" s="2"/>
      <c r="R58" s="6">
        <f t="shared" si="17"/>
        <v>0</v>
      </c>
      <c r="S58" s="2"/>
      <c r="T58" s="7">
        <v>0</v>
      </c>
      <c r="U58" s="2"/>
      <c r="V58" s="6">
        <f t="shared" si="18"/>
        <v>0</v>
      </c>
      <c r="W58" s="2"/>
      <c r="X58" s="7">
        <f t="shared" si="19"/>
        <v>0</v>
      </c>
      <c r="Y58" s="2"/>
      <c r="Z58" s="6">
        <f t="shared" si="20"/>
        <v>0</v>
      </c>
    </row>
    <row r="59" spans="1:26" s="24" customFormat="1" hidden="1" outlineLevel="2" x14ac:dyDescent="0.25">
      <c r="A59" s="25"/>
      <c r="B59" s="11" t="str">
        <f>CONCATENATE("          ", "6117", " - ", "RETIREMENT STAFF HOURLY")</f>
        <v xml:space="preserve">          6117 - RETIREMENT STAFF HOURLY</v>
      </c>
      <c r="C59" s="11"/>
      <c r="D59" s="7">
        <v>176.79</v>
      </c>
      <c r="E59" s="2"/>
      <c r="F59" s="6">
        <f t="shared" si="13"/>
        <v>1.1803264241163408E-3</v>
      </c>
      <c r="G59" s="2"/>
      <c r="H59" s="7"/>
      <c r="I59" s="2"/>
      <c r="J59" s="6">
        <f t="shared" si="14"/>
        <v>0</v>
      </c>
      <c r="K59" s="2"/>
      <c r="L59" s="7">
        <f t="shared" si="15"/>
        <v>176.79</v>
      </c>
      <c r="M59" s="2"/>
      <c r="N59" s="6">
        <f t="shared" si="16"/>
        <v>0</v>
      </c>
      <c r="O59" s="11"/>
      <c r="P59" s="7">
        <v>2072.73</v>
      </c>
      <c r="Q59" s="2"/>
      <c r="R59" s="6">
        <f t="shared" si="17"/>
        <v>8.0570574615330362E-4</v>
      </c>
      <c r="S59" s="2"/>
      <c r="T59" s="7"/>
      <c r="U59" s="2"/>
      <c r="V59" s="6">
        <f t="shared" si="18"/>
        <v>0</v>
      </c>
      <c r="W59" s="2"/>
      <c r="X59" s="7">
        <f t="shared" si="19"/>
        <v>2072.73</v>
      </c>
      <c r="Y59" s="2"/>
      <c r="Z59" s="6">
        <f t="shared" si="20"/>
        <v>0</v>
      </c>
    </row>
    <row r="60" spans="1:26" s="24" customFormat="1" hidden="1" outlineLevel="2" x14ac:dyDescent="0.25">
      <c r="A60" s="25"/>
      <c r="B60" s="11" t="str">
        <f>CONCATENATE("          ", "6118", " - ", "VACATION")</f>
        <v xml:space="preserve">          6118 - VACATION</v>
      </c>
      <c r="C60" s="11"/>
      <c r="D60" s="7">
        <v>267.04000000000002</v>
      </c>
      <c r="E60" s="2"/>
      <c r="F60" s="6">
        <f t="shared" si="13"/>
        <v>1.7828744176482136E-3</v>
      </c>
      <c r="G60" s="2"/>
      <c r="H60" s="7">
        <v>194.749</v>
      </c>
      <c r="I60" s="2"/>
      <c r="J60" s="6">
        <f t="shared" si="14"/>
        <v>1.866502458332934E-3</v>
      </c>
      <c r="K60" s="2"/>
      <c r="L60" s="7">
        <f t="shared" si="15"/>
        <v>72.291000000000025</v>
      </c>
      <c r="M60" s="2"/>
      <c r="N60" s="6">
        <f t="shared" si="16"/>
        <v>0.37120087908025218</v>
      </c>
      <c r="O60" s="11"/>
      <c r="P60" s="7">
        <v>3158.26</v>
      </c>
      <c r="Q60" s="2"/>
      <c r="R60" s="6">
        <f t="shared" si="17"/>
        <v>1.2276698990443197E-3</v>
      </c>
      <c r="S60" s="2"/>
      <c r="T60" s="7">
        <v>2336.9879999999998</v>
      </c>
      <c r="U60" s="2"/>
      <c r="V60" s="6">
        <f t="shared" si="18"/>
        <v>1.0574209203907726E-3</v>
      </c>
      <c r="W60" s="2"/>
      <c r="X60" s="7">
        <f t="shared" si="19"/>
        <v>821.27200000000039</v>
      </c>
      <c r="Y60" s="2"/>
      <c r="Z60" s="6">
        <f t="shared" si="20"/>
        <v>0.35142328501472853</v>
      </c>
    </row>
    <row r="61" spans="1:26" s="24" customFormat="1" hidden="1" outlineLevel="2" x14ac:dyDescent="0.25">
      <c r="A61" s="25"/>
      <c r="B61" s="11" t="str">
        <f>CONCATENATE("          ", "6119", " - ", "SICK LEAVE")</f>
        <v xml:space="preserve">          6119 - SICK LEAVE</v>
      </c>
      <c r="C61" s="11"/>
      <c r="D61" s="7">
        <v>267.63</v>
      </c>
      <c r="E61" s="2"/>
      <c r="F61" s="6">
        <f t="shared" si="13"/>
        <v>1.7868135125643774E-3</v>
      </c>
      <c r="G61" s="2"/>
      <c r="H61" s="7">
        <v>275.57904000000002</v>
      </c>
      <c r="I61" s="2"/>
      <c r="J61" s="6">
        <f t="shared" si="14"/>
        <v>2.6411892005865499E-3</v>
      </c>
      <c r="K61" s="2"/>
      <c r="L61" s="7">
        <f t="shared" si="15"/>
        <v>-7.949040000000025</v>
      </c>
      <c r="M61" s="2"/>
      <c r="N61" s="6">
        <f t="shared" si="16"/>
        <v>-2.8844864253827231E-2</v>
      </c>
      <c r="O61" s="11"/>
      <c r="P61" s="7">
        <v>3156.26</v>
      </c>
      <c r="Q61" s="2"/>
      <c r="R61" s="6">
        <f t="shared" si="17"/>
        <v>1.2268924646981643E-3</v>
      </c>
      <c r="S61" s="2"/>
      <c r="T61" s="7">
        <v>3154.7461199999998</v>
      </c>
      <c r="U61" s="2"/>
      <c r="V61" s="6">
        <f t="shared" si="18"/>
        <v>1.4274333226399188E-3</v>
      </c>
      <c r="W61" s="2"/>
      <c r="X61" s="7">
        <f t="shared" si="19"/>
        <v>1.5138800000004267</v>
      </c>
      <c r="Y61" s="2"/>
      <c r="Z61" s="6">
        <f t="shared" si="20"/>
        <v>4.7987379726151361E-4</v>
      </c>
    </row>
    <row r="62" spans="1:26" s="24" customFormat="1" hidden="1" outlineLevel="2" x14ac:dyDescent="0.25">
      <c r="A62" s="25"/>
      <c r="B62" s="11" t="str">
        <f>CONCATENATE("          ", "6156", " - ", "EMPLOYEE MEALS")</f>
        <v xml:space="preserve">          6156 - EMPLOYEE MEALS</v>
      </c>
      <c r="C62" s="11"/>
      <c r="D62" s="7">
        <v>216.39</v>
      </c>
      <c r="E62" s="2"/>
      <c r="F62" s="6">
        <f t="shared" si="13"/>
        <v>1.4447131337436221E-3</v>
      </c>
      <c r="G62" s="2"/>
      <c r="H62" s="7">
        <v>175</v>
      </c>
      <c r="I62" s="2"/>
      <c r="J62" s="6">
        <f t="shared" si="14"/>
        <v>1.6772251986313842E-3</v>
      </c>
      <c r="K62" s="2"/>
      <c r="L62" s="7">
        <f t="shared" si="15"/>
        <v>41.389999999999986</v>
      </c>
      <c r="M62" s="2"/>
      <c r="N62" s="6">
        <f t="shared" si="16"/>
        <v>0.23651428571428565</v>
      </c>
      <c r="O62" s="11"/>
      <c r="P62" s="7">
        <v>2569.69</v>
      </c>
      <c r="Q62" s="2"/>
      <c r="R62" s="6">
        <f t="shared" si="17"/>
        <v>9.9888263248598848E-4</v>
      </c>
      <c r="S62" s="2"/>
      <c r="T62" s="7">
        <v>1925</v>
      </c>
      <c r="U62" s="2"/>
      <c r="V62" s="6">
        <f t="shared" si="18"/>
        <v>8.710080119162945E-4</v>
      </c>
      <c r="W62" s="2"/>
      <c r="X62" s="7">
        <f t="shared" si="19"/>
        <v>644.69000000000005</v>
      </c>
      <c r="Y62" s="2"/>
      <c r="Z62" s="6">
        <f t="shared" si="20"/>
        <v>0.33490389610389615</v>
      </c>
    </row>
    <row r="63" spans="1:26" s="27" customFormat="1" outlineLevel="1" collapsed="1" x14ac:dyDescent="0.25">
      <c r="A63" s="26"/>
      <c r="B63" s="13" t="str">
        <f>CONCATENATE("     ","*Payroll                                          ")</f>
        <v xml:space="preserve">     *Payroll                                          </v>
      </c>
      <c r="C63" s="13"/>
      <c r="D63" s="1">
        <f>SUM(OSRRefD22_1x_0)</f>
        <v>7314.24</v>
      </c>
      <c r="E63" s="1"/>
      <c r="F63" s="5">
        <f t="shared" ref="F63:F73" si="21">IF(D$12=0,0,D63/D$12)</f>
        <v>4.8833026440006248E-2</v>
      </c>
      <c r="G63" s="1"/>
      <c r="H63" s="1">
        <f>SUM(OSRRefH22_1x_0)</f>
        <v>10569.739959999999</v>
      </c>
      <c r="I63" s="1"/>
      <c r="J63" s="5">
        <f t="shared" ref="J63:J73" si="22">IF(H$12=0,0,H63/H$12)</f>
        <v>0.10130190973653187</v>
      </c>
      <c r="K63" s="1"/>
      <c r="L63" s="1">
        <f t="shared" ref="L63:L73" si="23">+D63-H63</f>
        <v>-3255.4999599999992</v>
      </c>
      <c r="M63" s="1"/>
      <c r="N63" s="5">
        <f t="shared" ref="N63:N73" si="24">IF(H63=0,0,L63/H63)</f>
        <v>-0.30800189714411852</v>
      </c>
      <c r="O63" s="13"/>
      <c r="P63" s="1">
        <f>SUM(OSRRefP22_1x_0)</f>
        <v>89389.18</v>
      </c>
      <c r="Q63" s="1"/>
      <c r="R63" s="5">
        <f t="shared" ref="R63:R73" si="25">IF(P$12=0,0,P63/P$12)</f>
        <v>3.4747109353332056E-2</v>
      </c>
      <c r="S63" s="1"/>
      <c r="T63" s="1">
        <f>SUM(OSRRefT22_1x_0)</f>
        <v>121915.66988</v>
      </c>
      <c r="U63" s="1"/>
      <c r="V63" s="5">
        <f t="shared" ref="V63:V73" si="26">IF(T$12=0,0,T63/T$12)</f>
        <v>5.5163389736946532E-2</v>
      </c>
      <c r="W63" s="1"/>
      <c r="X63" s="1">
        <f t="shared" ref="X63:X73" si="27">+P63-T63</f>
        <v>-32526.489880000008</v>
      </c>
      <c r="Y63" s="1"/>
      <c r="Z63" s="5">
        <f t="shared" ref="Z63:Z73" si="28">IF(T63=0,0,X63/T63)</f>
        <v>-0.26679498961877013</v>
      </c>
    </row>
    <row r="64" spans="1:26" s="24" customFormat="1" hidden="1" outlineLevel="2" x14ac:dyDescent="0.25">
      <c r="A64" s="25"/>
      <c r="B64" s="11" t="str">
        <f>CONCATENATE("          ", "6001", " - ", "ADMINISTRATIVE SALARIES")</f>
        <v xml:space="preserve">          6001 - ADMINISTRATIVE SALARIES</v>
      </c>
      <c r="C64" s="11"/>
      <c r="D64" s="7"/>
      <c r="E64" s="2"/>
      <c r="F64" s="6">
        <f t="shared" si="21"/>
        <v>0</v>
      </c>
      <c r="G64" s="2"/>
      <c r="H64" s="7">
        <v>0</v>
      </c>
      <c r="I64" s="2"/>
      <c r="J64" s="6">
        <f t="shared" si="22"/>
        <v>0</v>
      </c>
      <c r="K64" s="2"/>
      <c r="L64" s="7">
        <f t="shared" si="23"/>
        <v>0</v>
      </c>
      <c r="M64" s="2"/>
      <c r="N64" s="6">
        <f t="shared" si="24"/>
        <v>0</v>
      </c>
      <c r="O64" s="11"/>
      <c r="P64" s="7"/>
      <c r="Q64" s="2"/>
      <c r="R64" s="6">
        <f t="shared" si="25"/>
        <v>0</v>
      </c>
      <c r="S64" s="2"/>
      <c r="T64" s="7">
        <v>0</v>
      </c>
      <c r="U64" s="2"/>
      <c r="V64" s="6">
        <f t="shared" si="26"/>
        <v>0</v>
      </c>
      <c r="W64" s="2"/>
      <c r="X64" s="7">
        <f t="shared" si="27"/>
        <v>0</v>
      </c>
      <c r="Y64" s="2"/>
      <c r="Z64" s="6">
        <f t="shared" si="28"/>
        <v>0</v>
      </c>
    </row>
    <row r="65" spans="1:26" s="24" customFormat="1" hidden="1" outlineLevel="2" x14ac:dyDescent="0.25">
      <c r="A65" s="25"/>
      <c r="B65" s="11" t="str">
        <f>CONCATENATE("          ", "6002", " - ", "STAFF SALARIES")</f>
        <v xml:space="preserve">          6002 - STAFF SALARIES</v>
      </c>
      <c r="C65" s="11"/>
      <c r="D65" s="7">
        <v>2282.3000000000002</v>
      </c>
      <c r="E65" s="2"/>
      <c r="F65" s="6">
        <f t="shared" si="21"/>
        <v>1.523762089349355E-2</v>
      </c>
      <c r="G65" s="2"/>
      <c r="H65" s="7">
        <v>2168.1849999999999</v>
      </c>
      <c r="I65" s="2"/>
      <c r="J65" s="6">
        <f t="shared" si="22"/>
        <v>2.0780197241683358E-2</v>
      </c>
      <c r="K65" s="2"/>
      <c r="L65" s="7">
        <f t="shared" si="23"/>
        <v>114.11500000000024</v>
      </c>
      <c r="M65" s="2"/>
      <c r="N65" s="6">
        <f t="shared" si="24"/>
        <v>5.2631578947368529E-2</v>
      </c>
      <c r="O65" s="11"/>
      <c r="P65" s="7">
        <v>25558.54</v>
      </c>
      <c r="Q65" s="2"/>
      <c r="R65" s="6">
        <f t="shared" si="25"/>
        <v>9.9350434167928565E-3</v>
      </c>
      <c r="S65" s="2"/>
      <c r="T65" s="7">
        <v>26018.22</v>
      </c>
      <c r="U65" s="2"/>
      <c r="V65" s="6">
        <f t="shared" si="26"/>
        <v>1.1772508091325077E-2</v>
      </c>
      <c r="W65" s="2"/>
      <c r="X65" s="7">
        <f t="shared" si="27"/>
        <v>-459.68000000000029</v>
      </c>
      <c r="Y65" s="2"/>
      <c r="Z65" s="6">
        <f t="shared" si="28"/>
        <v>-1.7667619076170479E-2</v>
      </c>
    </row>
    <row r="66" spans="1:26" s="24" customFormat="1" hidden="1" outlineLevel="2" x14ac:dyDescent="0.25">
      <c r="A66" s="25"/>
      <c r="B66" s="11" t="str">
        <f>CONCATENATE("          ", "6003", " - ", "STAFF HOURLY-9 MONTH")</f>
        <v xml:space="preserve">          6003 - STAFF HOURLY-9 MONTH</v>
      </c>
      <c r="C66" s="11"/>
      <c r="D66" s="7"/>
      <c r="E66" s="2"/>
      <c r="F66" s="6">
        <f t="shared" si="21"/>
        <v>0</v>
      </c>
      <c r="G66" s="2"/>
      <c r="H66" s="7">
        <v>0</v>
      </c>
      <c r="I66" s="2"/>
      <c r="J66" s="6">
        <f t="shared" si="22"/>
        <v>0</v>
      </c>
      <c r="K66" s="2"/>
      <c r="L66" s="7">
        <f t="shared" si="23"/>
        <v>0</v>
      </c>
      <c r="M66" s="2"/>
      <c r="N66" s="6">
        <f t="shared" si="24"/>
        <v>0</v>
      </c>
      <c r="O66" s="11"/>
      <c r="P66" s="7"/>
      <c r="Q66" s="2"/>
      <c r="R66" s="6">
        <f t="shared" si="25"/>
        <v>0</v>
      </c>
      <c r="S66" s="2"/>
      <c r="T66" s="7">
        <v>0</v>
      </c>
      <c r="U66" s="2"/>
      <c r="V66" s="6">
        <f t="shared" si="26"/>
        <v>0</v>
      </c>
      <c r="W66" s="2"/>
      <c r="X66" s="7">
        <f t="shared" si="27"/>
        <v>0</v>
      </c>
      <c r="Y66" s="2"/>
      <c r="Z66" s="6">
        <f t="shared" si="28"/>
        <v>0</v>
      </c>
    </row>
    <row r="67" spans="1:26" s="24" customFormat="1" hidden="1" outlineLevel="2" x14ac:dyDescent="0.25">
      <c r="A67" s="25"/>
      <c r="B67" s="11" t="str">
        <f>CONCATENATE("          ", "6004", " - ", "STAFF HOURLY")</f>
        <v xml:space="preserve">          6004 - STAFF HOURLY</v>
      </c>
      <c r="C67" s="11"/>
      <c r="D67" s="7">
        <v>3224.54</v>
      </c>
      <c r="E67" s="2"/>
      <c r="F67" s="6">
        <f t="shared" si="21"/>
        <v>2.1528422238928136E-2</v>
      </c>
      <c r="G67" s="2"/>
      <c r="H67" s="7">
        <v>3088.12</v>
      </c>
      <c r="I67" s="2"/>
      <c r="J67" s="6">
        <f t="shared" si="22"/>
        <v>2.9596986745128857E-2</v>
      </c>
      <c r="K67" s="2"/>
      <c r="L67" s="7">
        <f t="shared" si="23"/>
        <v>136.42000000000007</v>
      </c>
      <c r="M67" s="2"/>
      <c r="N67" s="6">
        <f t="shared" si="24"/>
        <v>4.4175744465888657E-2</v>
      </c>
      <c r="O67" s="11"/>
      <c r="P67" s="7">
        <v>39735.199999999997</v>
      </c>
      <c r="Q67" s="2"/>
      <c r="R67" s="6">
        <f t="shared" si="25"/>
        <v>1.5445754615676304E-2</v>
      </c>
      <c r="S67" s="2"/>
      <c r="T67" s="7">
        <v>37057.440000000002</v>
      </c>
      <c r="U67" s="2"/>
      <c r="V67" s="6">
        <f t="shared" si="26"/>
        <v>1.6767442670705127E-2</v>
      </c>
      <c r="W67" s="2"/>
      <c r="X67" s="7">
        <f t="shared" si="27"/>
        <v>2677.7599999999948</v>
      </c>
      <c r="Y67" s="2"/>
      <c r="Z67" s="6">
        <f t="shared" si="28"/>
        <v>7.225971356898897E-2</v>
      </c>
    </row>
    <row r="68" spans="1:26" s="24" customFormat="1" hidden="1" outlineLevel="2" x14ac:dyDescent="0.25">
      <c r="A68" s="25"/>
      <c r="B68" s="11" t="str">
        <f>CONCATENATE("          ", "6005", " - ", "TEMPORARY WAGES-HOURLY")</f>
        <v xml:space="preserve">          6005 - TEMPORARY WAGES-HOURLY</v>
      </c>
      <c r="C68" s="11"/>
      <c r="D68" s="7"/>
      <c r="E68" s="2"/>
      <c r="F68" s="6">
        <f t="shared" si="21"/>
        <v>0</v>
      </c>
      <c r="G68" s="2"/>
      <c r="H68" s="7">
        <v>0</v>
      </c>
      <c r="I68" s="2"/>
      <c r="J68" s="6">
        <f t="shared" si="22"/>
        <v>0</v>
      </c>
      <c r="K68" s="2"/>
      <c r="L68" s="7">
        <f t="shared" si="23"/>
        <v>0</v>
      </c>
      <c r="M68" s="2"/>
      <c r="N68" s="6">
        <f t="shared" si="24"/>
        <v>0</v>
      </c>
      <c r="O68" s="11"/>
      <c r="P68" s="7"/>
      <c r="Q68" s="2"/>
      <c r="R68" s="6">
        <f t="shared" si="25"/>
        <v>0</v>
      </c>
      <c r="S68" s="2"/>
      <c r="T68" s="7">
        <v>0</v>
      </c>
      <c r="U68" s="2"/>
      <c r="V68" s="6">
        <f t="shared" si="26"/>
        <v>0</v>
      </c>
      <c r="W68" s="2"/>
      <c r="X68" s="7">
        <f t="shared" si="27"/>
        <v>0</v>
      </c>
      <c r="Y68" s="2"/>
      <c r="Z68" s="6">
        <f t="shared" si="28"/>
        <v>0</v>
      </c>
    </row>
    <row r="69" spans="1:26" s="24" customFormat="1" hidden="1" outlineLevel="2" x14ac:dyDescent="0.25">
      <c r="A69" s="25"/>
      <c r="B69" s="11" t="str">
        <f>CONCATENATE("          ", "6006", " - ", "TEMPORARY PART TIME")</f>
        <v xml:space="preserve">          6006 - TEMPORARY PART TIME</v>
      </c>
      <c r="C69" s="11"/>
      <c r="D69" s="7"/>
      <c r="E69" s="2"/>
      <c r="F69" s="6">
        <f t="shared" si="21"/>
        <v>0</v>
      </c>
      <c r="G69" s="2"/>
      <c r="H69" s="7">
        <v>0</v>
      </c>
      <c r="I69" s="2"/>
      <c r="J69" s="6">
        <f t="shared" si="22"/>
        <v>0</v>
      </c>
      <c r="K69" s="2"/>
      <c r="L69" s="7">
        <f t="shared" si="23"/>
        <v>0</v>
      </c>
      <c r="M69" s="2"/>
      <c r="N69" s="6">
        <f t="shared" si="24"/>
        <v>0</v>
      </c>
      <c r="O69" s="11"/>
      <c r="P69" s="7"/>
      <c r="Q69" s="2"/>
      <c r="R69" s="6">
        <f t="shared" si="25"/>
        <v>0</v>
      </c>
      <c r="S69" s="2"/>
      <c r="T69" s="7">
        <v>0</v>
      </c>
      <c r="U69" s="2"/>
      <c r="V69" s="6">
        <f t="shared" si="26"/>
        <v>0</v>
      </c>
      <c r="W69" s="2"/>
      <c r="X69" s="7">
        <f t="shared" si="27"/>
        <v>0</v>
      </c>
      <c r="Y69" s="2"/>
      <c r="Z69" s="6">
        <f t="shared" si="28"/>
        <v>0</v>
      </c>
    </row>
    <row r="70" spans="1:26" s="24" customFormat="1" hidden="1" outlineLevel="2" x14ac:dyDescent="0.25">
      <c r="A70" s="25"/>
      <c r="B70" s="11" t="str">
        <f>CONCATENATE("          ", "6007", " - ", "STUDENT HOURLY")</f>
        <v xml:space="preserve">          6007 - STUDENT HOURLY</v>
      </c>
      <c r="C70" s="11"/>
      <c r="D70" s="7">
        <v>1807.4</v>
      </c>
      <c r="E70" s="2"/>
      <c r="F70" s="6">
        <f t="shared" si="21"/>
        <v>1.206698330758456E-2</v>
      </c>
      <c r="G70" s="2"/>
      <c r="H70" s="7">
        <v>0</v>
      </c>
      <c r="I70" s="2"/>
      <c r="J70" s="6">
        <f t="shared" si="22"/>
        <v>0</v>
      </c>
      <c r="K70" s="2"/>
      <c r="L70" s="7">
        <f t="shared" si="23"/>
        <v>1807.4</v>
      </c>
      <c r="M70" s="2"/>
      <c r="N70" s="6">
        <f t="shared" si="24"/>
        <v>0</v>
      </c>
      <c r="O70" s="11"/>
      <c r="P70" s="7">
        <v>24095.439999999999</v>
      </c>
      <c r="Q70" s="2"/>
      <c r="R70" s="6">
        <f t="shared" si="25"/>
        <v>9.3663113208628992E-3</v>
      </c>
      <c r="S70" s="2"/>
      <c r="T70" s="7">
        <v>5416.48</v>
      </c>
      <c r="U70" s="2"/>
      <c r="V70" s="6">
        <f t="shared" si="26"/>
        <v>2.4508038838360366E-3</v>
      </c>
      <c r="W70" s="2"/>
      <c r="X70" s="7">
        <f t="shared" si="27"/>
        <v>18678.96</v>
      </c>
      <c r="Y70" s="2"/>
      <c r="Z70" s="6">
        <f t="shared" si="28"/>
        <v>3.4485422266859658</v>
      </c>
    </row>
    <row r="71" spans="1:26" s="24" customFormat="1" hidden="1" outlineLevel="2" x14ac:dyDescent="0.25">
      <c r="A71" s="25"/>
      <c r="B71" s="11" t="str">
        <f>CONCATENATE("          ", "6008", " - ", "STUDENT HOURLY-FICA EXEMPT")</f>
        <v xml:space="preserve">          6008 - STUDENT HOURLY-FICA EXEMPT</v>
      </c>
      <c r="C71" s="11"/>
      <c r="D71" s="7"/>
      <c r="E71" s="2"/>
      <c r="F71" s="6">
        <f t="shared" si="21"/>
        <v>0</v>
      </c>
      <c r="G71" s="2"/>
      <c r="H71" s="7">
        <v>5313.4349599999996</v>
      </c>
      <c r="I71" s="2"/>
      <c r="J71" s="6">
        <f t="shared" si="22"/>
        <v>5.0924725749719658E-2</v>
      </c>
      <c r="K71" s="2"/>
      <c r="L71" s="7">
        <f t="shared" si="23"/>
        <v>-5313.4349599999996</v>
      </c>
      <c r="M71" s="2"/>
      <c r="N71" s="6">
        <f t="shared" si="24"/>
        <v>-1</v>
      </c>
      <c r="O71" s="11"/>
      <c r="P71" s="7"/>
      <c r="Q71" s="2"/>
      <c r="R71" s="6">
        <f t="shared" si="25"/>
        <v>0</v>
      </c>
      <c r="S71" s="2"/>
      <c r="T71" s="7">
        <v>53423.529880000002</v>
      </c>
      <c r="U71" s="2"/>
      <c r="V71" s="6">
        <f t="shared" si="26"/>
        <v>2.417263509108029E-2</v>
      </c>
      <c r="W71" s="2"/>
      <c r="X71" s="7">
        <f t="shared" si="27"/>
        <v>-53423.529880000002</v>
      </c>
      <c r="Y71" s="2"/>
      <c r="Z71" s="6">
        <f t="shared" si="28"/>
        <v>-1</v>
      </c>
    </row>
    <row r="72" spans="1:26" s="24" customFormat="1" hidden="1" outlineLevel="2" x14ac:dyDescent="0.25">
      <c r="A72" s="25"/>
      <c r="B72" s="11" t="str">
        <f>CONCATENATE("          ", "6009", " - ", "TEMPORARY-SEASONAL")</f>
        <v xml:space="preserve">          6009 - TEMPORARY-SEASONAL</v>
      </c>
      <c r="C72" s="11"/>
      <c r="D72" s="7"/>
      <c r="E72" s="2"/>
      <c r="F72" s="6">
        <f t="shared" si="21"/>
        <v>0</v>
      </c>
      <c r="G72" s="2"/>
      <c r="H72" s="7">
        <v>0</v>
      </c>
      <c r="I72" s="2"/>
      <c r="J72" s="6">
        <f t="shared" si="22"/>
        <v>0</v>
      </c>
      <c r="K72" s="2"/>
      <c r="L72" s="7">
        <f t="shared" si="23"/>
        <v>0</v>
      </c>
      <c r="M72" s="2"/>
      <c r="N72" s="6">
        <f t="shared" si="24"/>
        <v>0</v>
      </c>
      <c r="O72" s="11"/>
      <c r="P72" s="7"/>
      <c r="Q72" s="2"/>
      <c r="R72" s="6">
        <f t="shared" si="25"/>
        <v>0</v>
      </c>
      <c r="S72" s="2"/>
      <c r="T72" s="7">
        <v>0</v>
      </c>
      <c r="U72" s="2"/>
      <c r="V72" s="6">
        <f t="shared" si="26"/>
        <v>0</v>
      </c>
      <c r="W72" s="2"/>
      <c r="X72" s="7">
        <f t="shared" si="27"/>
        <v>0</v>
      </c>
      <c r="Y72" s="2"/>
      <c r="Z72" s="6">
        <f t="shared" si="28"/>
        <v>0</v>
      </c>
    </row>
    <row r="73" spans="1:26" s="24" customFormat="1" hidden="1" outlineLevel="2" x14ac:dyDescent="0.25">
      <c r="A73" s="25"/>
      <c r="B73" s="11" t="str">
        <f>CONCATENATE("          ", "6010", " - ", "GRATUITY")</f>
        <v xml:space="preserve">          6010 - GRATUITY</v>
      </c>
      <c r="C73" s="11"/>
      <c r="D73" s="7"/>
      <c r="E73" s="2"/>
      <c r="F73" s="6">
        <f t="shared" si="21"/>
        <v>0</v>
      </c>
      <c r="G73" s="2"/>
      <c r="H73" s="7">
        <v>0</v>
      </c>
      <c r="I73" s="2"/>
      <c r="J73" s="6">
        <f t="shared" si="22"/>
        <v>0</v>
      </c>
      <c r="K73" s="2"/>
      <c r="L73" s="7">
        <f t="shared" si="23"/>
        <v>0</v>
      </c>
      <c r="M73" s="2"/>
      <c r="N73" s="6">
        <f t="shared" si="24"/>
        <v>0</v>
      </c>
      <c r="O73" s="11"/>
      <c r="P73" s="7"/>
      <c r="Q73" s="2"/>
      <c r="R73" s="6">
        <f t="shared" si="25"/>
        <v>0</v>
      </c>
      <c r="S73" s="2"/>
      <c r="T73" s="7">
        <v>0</v>
      </c>
      <c r="U73" s="2"/>
      <c r="V73" s="6">
        <f t="shared" si="26"/>
        <v>0</v>
      </c>
      <c r="W73" s="2"/>
      <c r="X73" s="7">
        <f t="shared" si="27"/>
        <v>0</v>
      </c>
      <c r="Y73" s="2"/>
      <c r="Z73" s="6">
        <f t="shared" si="28"/>
        <v>0</v>
      </c>
    </row>
    <row r="74" spans="1:26" s="27" customFormat="1" outlineLevel="1" collapsed="1" x14ac:dyDescent="0.25">
      <c r="A74" s="26"/>
      <c r="B74" s="13" t="str">
        <f>CONCATENATE("     ","Advertising/Promo                                 ")</f>
        <v xml:space="preserve">     Advertising/Promo                                 </v>
      </c>
      <c r="C74" s="13"/>
      <c r="D74" s="1">
        <f>SUM(OSRRefD22_2x_0)</f>
        <v>67.239999999999995</v>
      </c>
      <c r="E74" s="1"/>
      <c r="F74" s="5">
        <f t="shared" ref="F74:F84" si="29">IF(D$12=0,0,D74/D$12)</f>
        <v>4.4892329180147491E-4</v>
      </c>
      <c r="G74" s="1"/>
      <c r="H74" s="1">
        <f>SUM(OSRRefH22_2x_0)</f>
        <v>200</v>
      </c>
      <c r="I74" s="1"/>
      <c r="J74" s="5">
        <f t="shared" ref="J74:J84" si="30">IF(H$12=0,0,H74/H$12)</f>
        <v>1.9168287984358677E-3</v>
      </c>
      <c r="K74" s="1"/>
      <c r="L74" s="1">
        <f t="shared" ref="L74:L84" si="31">+D74-H74</f>
        <v>-132.76</v>
      </c>
      <c r="M74" s="1"/>
      <c r="N74" s="5">
        <f t="shared" ref="N74:N84" si="32">IF(H74=0,0,L74/H74)</f>
        <v>-0.66379999999999995</v>
      </c>
      <c r="O74" s="13"/>
      <c r="P74" s="1">
        <f>SUM(OSRRefP22_2x_0)</f>
        <v>692.63</v>
      </c>
      <c r="Q74" s="1"/>
      <c r="R74" s="5">
        <f t="shared" ref="R74:R84" si="33">IF(P$12=0,0,P74/P$12)</f>
        <v>2.6923717558879483E-4</v>
      </c>
      <c r="S74" s="1"/>
      <c r="T74" s="1">
        <f>SUM(OSRRefT22_2x_0)</f>
        <v>2200</v>
      </c>
      <c r="U74" s="1"/>
      <c r="V74" s="5">
        <f t="shared" ref="V74:V84" si="34">IF(T$12=0,0,T74/T$12)</f>
        <v>9.9543772790433669E-4</v>
      </c>
      <c r="W74" s="1"/>
      <c r="X74" s="1">
        <f t="shared" ref="X74:X84" si="35">+P74-T74</f>
        <v>-1507.37</v>
      </c>
      <c r="Y74" s="1"/>
      <c r="Z74" s="5">
        <f t="shared" ref="Z74:Z84" si="36">IF(T74=0,0,X74/T74)</f>
        <v>-0.68516818181818173</v>
      </c>
    </row>
    <row r="75" spans="1:26" s="24" customFormat="1" hidden="1" outlineLevel="2" x14ac:dyDescent="0.25">
      <c r="A75" s="25"/>
      <c r="B75" s="11" t="str">
        <f>CONCATENATE("          ", "6362", " - ", "ADVERTISING EXPENSE")</f>
        <v xml:space="preserve">          6362 - ADVERTISING EXPENSE</v>
      </c>
      <c r="C75" s="11"/>
      <c r="D75" s="7">
        <v>67.239999999999995</v>
      </c>
      <c r="E75" s="2"/>
      <c r="F75" s="6">
        <f t="shared" si="29"/>
        <v>4.4892329180147491E-4</v>
      </c>
      <c r="G75" s="2"/>
      <c r="H75" s="7">
        <v>200</v>
      </c>
      <c r="I75" s="2"/>
      <c r="J75" s="6">
        <f t="shared" si="30"/>
        <v>1.9168287984358677E-3</v>
      </c>
      <c r="K75" s="2"/>
      <c r="L75" s="7">
        <f t="shared" si="31"/>
        <v>-132.76</v>
      </c>
      <c r="M75" s="2"/>
      <c r="N75" s="6">
        <f t="shared" si="32"/>
        <v>-0.66379999999999995</v>
      </c>
      <c r="O75" s="11"/>
      <c r="P75" s="7">
        <v>692.63</v>
      </c>
      <c r="Q75" s="2"/>
      <c r="R75" s="6">
        <f t="shared" si="33"/>
        <v>2.6923717558879483E-4</v>
      </c>
      <c r="S75" s="2"/>
      <c r="T75" s="7">
        <v>2200</v>
      </c>
      <c r="U75" s="2"/>
      <c r="V75" s="6">
        <f t="shared" si="34"/>
        <v>9.9543772790433669E-4</v>
      </c>
      <c r="W75" s="2"/>
      <c r="X75" s="7">
        <f t="shared" si="35"/>
        <v>-1507.37</v>
      </c>
      <c r="Y75" s="2"/>
      <c r="Z75" s="6">
        <f t="shared" si="36"/>
        <v>-0.68516818181818173</v>
      </c>
    </row>
    <row r="76" spans="1:26" s="27" customFormat="1" outlineLevel="1" collapsed="1" x14ac:dyDescent="0.25">
      <c r="A76" s="26"/>
      <c r="B76" s="13" t="str">
        <f>CONCATENATE("     ","Depreciation                                      ")</f>
        <v xml:space="preserve">     Depreciation                                      </v>
      </c>
      <c r="C76" s="13"/>
      <c r="D76" s="1">
        <f>SUM(OSRRefD22_3x_0)</f>
        <v>280.44</v>
      </c>
      <c r="E76" s="1"/>
      <c r="F76" s="5">
        <f t="shared" si="29"/>
        <v>1.8723386072695661E-3</v>
      </c>
      <c r="G76" s="1"/>
      <c r="H76" s="1">
        <f>SUM(OSRRefH22_3x_0)</f>
        <v>300</v>
      </c>
      <c r="I76" s="1"/>
      <c r="J76" s="5">
        <f t="shared" si="30"/>
        <v>2.8752431976538017E-3</v>
      </c>
      <c r="K76" s="1"/>
      <c r="L76" s="1">
        <f t="shared" si="31"/>
        <v>-19.560000000000002</v>
      </c>
      <c r="M76" s="1"/>
      <c r="N76" s="5">
        <f t="shared" si="32"/>
        <v>-6.5200000000000008E-2</v>
      </c>
      <c r="O76" s="13"/>
      <c r="P76" s="1">
        <f>SUM(OSRRefP22_3x_0)</f>
        <v>3084.84</v>
      </c>
      <c r="Q76" s="1"/>
      <c r="R76" s="5">
        <f t="shared" si="33"/>
        <v>1.1991302841969562E-3</v>
      </c>
      <c r="S76" s="1"/>
      <c r="T76" s="1">
        <f>SUM(OSRRefT22_3x_0)</f>
        <v>3300</v>
      </c>
      <c r="U76" s="1"/>
      <c r="V76" s="5">
        <f t="shared" si="34"/>
        <v>1.493156591856505E-3</v>
      </c>
      <c r="W76" s="1"/>
      <c r="X76" s="1">
        <f t="shared" si="35"/>
        <v>-215.15999999999985</v>
      </c>
      <c r="Y76" s="1"/>
      <c r="Z76" s="5">
        <f t="shared" si="36"/>
        <v>-6.5199999999999952E-2</v>
      </c>
    </row>
    <row r="77" spans="1:26" s="24" customFormat="1" hidden="1" outlineLevel="2" x14ac:dyDescent="0.25">
      <c r="A77" s="25"/>
      <c r="B77" s="11" t="str">
        <f>CONCATENATE("          ", "6322", " - ", "EQUIPMENT DEPRECIATION EXPENSE")</f>
        <v xml:space="preserve">          6322 - EQUIPMENT DEPRECIATION EXPENSE</v>
      </c>
      <c r="C77" s="11"/>
      <c r="D77" s="7">
        <v>280.44</v>
      </c>
      <c r="E77" s="2"/>
      <c r="F77" s="6">
        <f t="shared" si="29"/>
        <v>1.8723386072695661E-3</v>
      </c>
      <c r="G77" s="2"/>
      <c r="H77" s="7">
        <v>300</v>
      </c>
      <c r="I77" s="2"/>
      <c r="J77" s="6">
        <f t="shared" si="30"/>
        <v>2.8752431976538017E-3</v>
      </c>
      <c r="K77" s="2"/>
      <c r="L77" s="7">
        <f t="shared" si="31"/>
        <v>-19.560000000000002</v>
      </c>
      <c r="M77" s="2"/>
      <c r="N77" s="6">
        <f t="shared" si="32"/>
        <v>-6.5200000000000008E-2</v>
      </c>
      <c r="O77" s="11"/>
      <c r="P77" s="7">
        <v>3084.84</v>
      </c>
      <c r="Q77" s="2"/>
      <c r="R77" s="6">
        <f t="shared" si="33"/>
        <v>1.1991302841969562E-3</v>
      </c>
      <c r="S77" s="2"/>
      <c r="T77" s="7">
        <v>3300</v>
      </c>
      <c r="U77" s="2"/>
      <c r="V77" s="6">
        <f t="shared" si="34"/>
        <v>1.493156591856505E-3</v>
      </c>
      <c r="W77" s="2"/>
      <c r="X77" s="7">
        <f t="shared" si="35"/>
        <v>-215.15999999999985</v>
      </c>
      <c r="Y77" s="2"/>
      <c r="Z77" s="6">
        <f t="shared" si="36"/>
        <v>-6.5199999999999952E-2</v>
      </c>
    </row>
    <row r="78" spans="1:26" s="27" customFormat="1" outlineLevel="1" collapsed="1" x14ac:dyDescent="0.25">
      <c r="A78" s="26"/>
      <c r="B78" s="13" t="str">
        <f>CONCATENATE("     ","Discounts and Markdowns                           ")</f>
        <v xml:space="preserve">     Discounts and Markdowns                           </v>
      </c>
      <c r="C78" s="13"/>
      <c r="D78" s="1">
        <f>SUM(OSRRefD22_4x_0)</f>
        <v>0</v>
      </c>
      <c r="E78" s="1"/>
      <c r="F78" s="5">
        <f t="shared" si="29"/>
        <v>0</v>
      </c>
      <c r="G78" s="1"/>
      <c r="H78" s="1">
        <f>SUM(OSRRefH22_4x_0)</f>
        <v>1659</v>
      </c>
      <c r="I78" s="1"/>
      <c r="J78" s="5">
        <f t="shared" si="30"/>
        <v>1.5900094883025524E-2</v>
      </c>
      <c r="K78" s="1"/>
      <c r="L78" s="1">
        <f t="shared" si="31"/>
        <v>-1659</v>
      </c>
      <c r="M78" s="1"/>
      <c r="N78" s="5">
        <f t="shared" si="32"/>
        <v>-1</v>
      </c>
      <c r="O78" s="13"/>
      <c r="P78" s="1">
        <f>SUM(OSRRefP22_4x_0)</f>
        <v>0</v>
      </c>
      <c r="Q78" s="1"/>
      <c r="R78" s="5">
        <f t="shared" si="33"/>
        <v>0</v>
      </c>
      <c r="S78" s="1"/>
      <c r="T78" s="1">
        <f>SUM(OSRRefT22_4x_0)</f>
        <v>35151</v>
      </c>
      <c r="U78" s="1"/>
      <c r="V78" s="5">
        <f t="shared" si="34"/>
        <v>1.590483253343879E-2</v>
      </c>
      <c r="W78" s="1"/>
      <c r="X78" s="1">
        <f t="shared" si="35"/>
        <v>-35151</v>
      </c>
      <c r="Y78" s="1"/>
      <c r="Z78" s="5">
        <f t="shared" si="36"/>
        <v>-1</v>
      </c>
    </row>
    <row r="79" spans="1:26" s="24" customFormat="1" hidden="1" outlineLevel="2" x14ac:dyDescent="0.25">
      <c r="A79" s="25"/>
      <c r="B79" s="11" t="str">
        <f>CONCATENATE("          ", "6382", " - ", "DISCOUNTS/MARK DOWNS")</f>
        <v xml:space="preserve">          6382 - DISCOUNTS/MARK DOWNS</v>
      </c>
      <c r="C79" s="11"/>
      <c r="D79" s="7">
        <v>0</v>
      </c>
      <c r="E79" s="2"/>
      <c r="F79" s="6">
        <f t="shared" si="29"/>
        <v>0</v>
      </c>
      <c r="G79" s="2"/>
      <c r="H79" s="7">
        <v>1659</v>
      </c>
      <c r="I79" s="2"/>
      <c r="J79" s="6">
        <f t="shared" si="30"/>
        <v>1.5900094883025524E-2</v>
      </c>
      <c r="K79" s="2"/>
      <c r="L79" s="7">
        <f t="shared" si="31"/>
        <v>-1659</v>
      </c>
      <c r="M79" s="2"/>
      <c r="N79" s="6">
        <f t="shared" si="32"/>
        <v>-1</v>
      </c>
      <c r="O79" s="11"/>
      <c r="P79" s="7">
        <v>0</v>
      </c>
      <c r="Q79" s="2"/>
      <c r="R79" s="6">
        <f t="shared" si="33"/>
        <v>0</v>
      </c>
      <c r="S79" s="2"/>
      <c r="T79" s="7">
        <v>35151</v>
      </c>
      <c r="U79" s="2"/>
      <c r="V79" s="6">
        <f t="shared" si="34"/>
        <v>1.590483253343879E-2</v>
      </c>
      <c r="W79" s="2"/>
      <c r="X79" s="7">
        <f t="shared" si="35"/>
        <v>-35151</v>
      </c>
      <c r="Y79" s="2"/>
      <c r="Z79" s="6">
        <f t="shared" si="36"/>
        <v>-1</v>
      </c>
    </row>
    <row r="80" spans="1:26" s="27" customFormat="1" outlineLevel="1" collapsed="1" x14ac:dyDescent="0.25">
      <c r="A80" s="26"/>
      <c r="B80" s="13" t="str">
        <f>CONCATENATE("     ","Employees' Appreciation                           ")</f>
        <v xml:space="preserve">     Employees' Appreciation                           </v>
      </c>
      <c r="C80" s="13"/>
      <c r="D80" s="1">
        <f>SUM(OSRRefD22_5x_0)</f>
        <v>0</v>
      </c>
      <c r="E80" s="1"/>
      <c r="F80" s="5">
        <f t="shared" si="29"/>
        <v>0</v>
      </c>
      <c r="G80" s="1"/>
      <c r="H80" s="1">
        <f>SUM(OSRRefH22_5x_0)</f>
        <v>20</v>
      </c>
      <c r="I80" s="1"/>
      <c r="J80" s="5">
        <f t="shared" si="30"/>
        <v>1.9168287984358678E-4</v>
      </c>
      <c r="K80" s="1"/>
      <c r="L80" s="1">
        <f t="shared" si="31"/>
        <v>-20</v>
      </c>
      <c r="M80" s="1"/>
      <c r="N80" s="5">
        <f t="shared" si="32"/>
        <v>-1</v>
      </c>
      <c r="O80" s="13"/>
      <c r="P80" s="1">
        <f>SUM(OSRRefP22_5x_0)</f>
        <v>0</v>
      </c>
      <c r="Q80" s="1"/>
      <c r="R80" s="5">
        <f t="shared" si="33"/>
        <v>0</v>
      </c>
      <c r="S80" s="1"/>
      <c r="T80" s="1">
        <f>SUM(OSRRefT22_5x_0)</f>
        <v>220</v>
      </c>
      <c r="U80" s="1"/>
      <c r="V80" s="5">
        <f t="shared" si="34"/>
        <v>9.9543772790433661E-5</v>
      </c>
      <c r="W80" s="1"/>
      <c r="X80" s="1">
        <f t="shared" si="35"/>
        <v>-220</v>
      </c>
      <c r="Y80" s="1"/>
      <c r="Z80" s="5">
        <f t="shared" si="36"/>
        <v>-1</v>
      </c>
    </row>
    <row r="81" spans="1:26" s="24" customFormat="1" hidden="1" outlineLevel="2" x14ac:dyDescent="0.25">
      <c r="A81" s="25"/>
      <c r="B81" s="11" t="str">
        <f>CONCATENATE("          ", "6277", " - ", "EMPLOYEE APPRECIATION")</f>
        <v xml:space="preserve">          6277 - EMPLOYEE APPRECIATION</v>
      </c>
      <c r="C81" s="11"/>
      <c r="D81" s="7"/>
      <c r="E81" s="2"/>
      <c r="F81" s="6">
        <f t="shared" si="29"/>
        <v>0</v>
      </c>
      <c r="G81" s="2"/>
      <c r="H81" s="7">
        <v>20</v>
      </c>
      <c r="I81" s="2"/>
      <c r="J81" s="6">
        <f t="shared" si="30"/>
        <v>1.9168287984358678E-4</v>
      </c>
      <c r="K81" s="2"/>
      <c r="L81" s="7">
        <f t="shared" si="31"/>
        <v>-20</v>
      </c>
      <c r="M81" s="2"/>
      <c r="N81" s="6">
        <f t="shared" si="32"/>
        <v>-1</v>
      </c>
      <c r="O81" s="11"/>
      <c r="P81" s="7"/>
      <c r="Q81" s="2"/>
      <c r="R81" s="6">
        <f t="shared" si="33"/>
        <v>0</v>
      </c>
      <c r="S81" s="2"/>
      <c r="T81" s="7">
        <v>220</v>
      </c>
      <c r="U81" s="2"/>
      <c r="V81" s="6">
        <f t="shared" si="34"/>
        <v>9.9543772790433661E-5</v>
      </c>
      <c r="W81" s="2"/>
      <c r="X81" s="7">
        <f t="shared" si="35"/>
        <v>-220</v>
      </c>
      <c r="Y81" s="2"/>
      <c r="Z81" s="6">
        <f t="shared" si="36"/>
        <v>-1</v>
      </c>
    </row>
    <row r="82" spans="1:26" s="27" customFormat="1" outlineLevel="1" collapsed="1" x14ac:dyDescent="0.25">
      <c r="A82" s="26"/>
      <c r="B82" s="13" t="str">
        <f>CONCATENATE("     ","Freight out/Postage                               ")</f>
        <v xml:space="preserve">     Freight out/Postage                               </v>
      </c>
      <c r="C82" s="13"/>
      <c r="D82" s="1">
        <f>SUM(OSRRefD22_6x_0)</f>
        <v>1057.28</v>
      </c>
      <c r="E82" s="1"/>
      <c r="F82" s="5">
        <f t="shared" si="29"/>
        <v>7.0588580897659641E-3</v>
      </c>
      <c r="G82" s="1"/>
      <c r="H82" s="1">
        <f>SUM(OSRRefH22_6x_0)</f>
        <v>15</v>
      </c>
      <c r="I82" s="1"/>
      <c r="J82" s="5">
        <f t="shared" si="30"/>
        <v>1.4376215988269006E-4</v>
      </c>
      <c r="K82" s="1"/>
      <c r="L82" s="1">
        <f t="shared" si="31"/>
        <v>1042.28</v>
      </c>
      <c r="M82" s="1"/>
      <c r="N82" s="5">
        <f t="shared" si="32"/>
        <v>69.48533333333333</v>
      </c>
      <c r="O82" s="13"/>
      <c r="P82" s="1">
        <f>SUM(OSRRefP22_6x_0)</f>
        <v>2698.56</v>
      </c>
      <c r="Q82" s="1"/>
      <c r="R82" s="5">
        <f t="shared" si="33"/>
        <v>1.0489766145805092E-3</v>
      </c>
      <c r="S82" s="1"/>
      <c r="T82" s="1">
        <f>SUM(OSRRefT22_6x_0)</f>
        <v>165</v>
      </c>
      <c r="U82" s="1"/>
      <c r="V82" s="5">
        <f t="shared" si="34"/>
        <v>7.4657829592825249E-5</v>
      </c>
      <c r="W82" s="1"/>
      <c r="X82" s="1">
        <f t="shared" si="35"/>
        <v>2533.56</v>
      </c>
      <c r="Y82" s="1"/>
      <c r="Z82" s="5">
        <f t="shared" si="36"/>
        <v>15.354909090909091</v>
      </c>
    </row>
    <row r="83" spans="1:26" s="24" customFormat="1" hidden="1" outlineLevel="2" x14ac:dyDescent="0.25">
      <c r="A83" s="25"/>
      <c r="B83" s="11" t="str">
        <f>CONCATENATE("          ", "6305", " - ", "FREIGHT OUT")</f>
        <v xml:space="preserve">          6305 - FREIGHT OUT</v>
      </c>
      <c r="C83" s="11"/>
      <c r="D83" s="7">
        <v>1057.28</v>
      </c>
      <c r="E83" s="2"/>
      <c r="F83" s="6">
        <f t="shared" si="29"/>
        <v>7.0588580897659641E-3</v>
      </c>
      <c r="G83" s="2"/>
      <c r="H83" s="7">
        <v>15</v>
      </c>
      <c r="I83" s="2"/>
      <c r="J83" s="6">
        <f t="shared" si="30"/>
        <v>1.4376215988269006E-4</v>
      </c>
      <c r="K83" s="2"/>
      <c r="L83" s="7">
        <f t="shared" si="31"/>
        <v>1042.28</v>
      </c>
      <c r="M83" s="2"/>
      <c r="N83" s="6">
        <f t="shared" si="32"/>
        <v>69.48533333333333</v>
      </c>
      <c r="O83" s="11"/>
      <c r="P83" s="7">
        <v>2685.96</v>
      </c>
      <c r="Q83" s="2"/>
      <c r="R83" s="6">
        <f t="shared" si="33"/>
        <v>1.0440787781997305E-3</v>
      </c>
      <c r="S83" s="2"/>
      <c r="T83" s="7">
        <v>165</v>
      </c>
      <c r="U83" s="2"/>
      <c r="V83" s="6">
        <f t="shared" si="34"/>
        <v>7.4657829592825249E-5</v>
      </c>
      <c r="W83" s="2"/>
      <c r="X83" s="7">
        <f t="shared" si="35"/>
        <v>2520.96</v>
      </c>
      <c r="Y83" s="2"/>
      <c r="Z83" s="6">
        <f t="shared" si="36"/>
        <v>15.278545454545455</v>
      </c>
    </row>
    <row r="84" spans="1:26" s="24" customFormat="1" hidden="1" outlineLevel="2" x14ac:dyDescent="0.25">
      <c r="A84" s="25"/>
      <c r="B84" s="11" t="str">
        <f>CONCATENATE("          ", "6307", " - ", "POSTAGE")</f>
        <v xml:space="preserve">          6307 - POSTAGE</v>
      </c>
      <c r="C84" s="11"/>
      <c r="D84" s="7"/>
      <c r="E84" s="2"/>
      <c r="F84" s="6">
        <f t="shared" si="29"/>
        <v>0</v>
      </c>
      <c r="G84" s="2"/>
      <c r="H84" s="7"/>
      <c r="I84" s="2"/>
      <c r="J84" s="6">
        <f t="shared" si="30"/>
        <v>0</v>
      </c>
      <c r="K84" s="2"/>
      <c r="L84" s="7">
        <f t="shared" si="31"/>
        <v>0</v>
      </c>
      <c r="M84" s="2"/>
      <c r="N84" s="6">
        <f t="shared" si="32"/>
        <v>0</v>
      </c>
      <c r="O84" s="11"/>
      <c r="P84" s="7">
        <v>12.6</v>
      </c>
      <c r="Q84" s="2"/>
      <c r="R84" s="6">
        <f t="shared" si="33"/>
        <v>4.8978363807787919E-6</v>
      </c>
      <c r="S84" s="2"/>
      <c r="T84" s="7"/>
      <c r="U84" s="2"/>
      <c r="V84" s="6">
        <f t="shared" si="34"/>
        <v>0</v>
      </c>
      <c r="W84" s="2"/>
      <c r="X84" s="7">
        <f t="shared" si="35"/>
        <v>12.6</v>
      </c>
      <c r="Y84" s="2"/>
      <c r="Z84" s="6">
        <f t="shared" si="36"/>
        <v>0</v>
      </c>
    </row>
    <row r="85" spans="1:26" s="27" customFormat="1" outlineLevel="1" collapsed="1" x14ac:dyDescent="0.25">
      <c r="A85" s="26"/>
      <c r="B85" s="13" t="str">
        <f>CONCATENATE("     ","General                                           ")</f>
        <v xml:space="preserve">     General                                           </v>
      </c>
      <c r="C85" s="13"/>
      <c r="D85" s="1">
        <f>SUM(OSRRefD22_7x_0)</f>
        <v>285</v>
      </c>
      <c r="E85" s="1"/>
      <c r="F85" s="5">
        <f t="shared" ref="F85:F91" si="37">IF(D$12=0,0,D85/D$12)</f>
        <v>1.9027831374690714E-3</v>
      </c>
      <c r="G85" s="1"/>
      <c r="H85" s="1">
        <f>SUM(OSRRefH22_7x_0)</f>
        <v>30</v>
      </c>
      <c r="I85" s="1"/>
      <c r="J85" s="5">
        <f t="shared" ref="J85:J91" si="38">IF(H$12=0,0,H85/H$12)</f>
        <v>2.8752431976538013E-4</v>
      </c>
      <c r="K85" s="1"/>
      <c r="L85" s="1">
        <f t="shared" ref="L85:L91" si="39">+D85-H85</f>
        <v>255</v>
      </c>
      <c r="M85" s="1"/>
      <c r="N85" s="5">
        <f t="shared" ref="N85:N91" si="40">IF(H85=0,0,L85/H85)</f>
        <v>8.5</v>
      </c>
      <c r="O85" s="13"/>
      <c r="P85" s="1">
        <f>SUM(OSRRefP22_7x_0)</f>
        <v>254.85</v>
      </c>
      <c r="Q85" s="1"/>
      <c r="R85" s="5">
        <f t="shared" ref="R85:R91" si="41">IF(P$12=0,0,P85/P$12)</f>
        <v>9.9064571558847233E-5</v>
      </c>
      <c r="S85" s="1"/>
      <c r="T85" s="1">
        <f>SUM(OSRRefT22_7x_0)</f>
        <v>330</v>
      </c>
      <c r="U85" s="1"/>
      <c r="V85" s="5">
        <f t="shared" ref="V85:V91" si="42">IF(T$12=0,0,T85/T$12)</f>
        <v>1.493156591856505E-4</v>
      </c>
      <c r="W85" s="1"/>
      <c r="X85" s="1">
        <f t="shared" ref="X85:X91" si="43">+P85-T85</f>
        <v>-75.150000000000006</v>
      </c>
      <c r="Y85" s="1"/>
      <c r="Z85" s="5">
        <f t="shared" ref="Z85:Z91" si="44">IF(T85=0,0,X85/T85)</f>
        <v>-0.22772727272727275</v>
      </c>
    </row>
    <row r="86" spans="1:26" s="24" customFormat="1" hidden="1" outlineLevel="2" x14ac:dyDescent="0.25">
      <c r="A86" s="25"/>
      <c r="B86" s="11" t="str">
        <f>CONCATENATE("          ", "6279", " - ", "GENERAL EXPENSE")</f>
        <v xml:space="preserve">          6279 - GENERAL EXPENSE</v>
      </c>
      <c r="C86" s="11"/>
      <c r="D86" s="7">
        <v>285</v>
      </c>
      <c r="E86" s="2"/>
      <c r="F86" s="6">
        <f t="shared" si="37"/>
        <v>1.9027831374690714E-3</v>
      </c>
      <c r="G86" s="2"/>
      <c r="H86" s="7">
        <v>30</v>
      </c>
      <c r="I86" s="2"/>
      <c r="J86" s="6">
        <f t="shared" si="38"/>
        <v>2.8752431976538013E-4</v>
      </c>
      <c r="K86" s="2"/>
      <c r="L86" s="7">
        <f t="shared" si="39"/>
        <v>255</v>
      </c>
      <c r="M86" s="2"/>
      <c r="N86" s="6">
        <f t="shared" si="40"/>
        <v>8.5</v>
      </c>
      <c r="O86" s="11"/>
      <c r="P86" s="7">
        <v>254.85</v>
      </c>
      <c r="Q86" s="2"/>
      <c r="R86" s="6">
        <f t="shared" si="41"/>
        <v>9.9064571558847233E-5</v>
      </c>
      <c r="S86" s="2"/>
      <c r="T86" s="7">
        <v>330</v>
      </c>
      <c r="U86" s="2"/>
      <c r="V86" s="6">
        <f t="shared" si="42"/>
        <v>1.493156591856505E-4</v>
      </c>
      <c r="W86" s="2"/>
      <c r="X86" s="7">
        <f t="shared" si="43"/>
        <v>-75.150000000000006</v>
      </c>
      <c r="Y86" s="2"/>
      <c r="Z86" s="6">
        <f t="shared" si="44"/>
        <v>-0.22772727272727275</v>
      </c>
    </row>
    <row r="87" spans="1:26" s="27" customFormat="1" outlineLevel="1" collapsed="1" x14ac:dyDescent="0.25">
      <c r="A87" s="26"/>
      <c r="B87" s="13" t="str">
        <f>CONCATENATE("     ","Inventory Adjustment                              ")</f>
        <v xml:space="preserve">     Inventory Adjustment                              </v>
      </c>
      <c r="C87" s="13"/>
      <c r="D87" s="1">
        <f>SUM(OSRRefD22_8x_0)</f>
        <v>1250</v>
      </c>
      <c r="E87" s="1"/>
      <c r="F87" s="5">
        <f t="shared" si="37"/>
        <v>8.3455400766187342E-3</v>
      </c>
      <c r="G87" s="1"/>
      <c r="H87" s="1">
        <f>SUM(OSRRefH22_8x_0)</f>
        <v>1250</v>
      </c>
      <c r="I87" s="1"/>
      <c r="J87" s="5">
        <f t="shared" si="38"/>
        <v>1.1980179990224172E-2</v>
      </c>
      <c r="K87" s="1"/>
      <c r="L87" s="1">
        <f t="shared" si="39"/>
        <v>0</v>
      </c>
      <c r="M87" s="1"/>
      <c r="N87" s="5">
        <f t="shared" si="40"/>
        <v>0</v>
      </c>
      <c r="O87" s="13"/>
      <c r="P87" s="1">
        <f>SUM(OSRRefP22_8x_0)</f>
        <v>13750</v>
      </c>
      <c r="Q87" s="1"/>
      <c r="R87" s="5">
        <f t="shared" si="41"/>
        <v>5.3448611298181261E-3</v>
      </c>
      <c r="S87" s="1"/>
      <c r="T87" s="1">
        <f>SUM(OSRRefT22_8x_0)</f>
        <v>13750</v>
      </c>
      <c r="U87" s="1"/>
      <c r="V87" s="5">
        <f t="shared" si="42"/>
        <v>6.2214857994021041E-3</v>
      </c>
      <c r="W87" s="1"/>
      <c r="X87" s="1">
        <f t="shared" si="43"/>
        <v>0</v>
      </c>
      <c r="Y87" s="1"/>
      <c r="Z87" s="5">
        <f t="shared" si="44"/>
        <v>0</v>
      </c>
    </row>
    <row r="88" spans="1:26" s="24" customFormat="1" hidden="1" outlineLevel="2" x14ac:dyDescent="0.25">
      <c r="A88" s="25"/>
      <c r="B88" s="11" t="str">
        <f>CONCATENATE("          ", "6408", " - ", "INVENTORY ADJUSTMENT")</f>
        <v xml:space="preserve">          6408 - INVENTORY ADJUSTMENT</v>
      </c>
      <c r="C88" s="11"/>
      <c r="D88" s="7">
        <v>1250</v>
      </c>
      <c r="E88" s="2"/>
      <c r="F88" s="6">
        <f t="shared" si="37"/>
        <v>8.3455400766187342E-3</v>
      </c>
      <c r="G88" s="2"/>
      <c r="H88" s="7">
        <v>1250</v>
      </c>
      <c r="I88" s="2"/>
      <c r="J88" s="6">
        <f t="shared" si="38"/>
        <v>1.1980179990224172E-2</v>
      </c>
      <c r="K88" s="2"/>
      <c r="L88" s="7">
        <f t="shared" si="39"/>
        <v>0</v>
      </c>
      <c r="M88" s="2"/>
      <c r="N88" s="6">
        <f t="shared" si="40"/>
        <v>0</v>
      </c>
      <c r="O88" s="11"/>
      <c r="P88" s="7">
        <v>13750</v>
      </c>
      <c r="Q88" s="2"/>
      <c r="R88" s="6">
        <f t="shared" si="41"/>
        <v>5.3448611298181261E-3</v>
      </c>
      <c r="S88" s="2"/>
      <c r="T88" s="7">
        <v>13750</v>
      </c>
      <c r="U88" s="2"/>
      <c r="V88" s="6">
        <f t="shared" si="42"/>
        <v>6.2214857994021041E-3</v>
      </c>
      <c r="W88" s="2"/>
      <c r="X88" s="7">
        <f t="shared" si="43"/>
        <v>0</v>
      </c>
      <c r="Y88" s="2"/>
      <c r="Z88" s="6">
        <f t="shared" si="44"/>
        <v>0</v>
      </c>
    </row>
    <row r="89" spans="1:26" s="27" customFormat="1" outlineLevel="1" collapsed="1" x14ac:dyDescent="0.25">
      <c r="A89" s="26"/>
      <c r="B89" s="13" t="str">
        <f>CONCATENATE("     ","Repair and Maintenance                            ")</f>
        <v xml:space="preserve">     Repair and Maintenance                            </v>
      </c>
      <c r="C89" s="13"/>
      <c r="D89" s="1">
        <f>SUM(OSRRefD22_9x_0)</f>
        <v>0</v>
      </c>
      <c r="E89" s="1"/>
      <c r="F89" s="5">
        <f t="shared" si="37"/>
        <v>0</v>
      </c>
      <c r="G89" s="1"/>
      <c r="H89" s="1">
        <f>SUM(OSRRefH22_9x_0)</f>
        <v>20</v>
      </c>
      <c r="I89" s="1"/>
      <c r="J89" s="5">
        <f t="shared" si="38"/>
        <v>1.9168287984358678E-4</v>
      </c>
      <c r="K89" s="1"/>
      <c r="L89" s="1">
        <f t="shared" si="39"/>
        <v>-20</v>
      </c>
      <c r="M89" s="1"/>
      <c r="N89" s="5">
        <f t="shared" si="40"/>
        <v>-1</v>
      </c>
      <c r="O89" s="13"/>
      <c r="P89" s="1">
        <f>SUM(OSRRefP22_9x_0)</f>
        <v>1550</v>
      </c>
      <c r="Q89" s="1"/>
      <c r="R89" s="5">
        <f t="shared" si="41"/>
        <v>6.025116182704069E-4</v>
      </c>
      <c r="S89" s="1"/>
      <c r="T89" s="1">
        <f>SUM(OSRRefT22_9x_0)</f>
        <v>225</v>
      </c>
      <c r="U89" s="1"/>
      <c r="V89" s="5">
        <f t="shared" si="42"/>
        <v>1.0180613126294352E-4</v>
      </c>
      <c r="W89" s="1"/>
      <c r="X89" s="1">
        <f t="shared" si="43"/>
        <v>1325</v>
      </c>
      <c r="Y89" s="1"/>
      <c r="Z89" s="5">
        <f t="shared" si="44"/>
        <v>5.8888888888888893</v>
      </c>
    </row>
    <row r="90" spans="1:26" s="24" customFormat="1" hidden="1" outlineLevel="2" x14ac:dyDescent="0.25">
      <c r="A90" s="25"/>
      <c r="B90" s="11" t="str">
        <f>CONCATENATE("          ", "6371", " - ", "COMPUTER SOFTWARE MAINTENANCE")</f>
        <v xml:space="preserve">          6371 - COMPUTER SOFTWARE MAINTENANCE</v>
      </c>
      <c r="C90" s="11"/>
      <c r="D90" s="7"/>
      <c r="E90" s="2"/>
      <c r="F90" s="6">
        <f t="shared" si="37"/>
        <v>0</v>
      </c>
      <c r="G90" s="2"/>
      <c r="H90" s="7"/>
      <c r="I90" s="2"/>
      <c r="J90" s="6">
        <f t="shared" si="38"/>
        <v>0</v>
      </c>
      <c r="K90" s="2"/>
      <c r="L90" s="7">
        <f t="shared" si="39"/>
        <v>0</v>
      </c>
      <c r="M90" s="2"/>
      <c r="N90" s="6">
        <f t="shared" si="40"/>
        <v>0</v>
      </c>
      <c r="O90" s="11"/>
      <c r="P90" s="7">
        <v>1550</v>
      </c>
      <c r="Q90" s="2"/>
      <c r="R90" s="6">
        <f t="shared" si="41"/>
        <v>6.025116182704069E-4</v>
      </c>
      <c r="S90" s="2"/>
      <c r="T90" s="7"/>
      <c r="U90" s="2"/>
      <c r="V90" s="6">
        <f t="shared" si="42"/>
        <v>0</v>
      </c>
      <c r="W90" s="2"/>
      <c r="X90" s="7">
        <f t="shared" si="43"/>
        <v>1550</v>
      </c>
      <c r="Y90" s="2"/>
      <c r="Z90" s="6">
        <f t="shared" si="44"/>
        <v>0</v>
      </c>
    </row>
    <row r="91" spans="1:26" s="24" customFormat="1" hidden="1" outlineLevel="2" x14ac:dyDescent="0.25">
      <c r="A91" s="25"/>
      <c r="B91" s="11" t="str">
        <f>CONCATENATE("          ", "6375", " - ", "OUTSIDE REPAIRS &amp; MAINTENANCE")</f>
        <v xml:space="preserve">          6375 - OUTSIDE REPAIRS &amp; MAINTENANCE</v>
      </c>
      <c r="C91" s="11"/>
      <c r="D91" s="7"/>
      <c r="E91" s="2"/>
      <c r="F91" s="6">
        <f t="shared" si="37"/>
        <v>0</v>
      </c>
      <c r="G91" s="2"/>
      <c r="H91" s="7">
        <v>20</v>
      </c>
      <c r="I91" s="2"/>
      <c r="J91" s="6">
        <f t="shared" si="38"/>
        <v>1.9168287984358678E-4</v>
      </c>
      <c r="K91" s="2"/>
      <c r="L91" s="7">
        <f t="shared" si="39"/>
        <v>-20</v>
      </c>
      <c r="M91" s="2"/>
      <c r="N91" s="6">
        <f t="shared" si="40"/>
        <v>-1</v>
      </c>
      <c r="O91" s="11"/>
      <c r="P91" s="7"/>
      <c r="Q91" s="2"/>
      <c r="R91" s="6">
        <f t="shared" si="41"/>
        <v>0</v>
      </c>
      <c r="S91" s="2"/>
      <c r="T91" s="7">
        <v>225</v>
      </c>
      <c r="U91" s="2"/>
      <c r="V91" s="6">
        <f t="shared" si="42"/>
        <v>1.0180613126294352E-4</v>
      </c>
      <c r="W91" s="2"/>
      <c r="X91" s="7">
        <f t="shared" si="43"/>
        <v>-225</v>
      </c>
      <c r="Y91" s="2"/>
      <c r="Z91" s="6">
        <f t="shared" si="44"/>
        <v>-1</v>
      </c>
    </row>
    <row r="92" spans="1:26" s="27" customFormat="1" outlineLevel="1" collapsed="1" x14ac:dyDescent="0.25">
      <c r="A92" s="26"/>
      <c r="B92" s="13" t="str">
        <f>CONCATENATE("     ","Subscriptions &amp; Dues                              ")</f>
        <v xml:space="preserve">     Subscriptions &amp; Dues                              </v>
      </c>
      <c r="C92" s="13"/>
      <c r="D92" s="1">
        <f>SUM(OSRRefD22_10x_0)</f>
        <v>0</v>
      </c>
      <c r="E92" s="1"/>
      <c r="F92" s="5">
        <f t="shared" ref="F92:F98" si="45">IF(D$12=0,0,D92/D$12)</f>
        <v>0</v>
      </c>
      <c r="G92" s="1"/>
      <c r="H92" s="1">
        <f>SUM(OSRRefH22_10x_0)</f>
        <v>0</v>
      </c>
      <c r="I92" s="1"/>
      <c r="J92" s="5">
        <f t="shared" ref="J92:J98" si="46">IF(H$12=0,0,H92/H$12)</f>
        <v>0</v>
      </c>
      <c r="K92" s="1"/>
      <c r="L92" s="1">
        <f t="shared" ref="L92:L98" si="47">+D92-H92</f>
        <v>0</v>
      </c>
      <c r="M92" s="1"/>
      <c r="N92" s="5">
        <f t="shared" ref="N92:N98" si="48">IF(H92=0,0,L92/H92)</f>
        <v>0</v>
      </c>
      <c r="O92" s="13"/>
      <c r="P92" s="1">
        <f>SUM(OSRRefP22_10x_0)</f>
        <v>142.22</v>
      </c>
      <c r="Q92" s="1"/>
      <c r="R92" s="5">
        <f t="shared" ref="R92:R98" si="49">IF(P$12=0,0,P92/P$12)</f>
        <v>5.5283356355107917E-5</v>
      </c>
      <c r="S92" s="1"/>
      <c r="T92" s="1">
        <f>SUM(OSRRefT22_10x_0)</f>
        <v>0</v>
      </c>
      <c r="U92" s="1"/>
      <c r="V92" s="5">
        <f t="shared" ref="V92:V98" si="50">IF(T$12=0,0,T92/T$12)</f>
        <v>0</v>
      </c>
      <c r="W92" s="1"/>
      <c r="X92" s="1">
        <f t="shared" ref="X92:X98" si="51">+P92-T92</f>
        <v>142.22</v>
      </c>
      <c r="Y92" s="1"/>
      <c r="Z92" s="5">
        <f t="shared" ref="Z92:Z98" si="52">IF(T92=0,0,X92/T92)</f>
        <v>0</v>
      </c>
    </row>
    <row r="93" spans="1:26" s="24" customFormat="1" hidden="1" outlineLevel="2" x14ac:dyDescent="0.25">
      <c r="A93" s="25"/>
      <c r="B93" s="11" t="str">
        <f>CONCATENATE("          ", "6275", " - ", "SUBSCRIPTIONS")</f>
        <v xml:space="preserve">          6275 - SUBSCRIPTIONS</v>
      </c>
      <c r="C93" s="11"/>
      <c r="D93" s="7"/>
      <c r="E93" s="2"/>
      <c r="F93" s="6">
        <f t="shared" si="45"/>
        <v>0</v>
      </c>
      <c r="G93" s="2"/>
      <c r="H93" s="7"/>
      <c r="I93" s="2"/>
      <c r="J93" s="6">
        <f t="shared" si="46"/>
        <v>0</v>
      </c>
      <c r="K93" s="2"/>
      <c r="L93" s="7">
        <f t="shared" si="47"/>
        <v>0</v>
      </c>
      <c r="M93" s="2"/>
      <c r="N93" s="6">
        <f t="shared" si="48"/>
        <v>0</v>
      </c>
      <c r="O93" s="11"/>
      <c r="P93" s="7">
        <v>142.22</v>
      </c>
      <c r="Q93" s="2"/>
      <c r="R93" s="6">
        <f t="shared" si="49"/>
        <v>5.5283356355107917E-5</v>
      </c>
      <c r="S93" s="2"/>
      <c r="T93" s="7"/>
      <c r="U93" s="2"/>
      <c r="V93" s="6">
        <f t="shared" si="50"/>
        <v>0</v>
      </c>
      <c r="W93" s="2"/>
      <c r="X93" s="7">
        <f t="shared" si="51"/>
        <v>142.22</v>
      </c>
      <c r="Y93" s="2"/>
      <c r="Z93" s="6">
        <f t="shared" si="52"/>
        <v>0</v>
      </c>
    </row>
    <row r="94" spans="1:26" s="27" customFormat="1" outlineLevel="1" collapsed="1" x14ac:dyDescent="0.25">
      <c r="A94" s="26"/>
      <c r="B94" s="13" t="str">
        <f>CONCATENATE("     ","Supplies                                          ")</f>
        <v xml:space="preserve">     Supplies                                          </v>
      </c>
      <c r="C94" s="13"/>
      <c r="D94" s="1">
        <f>SUM(OSRRefD22_11x_0)</f>
        <v>200.67</v>
      </c>
      <c r="E94" s="1"/>
      <c r="F94" s="5">
        <f t="shared" si="45"/>
        <v>1.3397596217400651E-3</v>
      </c>
      <c r="G94" s="1"/>
      <c r="H94" s="1">
        <f>SUM(OSRRefH22_11x_0)</f>
        <v>310</v>
      </c>
      <c r="I94" s="1"/>
      <c r="J94" s="5">
        <f t="shared" si="46"/>
        <v>2.9710846375755949E-3</v>
      </c>
      <c r="K94" s="1"/>
      <c r="L94" s="1">
        <f t="shared" si="47"/>
        <v>-109.33000000000001</v>
      </c>
      <c r="M94" s="1"/>
      <c r="N94" s="5">
        <f t="shared" si="48"/>
        <v>-0.35267741935483876</v>
      </c>
      <c r="O94" s="13"/>
      <c r="P94" s="1">
        <f>SUM(OSRRefP22_11x_0)</f>
        <v>4032.32</v>
      </c>
      <c r="Q94" s="1"/>
      <c r="R94" s="5">
        <f t="shared" si="49"/>
        <v>1.5674320313445983E-3</v>
      </c>
      <c r="S94" s="1"/>
      <c r="T94" s="1">
        <f>SUM(OSRRefT22_11x_0)</f>
        <v>3410</v>
      </c>
      <c r="U94" s="1"/>
      <c r="V94" s="5">
        <f t="shared" si="50"/>
        <v>1.5429284782517217E-3</v>
      </c>
      <c r="W94" s="1"/>
      <c r="X94" s="1">
        <f t="shared" si="51"/>
        <v>622.32000000000016</v>
      </c>
      <c r="Y94" s="1"/>
      <c r="Z94" s="5">
        <f t="shared" si="52"/>
        <v>0.18249853372434022</v>
      </c>
    </row>
    <row r="95" spans="1:26" s="24" customFormat="1" hidden="1" outlineLevel="2" x14ac:dyDescent="0.25">
      <c r="A95" s="25"/>
      <c r="B95" s="11" t="str">
        <f>CONCATENATE("          ", "6234", " - ", "EXPENDABLE SUPPLIES &amp; EQUIPMEN")</f>
        <v xml:space="preserve">          6234 - EXPENDABLE SUPPLIES &amp; EQUIPMEN</v>
      </c>
      <c r="C95" s="11"/>
      <c r="D95" s="7"/>
      <c r="E95" s="2"/>
      <c r="F95" s="6">
        <f t="shared" si="45"/>
        <v>0</v>
      </c>
      <c r="G95" s="2"/>
      <c r="H95" s="7"/>
      <c r="I95" s="2"/>
      <c r="J95" s="6">
        <f t="shared" si="46"/>
        <v>0</v>
      </c>
      <c r="K95" s="2"/>
      <c r="L95" s="7">
        <f t="shared" si="47"/>
        <v>0</v>
      </c>
      <c r="M95" s="2"/>
      <c r="N95" s="6">
        <f t="shared" si="48"/>
        <v>0</v>
      </c>
      <c r="O95" s="11"/>
      <c r="P95" s="7">
        <v>1733.49</v>
      </c>
      <c r="Q95" s="2"/>
      <c r="R95" s="6">
        <f t="shared" si="49"/>
        <v>6.7383733235843075E-4</v>
      </c>
      <c r="S95" s="2"/>
      <c r="T95" s="7"/>
      <c r="U95" s="2"/>
      <c r="V95" s="6">
        <f t="shared" si="50"/>
        <v>0</v>
      </c>
      <c r="W95" s="2"/>
      <c r="X95" s="7">
        <f t="shared" si="51"/>
        <v>1733.49</v>
      </c>
      <c r="Y95" s="2"/>
      <c r="Z95" s="6">
        <f t="shared" si="52"/>
        <v>0</v>
      </c>
    </row>
    <row r="96" spans="1:26" s="24" customFormat="1" hidden="1" outlineLevel="2" x14ac:dyDescent="0.25">
      <c r="A96" s="25"/>
      <c r="B96" s="11" t="str">
        <f>CONCATENATE("          ", "6235", " - ", "COVID-19 EXPENSES")</f>
        <v xml:space="preserve">          6235 - COVID-19 EXPENSES</v>
      </c>
      <c r="C96" s="11"/>
      <c r="D96" s="7"/>
      <c r="E96" s="2"/>
      <c r="F96" s="6">
        <f t="shared" si="45"/>
        <v>0</v>
      </c>
      <c r="G96" s="2"/>
      <c r="H96" s="7"/>
      <c r="I96" s="2"/>
      <c r="J96" s="6">
        <f t="shared" si="46"/>
        <v>0</v>
      </c>
      <c r="K96" s="2"/>
      <c r="L96" s="7">
        <f t="shared" si="47"/>
        <v>0</v>
      </c>
      <c r="M96" s="2"/>
      <c r="N96" s="6">
        <f t="shared" si="48"/>
        <v>0</v>
      </c>
      <c r="O96" s="11"/>
      <c r="P96" s="7">
        <v>668.12</v>
      </c>
      <c r="Q96" s="2"/>
      <c r="R96" s="6">
        <f t="shared" si="49"/>
        <v>2.5970971767666083E-4</v>
      </c>
      <c r="S96" s="2"/>
      <c r="T96" s="7"/>
      <c r="U96" s="2"/>
      <c r="V96" s="6">
        <f t="shared" si="50"/>
        <v>0</v>
      </c>
      <c r="W96" s="2"/>
      <c r="X96" s="7">
        <f t="shared" si="51"/>
        <v>668.12</v>
      </c>
      <c r="Y96" s="2"/>
      <c r="Z96" s="6">
        <f t="shared" si="52"/>
        <v>0</v>
      </c>
    </row>
    <row r="97" spans="1:26" s="24" customFormat="1" hidden="1" outlineLevel="2" x14ac:dyDescent="0.25">
      <c r="A97" s="25"/>
      <c r="B97" s="11" t="str">
        <f>CONCATENATE("          ", "6241", " - ", "OFFICE EXPENSE")</f>
        <v xml:space="preserve">          6241 - OFFICE EXPENSE</v>
      </c>
      <c r="C97" s="11"/>
      <c r="D97" s="7">
        <v>200.67</v>
      </c>
      <c r="E97" s="2"/>
      <c r="F97" s="6">
        <f t="shared" si="45"/>
        <v>1.3397596217400651E-3</v>
      </c>
      <c r="G97" s="2"/>
      <c r="H97" s="7">
        <v>110</v>
      </c>
      <c r="I97" s="2"/>
      <c r="J97" s="6">
        <f t="shared" si="46"/>
        <v>1.0542558391397271E-3</v>
      </c>
      <c r="K97" s="2"/>
      <c r="L97" s="7">
        <f t="shared" si="47"/>
        <v>90.669999999999987</v>
      </c>
      <c r="M97" s="2"/>
      <c r="N97" s="6">
        <f t="shared" si="48"/>
        <v>0.82427272727272716</v>
      </c>
      <c r="O97" s="11"/>
      <c r="P97" s="7">
        <v>1630.71</v>
      </c>
      <c r="Q97" s="2"/>
      <c r="R97" s="6">
        <f t="shared" si="49"/>
        <v>6.3388498130950667E-4</v>
      </c>
      <c r="S97" s="2"/>
      <c r="T97" s="7">
        <v>1210</v>
      </c>
      <c r="U97" s="2"/>
      <c r="V97" s="6">
        <f t="shared" si="50"/>
        <v>5.4749075034738511E-4</v>
      </c>
      <c r="W97" s="2"/>
      <c r="X97" s="7">
        <f t="shared" si="51"/>
        <v>420.71000000000004</v>
      </c>
      <c r="Y97" s="2"/>
      <c r="Z97" s="6">
        <f t="shared" si="52"/>
        <v>0.34769421487603308</v>
      </c>
    </row>
    <row r="98" spans="1:26" s="24" customFormat="1" hidden="1" outlineLevel="2" x14ac:dyDescent="0.25">
      <c r="A98" s="25"/>
      <c r="B98" s="11" t="str">
        <f>CONCATENATE("          ", "6247", " - ", "STORE SUPPLIES")</f>
        <v xml:space="preserve">          6247 - STORE SUPPLIES</v>
      </c>
      <c r="C98" s="11"/>
      <c r="D98" s="7"/>
      <c r="E98" s="2"/>
      <c r="F98" s="6">
        <f t="shared" si="45"/>
        <v>0</v>
      </c>
      <c r="G98" s="2"/>
      <c r="H98" s="7">
        <v>200</v>
      </c>
      <c r="I98" s="2"/>
      <c r="J98" s="6">
        <f t="shared" si="46"/>
        <v>1.9168287984358677E-3</v>
      </c>
      <c r="K98" s="2"/>
      <c r="L98" s="7">
        <f t="shared" si="47"/>
        <v>-200</v>
      </c>
      <c r="M98" s="2"/>
      <c r="N98" s="6">
        <f t="shared" si="48"/>
        <v>-1</v>
      </c>
      <c r="O98" s="11"/>
      <c r="P98" s="7"/>
      <c r="Q98" s="2"/>
      <c r="R98" s="6">
        <f t="shared" si="49"/>
        <v>0</v>
      </c>
      <c r="S98" s="2"/>
      <c r="T98" s="7">
        <v>2200</v>
      </c>
      <c r="U98" s="2"/>
      <c r="V98" s="6">
        <f t="shared" si="50"/>
        <v>9.9543772790433669E-4</v>
      </c>
      <c r="W98" s="2"/>
      <c r="X98" s="7">
        <f t="shared" si="51"/>
        <v>-2200</v>
      </c>
      <c r="Y98" s="2"/>
      <c r="Z98" s="6">
        <f t="shared" si="52"/>
        <v>-1</v>
      </c>
    </row>
    <row r="99" spans="1:26" s="27" customFormat="1" outlineLevel="1" collapsed="1" x14ac:dyDescent="0.25">
      <c r="A99" s="26"/>
      <c r="B99" s="13" t="str">
        <f>CONCATENATE("     ","Telephone/Data Lines                              ")</f>
        <v xml:space="preserve">     Telephone/Data Lines                              </v>
      </c>
      <c r="C99" s="13"/>
      <c r="D99" s="1">
        <f>SUM(OSRRefD22_12x_0)</f>
        <v>383.2</v>
      </c>
      <c r="E99" s="1"/>
      <c r="F99" s="5">
        <f t="shared" ref="F99:F102" si="53">IF(D$12=0,0,D99/D$12)</f>
        <v>2.558408765888239E-3</v>
      </c>
      <c r="G99" s="1"/>
      <c r="H99" s="1">
        <f>SUM(OSRRefH22_12x_0)</f>
        <v>250</v>
      </c>
      <c r="I99" s="1"/>
      <c r="J99" s="5">
        <f t="shared" ref="J99:J102" si="54">IF(H$12=0,0,H99/H$12)</f>
        <v>2.3960359980448346E-3</v>
      </c>
      <c r="K99" s="1"/>
      <c r="L99" s="1">
        <f t="shared" ref="L99:L102" si="55">+D99-H99</f>
        <v>133.19999999999999</v>
      </c>
      <c r="M99" s="1"/>
      <c r="N99" s="5">
        <f t="shared" ref="N99:N102" si="56">IF(H99=0,0,L99/H99)</f>
        <v>0.53279999999999994</v>
      </c>
      <c r="O99" s="13"/>
      <c r="P99" s="1">
        <f>SUM(OSRRefP22_12x_0)</f>
        <v>3260.75</v>
      </c>
      <c r="Q99" s="1"/>
      <c r="R99" s="5">
        <f t="shared" ref="R99:R102" si="57">IF(P$12=0,0,P99/P$12)</f>
        <v>1.2675095221130511E-3</v>
      </c>
      <c r="S99" s="1"/>
      <c r="T99" s="1">
        <f>SUM(OSRRefT22_12x_0)</f>
        <v>2760</v>
      </c>
      <c r="U99" s="1"/>
      <c r="V99" s="5">
        <f t="shared" ref="V99:V102" si="58">IF(T$12=0,0,T99/T$12)</f>
        <v>1.2488218768254406E-3</v>
      </c>
      <c r="W99" s="1"/>
      <c r="X99" s="1">
        <f t="shared" ref="X99:X102" si="59">+P99-T99</f>
        <v>500.75</v>
      </c>
      <c r="Y99" s="1"/>
      <c r="Z99" s="5">
        <f t="shared" ref="Z99:Z102" si="60">IF(T99=0,0,X99/T99)</f>
        <v>0.18143115942028987</v>
      </c>
    </row>
    <row r="100" spans="1:26" s="24" customFormat="1" hidden="1" outlineLevel="2" x14ac:dyDescent="0.25">
      <c r="A100" s="25"/>
      <c r="B100" s="11" t="str">
        <f>CONCATENATE("          ", "6309", " - ", "TELEPHONE")</f>
        <v xml:space="preserve">          6309 - TELEPHONE</v>
      </c>
      <c r="C100" s="11"/>
      <c r="D100" s="7">
        <v>383.2</v>
      </c>
      <c r="E100" s="2"/>
      <c r="F100" s="6">
        <f t="shared" si="53"/>
        <v>2.558408765888239E-3</v>
      </c>
      <c r="G100" s="2"/>
      <c r="H100" s="7">
        <v>250</v>
      </c>
      <c r="I100" s="2"/>
      <c r="J100" s="6">
        <f t="shared" si="54"/>
        <v>2.3960359980448346E-3</v>
      </c>
      <c r="K100" s="2"/>
      <c r="L100" s="7">
        <f t="shared" si="55"/>
        <v>133.19999999999999</v>
      </c>
      <c r="M100" s="2"/>
      <c r="N100" s="6">
        <f t="shared" si="56"/>
        <v>0.53279999999999994</v>
      </c>
      <c r="O100" s="11"/>
      <c r="P100" s="7">
        <v>3260.75</v>
      </c>
      <c r="Q100" s="2"/>
      <c r="R100" s="6">
        <f t="shared" si="57"/>
        <v>1.2675095221130511E-3</v>
      </c>
      <c r="S100" s="2"/>
      <c r="T100" s="7">
        <v>2760</v>
      </c>
      <c r="U100" s="2"/>
      <c r="V100" s="6">
        <f t="shared" si="58"/>
        <v>1.2488218768254406E-3</v>
      </c>
      <c r="W100" s="2"/>
      <c r="X100" s="7">
        <f t="shared" si="59"/>
        <v>500.75</v>
      </c>
      <c r="Y100" s="2"/>
      <c r="Z100" s="6">
        <f t="shared" si="60"/>
        <v>0.18143115942028987</v>
      </c>
    </row>
    <row r="101" spans="1:26" s="27" customFormat="1" outlineLevel="1" collapsed="1" x14ac:dyDescent="0.25">
      <c r="A101" s="26"/>
      <c r="B101" s="13" t="str">
        <f>CONCATENATE("     ","Training                                          ")</f>
        <v xml:space="preserve">     Training                                          </v>
      </c>
      <c r="C101" s="13"/>
      <c r="D101" s="1">
        <f>SUM(OSRRefD22_13x_0)</f>
        <v>0</v>
      </c>
      <c r="E101" s="1"/>
      <c r="F101" s="5">
        <f t="shared" si="53"/>
        <v>0</v>
      </c>
      <c r="G101" s="1"/>
      <c r="H101" s="1">
        <f>SUM(OSRRefH22_13x_0)</f>
        <v>0</v>
      </c>
      <c r="I101" s="1"/>
      <c r="J101" s="5">
        <f t="shared" si="54"/>
        <v>0</v>
      </c>
      <c r="K101" s="1"/>
      <c r="L101" s="1">
        <f t="shared" si="55"/>
        <v>0</v>
      </c>
      <c r="M101" s="1"/>
      <c r="N101" s="5">
        <f t="shared" si="56"/>
        <v>0</v>
      </c>
      <c r="O101" s="13"/>
      <c r="P101" s="1">
        <f>SUM(OSRRefP22_13x_0)</f>
        <v>100</v>
      </c>
      <c r="Q101" s="1"/>
      <c r="R101" s="5">
        <f t="shared" si="57"/>
        <v>3.8871717307768191E-5</v>
      </c>
      <c r="S101" s="1"/>
      <c r="T101" s="1">
        <f>SUM(OSRRefT22_13x_0)</f>
        <v>2500</v>
      </c>
      <c r="U101" s="1"/>
      <c r="V101" s="5">
        <f t="shared" si="58"/>
        <v>1.1311792362549279E-3</v>
      </c>
      <c r="W101" s="1"/>
      <c r="X101" s="1">
        <f t="shared" si="59"/>
        <v>-2400</v>
      </c>
      <c r="Y101" s="1"/>
      <c r="Z101" s="5">
        <f t="shared" si="60"/>
        <v>-0.96</v>
      </c>
    </row>
    <row r="102" spans="1:26" s="24" customFormat="1" hidden="1" outlineLevel="2" x14ac:dyDescent="0.25">
      <c r="A102" s="25"/>
      <c r="B102" s="11" t="str">
        <f>CONCATENATE("          ", "6376", " - ", "TRAINING")</f>
        <v xml:space="preserve">          6376 - TRAINING</v>
      </c>
      <c r="C102" s="11"/>
      <c r="D102" s="7"/>
      <c r="E102" s="2"/>
      <c r="F102" s="6">
        <f t="shared" si="53"/>
        <v>0</v>
      </c>
      <c r="G102" s="2"/>
      <c r="H102" s="7"/>
      <c r="I102" s="2"/>
      <c r="J102" s="6">
        <f t="shared" si="54"/>
        <v>0</v>
      </c>
      <c r="K102" s="2"/>
      <c r="L102" s="7">
        <f t="shared" si="55"/>
        <v>0</v>
      </c>
      <c r="M102" s="2"/>
      <c r="N102" s="6">
        <f t="shared" si="56"/>
        <v>0</v>
      </c>
      <c r="O102" s="11"/>
      <c r="P102" s="7">
        <v>100</v>
      </c>
      <c r="Q102" s="2"/>
      <c r="R102" s="6">
        <f t="shared" si="57"/>
        <v>3.8871717307768191E-5</v>
      </c>
      <c r="S102" s="2"/>
      <c r="T102" s="7">
        <v>2500</v>
      </c>
      <c r="U102" s="2"/>
      <c r="V102" s="6">
        <f t="shared" si="58"/>
        <v>1.1311792362549279E-3</v>
      </c>
      <c r="W102" s="2"/>
      <c r="X102" s="7">
        <f t="shared" si="59"/>
        <v>-2400</v>
      </c>
      <c r="Y102" s="2"/>
      <c r="Z102" s="6">
        <f t="shared" si="60"/>
        <v>-0.96</v>
      </c>
    </row>
    <row r="103" spans="1:26" s="56" customFormat="1" x14ac:dyDescent="0.25">
      <c r="A103" s="36"/>
      <c r="B103" s="36"/>
      <c r="C103" s="36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6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collapsed="1" x14ac:dyDescent="0.25">
      <c r="A104" s="10"/>
      <c r="B104" s="29" t="s">
        <v>293</v>
      </c>
      <c r="C104" s="10"/>
      <c r="D104" s="4">
        <f>SUM(OSRRefD25x_0)</f>
        <v>296.52000000000004</v>
      </c>
      <c r="E104" s="4"/>
      <c r="F104" s="12">
        <f t="shared" ref="F104:F106" si="61">IF(D$12=0,0,D104/D$12)</f>
        <v>1.9796956348151901E-3</v>
      </c>
      <c r="G104" s="4"/>
      <c r="H104" s="4">
        <f>SUM(OSRRefH25x_0)</f>
        <v>829</v>
      </c>
      <c r="I104" s="4"/>
      <c r="J104" s="12">
        <f t="shared" ref="J104:J106" si="62">IF(H$12=0,0,H104/H$12)</f>
        <v>7.9452553695166708E-3</v>
      </c>
      <c r="K104" s="4"/>
      <c r="L104" s="4">
        <f t="shared" ref="L104:L106" si="63">+D104-H104</f>
        <v>-532.48</v>
      </c>
      <c r="M104" s="4"/>
      <c r="N104" s="12">
        <f t="shared" ref="N104:N106" si="64">IF(H104=0,0,L104/H104)</f>
        <v>-0.64231604342581428</v>
      </c>
      <c r="O104" s="10"/>
      <c r="P104" s="4">
        <f>SUM(OSRRefP25x_0)</f>
        <v>4032.78</v>
      </c>
      <c r="Q104" s="4"/>
      <c r="R104" s="12">
        <f t="shared" ref="R104:R106" si="65">IF(P$12=0,0,P104/P$12)</f>
        <v>1.5676108412442141E-3</v>
      </c>
      <c r="S104" s="4"/>
      <c r="T104" s="4">
        <f>SUM(OSRRefT25x_0)</f>
        <v>17576</v>
      </c>
      <c r="U104" s="4"/>
      <c r="V104" s="12">
        <f t="shared" ref="V104:V106" si="66">IF(T$12=0,0,T104/T$12)</f>
        <v>7.9526425025666456E-3</v>
      </c>
      <c r="W104" s="4"/>
      <c r="X104" s="4">
        <f t="shared" ref="X104:X106" si="67">+P104-T104</f>
        <v>-13543.22</v>
      </c>
      <c r="Y104" s="4"/>
      <c r="Z104" s="12">
        <f t="shared" ref="Z104:Z106" si="68">IF(T104=0,0,X104/T104)</f>
        <v>-0.77055188893946291</v>
      </c>
    </row>
    <row r="105" spans="1:26" s="24" customFormat="1" hidden="1" outlineLevel="1" x14ac:dyDescent="0.25">
      <c r="A105" s="44"/>
      <c r="B105" s="11" t="str">
        <f>CONCATENATE("          ", "4187", " - ", "NON-TAXABLE SALES-COMPUTER REP")</f>
        <v xml:space="preserve">          4187 - NON-TAXABLE SALES-COMPUTER REP</v>
      </c>
      <c r="C105" s="11"/>
      <c r="D105" s="2">
        <f>--264.48</f>
        <v>264.48</v>
      </c>
      <c r="E105" s="2"/>
      <c r="F105" s="19">
        <f t="shared" si="61"/>
        <v>1.7657827515712983E-3</v>
      </c>
      <c r="G105" s="2"/>
      <c r="H105" s="2"/>
      <c r="I105" s="2"/>
      <c r="J105" s="19">
        <f t="shared" si="62"/>
        <v>0</v>
      </c>
      <c r="K105" s="2"/>
      <c r="L105" s="2">
        <f t="shared" si="63"/>
        <v>264.48</v>
      </c>
      <c r="M105" s="2"/>
      <c r="N105" s="19">
        <f t="shared" si="64"/>
        <v>0</v>
      </c>
      <c r="O105" s="11"/>
      <c r="P105" s="2">
        <f>--3580.44</f>
        <v>3580.44</v>
      </c>
      <c r="Q105" s="2"/>
      <c r="R105" s="19">
        <f t="shared" si="65"/>
        <v>1.3917785151742555E-3</v>
      </c>
      <c r="S105" s="2"/>
      <c r="T105" s="2"/>
      <c r="U105" s="2"/>
      <c r="V105" s="19">
        <f t="shared" si="66"/>
        <v>0</v>
      </c>
      <c r="W105" s="2"/>
      <c r="X105" s="2">
        <f t="shared" si="67"/>
        <v>3580.44</v>
      </c>
      <c r="Y105" s="2"/>
      <c r="Z105" s="19">
        <f t="shared" si="68"/>
        <v>0</v>
      </c>
    </row>
    <row r="106" spans="1:26" s="24" customFormat="1" hidden="1" outlineLevel="1" x14ac:dyDescent="0.25">
      <c r="A106" s="44"/>
      <c r="B106" s="11" t="str">
        <f>CONCATENATE("          ", "9150", " - ", "MISC. INCOME")</f>
        <v xml:space="preserve">          9150 - MISC. INCOME</v>
      </c>
      <c r="C106" s="11"/>
      <c r="D106" s="2">
        <f>--32.04</f>
        <v>32.04</v>
      </c>
      <c r="E106" s="2"/>
      <c r="F106" s="19">
        <f t="shared" si="61"/>
        <v>2.1391288324389138E-4</v>
      </c>
      <c r="G106" s="2"/>
      <c r="H106" s="2">
        <v>829</v>
      </c>
      <c r="I106" s="2"/>
      <c r="J106" s="19">
        <f t="shared" si="62"/>
        <v>7.9452553695166708E-3</v>
      </c>
      <c r="K106" s="2"/>
      <c r="L106" s="2">
        <f t="shared" si="63"/>
        <v>-796.96</v>
      </c>
      <c r="M106" s="2"/>
      <c r="N106" s="19">
        <f t="shared" si="64"/>
        <v>-0.96135102533172501</v>
      </c>
      <c r="O106" s="11"/>
      <c r="P106" s="2">
        <f>--452.34</f>
        <v>452.34</v>
      </c>
      <c r="Q106" s="2"/>
      <c r="R106" s="19">
        <f t="shared" si="65"/>
        <v>1.7583232606995861E-4</v>
      </c>
      <c r="S106" s="2"/>
      <c r="T106" s="2">
        <v>17576</v>
      </c>
      <c r="U106" s="2"/>
      <c r="V106" s="19">
        <f t="shared" si="66"/>
        <v>7.9526425025666456E-3</v>
      </c>
      <c r="W106" s="2"/>
      <c r="X106" s="2">
        <f t="shared" si="67"/>
        <v>-17123.66</v>
      </c>
      <c r="Y106" s="2"/>
      <c r="Z106" s="19">
        <f t="shared" si="68"/>
        <v>-0.97426376877560306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8" t="s">
        <v>277</v>
      </c>
      <c r="C108" s="28"/>
      <c r="D108" s="20">
        <f>+D49-D51+D104</f>
        <v>79773.48000000001</v>
      </c>
      <c r="E108" s="14"/>
      <c r="F108" s="21">
        <f>IF(D$12=0,0,D108/D$12)</f>
        <v>0.53260221951307452</v>
      </c>
      <c r="G108" s="14"/>
      <c r="H108" s="20">
        <f>+H49-H51+H104</f>
        <v>-34255.320207646153</v>
      </c>
      <c r="I108" s="14"/>
      <c r="J108" s="21">
        <f>IF(H$12=0,0,H108/H$12)</f>
        <v>-0.32830792136829134</v>
      </c>
      <c r="K108" s="15"/>
      <c r="L108" s="20">
        <f>+D108-H108</f>
        <v>114028.80020764616</v>
      </c>
      <c r="M108" s="15"/>
      <c r="N108" s="21">
        <f>IF(H108=0,0,L108/H108)</f>
        <v>-3.3287909590812617</v>
      </c>
      <c r="O108" s="29"/>
      <c r="P108" s="20">
        <f>+P49-P51+P104</f>
        <v>134663.01999999923</v>
      </c>
      <c r="Q108" s="14"/>
      <c r="R108" s="21">
        <f>IF(P$12=0,0,P108/P$12)</f>
        <v>5.2345828452503039E-2</v>
      </c>
      <c r="S108" s="14"/>
      <c r="T108" s="20">
        <f>+T49-T51+T104</f>
        <v>178447.77498144621</v>
      </c>
      <c r="U108" s="14"/>
      <c r="V108" s="21">
        <f>IF(T$12=0,0,T108/T$12)</f>
        <v>8.0742567125961423E-2</v>
      </c>
      <c r="W108" s="15"/>
      <c r="X108" s="20">
        <f>+P108-T108</f>
        <v>-43784.754981446982</v>
      </c>
      <c r="Y108" s="15"/>
      <c r="Z108" s="21">
        <f>IF(T108=0,0,X108/T108)</f>
        <v>-0.24536453304614991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2"/>
      <c r="B110" s="10" t="s">
        <v>128</v>
      </c>
      <c r="C110" s="10"/>
      <c r="D110" s="4">
        <v>42876.41</v>
      </c>
      <c r="E110" s="4"/>
      <c r="F110" s="12">
        <f>IF(D$12=0,0,D110/D$12)</f>
        <v>0.28626143839722901</v>
      </c>
      <c r="G110" s="4"/>
      <c r="H110" s="4">
        <v>26566</v>
      </c>
      <c r="I110" s="4"/>
      <c r="J110" s="12">
        <f>IF(H$12=0,0,H110/H$12)</f>
        <v>0.25461236929623632</v>
      </c>
      <c r="K110" s="4"/>
      <c r="L110" s="4">
        <f>+D110-H110</f>
        <v>16310.410000000003</v>
      </c>
      <c r="M110" s="4"/>
      <c r="N110" s="12">
        <f>IF(H110=0,0,L110/H110)</f>
        <v>0.61395806670179942</v>
      </c>
      <c r="O110" s="10"/>
      <c r="P110" s="4">
        <v>549732.64</v>
      </c>
      <c r="Q110" s="4"/>
      <c r="R110" s="12">
        <f>IF(P$12=0,0,P110/P$12)</f>
        <v>0.21369051776933098</v>
      </c>
      <c r="S110" s="4"/>
      <c r="T110" s="4">
        <v>408015</v>
      </c>
      <c r="U110" s="4"/>
      <c r="V110" s="12">
        <f>IF(T$12=0,0,T110/T$12)</f>
        <v>0.18461523843222177</v>
      </c>
      <c r="W110" s="4"/>
      <c r="X110" s="4">
        <f>+P110-T110</f>
        <v>141717.64000000001</v>
      </c>
      <c r="Y110" s="4"/>
      <c r="Z110" s="12">
        <f>IF(T110=0,0,X110/T110)</f>
        <v>0.34733438721615628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8" t="s">
        <v>126</v>
      </c>
      <c r="C112" s="28"/>
      <c r="D112" s="35">
        <f>+D108-D110</f>
        <v>36897.070000000007</v>
      </c>
      <c r="E112" s="14"/>
      <c r="F112" s="34">
        <f>IF(D$12=0,0,D112/D$12)</f>
        <v>0.24634078111584548</v>
      </c>
      <c r="G112" s="14"/>
      <c r="H112" s="35">
        <f>+H108-H110</f>
        <v>-60821.320207646153</v>
      </c>
      <c r="I112" s="14"/>
      <c r="J112" s="34">
        <f>IF(H$12=0,0,H112/H$12)</f>
        <v>-0.58292029066452766</v>
      </c>
      <c r="K112" s="15"/>
      <c r="L112" s="35">
        <f>D112-H112</f>
        <v>97718.390207646153</v>
      </c>
      <c r="M112" s="15"/>
      <c r="N112" s="34">
        <f>IF(H112=0,0,L112/H112)</f>
        <v>-1.6066469763239615</v>
      </c>
      <c r="O112" s="29"/>
      <c r="P112" s="35">
        <f>+P108-P110</f>
        <v>-415069.62000000081</v>
      </c>
      <c r="Q112" s="14"/>
      <c r="R112" s="34">
        <f>IF(P$12=0,0,P112/P$12)</f>
        <v>-0.16134468931682797</v>
      </c>
      <c r="S112" s="14"/>
      <c r="T112" s="35">
        <f>+T108-T110</f>
        <v>-229567.22501855379</v>
      </c>
      <c r="U112" s="14"/>
      <c r="V112" s="34">
        <f>IF(T$12=0,0,T112/T$12)</f>
        <v>-0.10387267130626035</v>
      </c>
      <c r="W112" s="15"/>
      <c r="X112" s="35">
        <f>P112-T112</f>
        <v>-185502.39498144703</v>
      </c>
      <c r="Y112" s="15"/>
      <c r="Z112" s="34">
        <f>IF(T112=0,0,X112/T112)</f>
        <v>0.80805260840895121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8" t="s">
        <v>294</v>
      </c>
      <c r="C115" s="28"/>
      <c r="D115" s="33">
        <f>SUM(D112:D114)</f>
        <v>36897.070000000007</v>
      </c>
      <c r="E115" s="14"/>
      <c r="F115" s="32">
        <f>IF(D$12=0,0,D115/D$12)</f>
        <v>0.24634078111584548</v>
      </c>
      <c r="G115" s="14"/>
      <c r="H115" s="33">
        <f>SUM(H112:H114)</f>
        <v>-60821.320207646153</v>
      </c>
      <c r="I115" s="14"/>
      <c r="J115" s="32">
        <f>IF(H$12=0,0,H115/H$12)</f>
        <v>-0.58292029066452766</v>
      </c>
      <c r="K115" s="15"/>
      <c r="L115" s="33">
        <f>+D115-H115</f>
        <v>97718.390207646153</v>
      </c>
      <c r="M115" s="15"/>
      <c r="N115" s="32">
        <f>IF(H115=0,0,L115/H115)</f>
        <v>-1.6066469763239615</v>
      </c>
      <c r="O115" s="29"/>
      <c r="P115" s="33">
        <f>SUM(P112:P114)</f>
        <v>-415069.62000000081</v>
      </c>
      <c r="Q115" s="14"/>
      <c r="R115" s="32">
        <f>IF(P$12=0,0,P115/P$12)</f>
        <v>-0.16134468931682797</v>
      </c>
      <c r="S115" s="14"/>
      <c r="T115" s="33">
        <f>SUM(T112:T114)</f>
        <v>-229567.22501855379</v>
      </c>
      <c r="U115" s="14"/>
      <c r="V115" s="32">
        <f>IF(T$12=0,0,T115/T$12)</f>
        <v>-0.10387267130626035</v>
      </c>
      <c r="W115" s="15"/>
      <c r="X115" s="33">
        <f>+P115-T115</f>
        <v>-185502.39498144703</v>
      </c>
      <c r="Y115" s="15"/>
      <c r="Z115" s="32">
        <f>IF(T115=0,0,X115/T115)</f>
        <v>0.80805260840895121</v>
      </c>
    </row>
    <row r="116" spans="1:26" ht="15.75" thickTop="1" x14ac:dyDescent="0.25">
      <c r="A116" s="9"/>
      <c r="C116" s="9"/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6" x14ac:dyDescent="0.25">
      <c r="A117" s="9"/>
      <c r="B117" s="60">
        <v>44356.891834571761</v>
      </c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55" t="s">
        <v>56</v>
      </c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A119" s="9"/>
      <c r="B119" s="63"/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  <row r="120" spans="1:26" x14ac:dyDescent="0.25"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199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4</v>
      </c>
      <c r="E12" s="4"/>
      <c r="F12" s="12"/>
      <c r="G12" s="4"/>
      <c r="H12" s="4">
        <f>SUM(OSRRefH13x_0)</f>
        <v>47810</v>
      </c>
      <c r="I12" s="4"/>
      <c r="J12" s="12"/>
      <c r="K12" s="4"/>
      <c r="L12" s="4">
        <f t="shared" ref="L12:L20" si="0">+D12-H12</f>
        <v>-47806</v>
      </c>
      <c r="M12" s="4"/>
      <c r="N12" s="12">
        <f t="shared" ref="N12:N20" si="1">IF(H12=0,0,L12/H12)</f>
        <v>-0.99991633549466641</v>
      </c>
      <c r="O12" s="10"/>
      <c r="P12" s="4">
        <f>SUM(OSRRefP13x_0)</f>
        <v>2876.92</v>
      </c>
      <c r="Q12" s="4"/>
      <c r="R12" s="12"/>
      <c r="S12" s="4"/>
      <c r="T12" s="4">
        <f>SUM(OSRRefT13x_0)</f>
        <v>600224</v>
      </c>
      <c r="U12" s="4"/>
      <c r="V12" s="12"/>
      <c r="W12" s="4"/>
      <c r="X12" s="4">
        <f t="shared" ref="X12:X20" si="2">+P12-T12</f>
        <v>-597347.07999999996</v>
      </c>
      <c r="Y12" s="4"/>
      <c r="Z12" s="12">
        <f t="shared" ref="Z12:Z20" si="3">IF(T12=0,0,X12/T12)</f>
        <v>-0.99520692274884037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9" si="4">0</f>
        <v>0</v>
      </c>
      <c r="E13" s="2"/>
      <c r="F13" s="19"/>
      <c r="G13" s="2"/>
      <c r="H13" s="2">
        <v>3805</v>
      </c>
      <c r="I13" s="2"/>
      <c r="J13" s="19"/>
      <c r="K13" s="2"/>
      <c r="L13" s="2">
        <f t="shared" si="0"/>
        <v>-3805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48736</v>
      </c>
      <c r="U13" s="2"/>
      <c r="V13" s="19"/>
      <c r="W13" s="2"/>
      <c r="X13" s="2">
        <f t="shared" si="2"/>
        <v>-48736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--444.59</f>
        <v>444.59</v>
      </c>
      <c r="Q14" s="2"/>
      <c r="R14" s="19"/>
      <c r="S14" s="2"/>
      <c r="T14" s="2"/>
      <c r="U14" s="2"/>
      <c r="V14" s="19"/>
      <c r="W14" s="2"/>
      <c r="X14" s="2">
        <f t="shared" si="2"/>
        <v>444.59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ref="P15:P16" si="5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 t="shared" si="4"/>
        <v>0</v>
      </c>
      <c r="E16" s="2"/>
      <c r="F16" s="19"/>
      <c r="G16" s="2"/>
      <c r="H16" s="2">
        <v>44005</v>
      </c>
      <c r="I16" s="2"/>
      <c r="J16" s="19"/>
      <c r="K16" s="2"/>
      <c r="L16" s="2">
        <f t="shared" si="0"/>
        <v>-44005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v>551488</v>
      </c>
      <c r="U16" s="2"/>
      <c r="V16" s="19"/>
      <c r="W16" s="2"/>
      <c r="X16" s="2">
        <f t="shared" si="2"/>
        <v>-551488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"4132", " - ", "NON-TAXABLE SALES-JUICE")</f>
        <v xml:space="preserve">          4132 - NON-TAXABLE SALES-JUICE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--2031.88</f>
        <v>2031.88</v>
      </c>
      <c r="Q17" s="2"/>
      <c r="R17" s="19"/>
      <c r="S17" s="2"/>
      <c r="T17" s="2"/>
      <c r="U17" s="2"/>
      <c r="V17" s="19"/>
      <c r="W17" s="2"/>
      <c r="X17" s="2">
        <f t="shared" si="2"/>
        <v>2031.88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ref="P18:P19" si="6">0</f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6"/>
        <v>0</v>
      </c>
      <c r="Q19" s="2"/>
      <c r="R19" s="19"/>
      <c r="S19" s="2"/>
      <c r="T19" s="2"/>
      <c r="U19" s="2"/>
      <c r="V19" s="19"/>
      <c r="W19" s="2"/>
      <c r="X19" s="2">
        <f t="shared" si="2"/>
        <v>0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--4</f>
        <v>4</v>
      </c>
      <c r="E20" s="2"/>
      <c r="F20" s="19"/>
      <c r="G20" s="2"/>
      <c r="H20" s="2"/>
      <c r="I20" s="2"/>
      <c r="J20" s="19"/>
      <c r="K20" s="2"/>
      <c r="L20" s="2">
        <f t="shared" si="0"/>
        <v>4</v>
      </c>
      <c r="M20" s="2"/>
      <c r="N20" s="19">
        <f t="shared" si="1"/>
        <v>0</v>
      </c>
      <c r="O20" s="11"/>
      <c r="P20" s="2">
        <f>--400.45</f>
        <v>400.45</v>
      </c>
      <c r="Q20" s="2"/>
      <c r="R20" s="19"/>
      <c r="S20" s="2"/>
      <c r="T20" s="2"/>
      <c r="U20" s="2"/>
      <c r="V20" s="19"/>
      <c r="W20" s="2"/>
      <c r="X20" s="2">
        <f t="shared" si="2"/>
        <v>400.45</v>
      </c>
      <c r="Y20" s="2"/>
      <c r="Z20" s="19">
        <f t="shared" si="3"/>
        <v>0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9" t="s">
        <v>257</v>
      </c>
      <c r="C22" s="10"/>
      <c r="D22" s="4">
        <f>SUM(OSRRefD16x_0)</f>
        <v>-29</v>
      </c>
      <c r="E22" s="4"/>
      <c r="F22" s="12">
        <f t="shared" ref="F22:F25" si="7">IF(D$12=0,0,D22/D$12)</f>
        <v>-7.25</v>
      </c>
      <c r="G22" s="4"/>
      <c r="H22" s="4">
        <f>SUM(OSRRefH16x_0)</f>
        <v>22992</v>
      </c>
      <c r="I22" s="4"/>
      <c r="J22" s="12">
        <f t="shared" ref="J22:J25" si="8">IF(H$12=0,0,H22/H$12)</f>
        <v>0.48090357665760303</v>
      </c>
      <c r="K22" s="4"/>
      <c r="L22" s="4">
        <f t="shared" ref="L22:L25" si="9">+D22-H22</f>
        <v>-23021</v>
      </c>
      <c r="M22" s="4"/>
      <c r="N22" s="12">
        <f t="shared" ref="N22:N25" si="10">IF(H22=0,0,L22/H22)</f>
        <v>-1.0012613082811412</v>
      </c>
      <c r="O22" s="10"/>
      <c r="P22" s="4">
        <f>SUM(OSRRefP16x_0)</f>
        <v>28390.84</v>
      </c>
      <c r="Q22" s="4"/>
      <c r="R22" s="12">
        <f t="shared" ref="R22:R25" si="11">IF(P$12=0,0,P22/P$12)</f>
        <v>9.868484351320161</v>
      </c>
      <c r="S22" s="4"/>
      <c r="T22" s="4">
        <f>SUM(OSRRefT16x_0)</f>
        <v>280037</v>
      </c>
      <c r="U22" s="4"/>
      <c r="V22" s="12">
        <f t="shared" ref="V22:V25" si="12">IF(T$12=0,0,T22/T$12)</f>
        <v>0.46655415311616999</v>
      </c>
      <c r="W22" s="4"/>
      <c r="X22" s="4">
        <f t="shared" ref="X22:X25" si="13">+P22-T22</f>
        <v>-251646.16</v>
      </c>
      <c r="Y22" s="4"/>
      <c r="Z22" s="12">
        <f t="shared" ref="Z22:Z25" si="14">IF(T22=0,0,X22/T22)</f>
        <v>-0.89861753982509451</v>
      </c>
    </row>
    <row r="23" spans="1:26" s="24" customFormat="1" hidden="1" outlineLevel="1" x14ac:dyDescent="0.25">
      <c r="A23" s="44"/>
      <c r="B23" s="11" t="str">
        <f>CONCATENATE("          ", "5000", " - ", "PURCHASES @ COST")</f>
        <v xml:space="preserve">          5000 - PURCHASES @ COST</v>
      </c>
      <c r="C23" s="11"/>
      <c r="D23" s="2"/>
      <c r="E23" s="2"/>
      <c r="F23" s="19">
        <f t="shared" si="7"/>
        <v>0</v>
      </c>
      <c r="G23" s="2"/>
      <c r="H23" s="2">
        <v>22992</v>
      </c>
      <c r="I23" s="2"/>
      <c r="J23" s="19">
        <f t="shared" si="8"/>
        <v>0.48090357665760303</v>
      </c>
      <c r="K23" s="2"/>
      <c r="L23" s="2">
        <f t="shared" si="9"/>
        <v>-22992</v>
      </c>
      <c r="M23" s="2"/>
      <c r="N23" s="19">
        <f t="shared" si="10"/>
        <v>-1</v>
      </c>
      <c r="O23" s="11"/>
      <c r="P23" s="2"/>
      <c r="Q23" s="2"/>
      <c r="R23" s="19">
        <f t="shared" si="11"/>
        <v>0</v>
      </c>
      <c r="S23" s="2"/>
      <c r="T23" s="2">
        <v>280037</v>
      </c>
      <c r="U23" s="2"/>
      <c r="V23" s="19">
        <f t="shared" si="12"/>
        <v>0.46655415311616999</v>
      </c>
      <c r="W23" s="2"/>
      <c r="X23" s="2">
        <f t="shared" si="13"/>
        <v>-280037</v>
      </c>
      <c r="Y23" s="2"/>
      <c r="Z23" s="19">
        <f t="shared" si="14"/>
        <v>-1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-29</v>
      </c>
      <c r="E24" s="2"/>
      <c r="F24" s="19">
        <f t="shared" si="7"/>
        <v>-7.25</v>
      </c>
      <c r="G24" s="2"/>
      <c r="H24" s="2"/>
      <c r="I24" s="2"/>
      <c r="J24" s="19">
        <f t="shared" si="8"/>
        <v>0</v>
      </c>
      <c r="K24" s="2"/>
      <c r="L24" s="2">
        <f t="shared" si="9"/>
        <v>-29</v>
      </c>
      <c r="M24" s="2"/>
      <c r="N24" s="19">
        <f t="shared" si="10"/>
        <v>0</v>
      </c>
      <c r="O24" s="11"/>
      <c r="P24" s="2">
        <v>-2499.15</v>
      </c>
      <c r="Q24" s="2"/>
      <c r="R24" s="19">
        <f t="shared" si="11"/>
        <v>-0.86868943175340296</v>
      </c>
      <c r="S24" s="2"/>
      <c r="T24" s="2"/>
      <c r="U24" s="2"/>
      <c r="V24" s="19">
        <f t="shared" si="12"/>
        <v>0</v>
      </c>
      <c r="W24" s="2"/>
      <c r="X24" s="2">
        <f t="shared" si="13"/>
        <v>-2499.15</v>
      </c>
      <c r="Y24" s="2"/>
      <c r="Z24" s="19">
        <f t="shared" si="14"/>
        <v>0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/>
      <c r="E25" s="2"/>
      <c r="F25" s="19">
        <f t="shared" si="7"/>
        <v>0</v>
      </c>
      <c r="G25" s="2"/>
      <c r="H25" s="2"/>
      <c r="I25" s="2"/>
      <c r="J25" s="19">
        <f t="shared" si="8"/>
        <v>0</v>
      </c>
      <c r="K25" s="2"/>
      <c r="L25" s="2">
        <f t="shared" si="9"/>
        <v>0</v>
      </c>
      <c r="M25" s="2"/>
      <c r="N25" s="19">
        <f t="shared" si="10"/>
        <v>0</v>
      </c>
      <c r="O25" s="11"/>
      <c r="P25" s="2">
        <v>30889.99</v>
      </c>
      <c r="Q25" s="2"/>
      <c r="R25" s="19">
        <f t="shared" si="11"/>
        <v>10.737173783073565</v>
      </c>
      <c r="S25" s="2"/>
      <c r="T25" s="2"/>
      <c r="U25" s="2"/>
      <c r="V25" s="19">
        <f t="shared" si="12"/>
        <v>0</v>
      </c>
      <c r="W25" s="2"/>
      <c r="X25" s="2">
        <f t="shared" si="13"/>
        <v>30889.99</v>
      </c>
      <c r="Y25" s="2"/>
      <c r="Z25" s="19">
        <f t="shared" si="14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108</v>
      </c>
      <c r="C27" s="28"/>
      <c r="D27" s="20">
        <f>D12-D22</f>
        <v>33</v>
      </c>
      <c r="E27" s="14"/>
      <c r="F27" s="21">
        <f>IF(D$12=0,0,D27/D$12)</f>
        <v>8.25</v>
      </c>
      <c r="G27" s="14"/>
      <c r="H27" s="20">
        <f>H12-H22</f>
        <v>24818</v>
      </c>
      <c r="I27" s="14"/>
      <c r="J27" s="21">
        <f>IF(H$12=0,0,H27/H$12)</f>
        <v>0.51909642334239703</v>
      </c>
      <c r="K27" s="15"/>
      <c r="L27" s="20">
        <f>+D27-H27</f>
        <v>-24785</v>
      </c>
      <c r="M27" s="15"/>
      <c r="N27" s="21">
        <f>IF(H27=0,0,L27/H27)</f>
        <v>-0.99867031992908373</v>
      </c>
      <c r="O27" s="29"/>
      <c r="P27" s="20">
        <f>P12-P22</f>
        <v>-25513.919999999998</v>
      </c>
      <c r="Q27" s="14"/>
      <c r="R27" s="21">
        <f>IF(P$12=0,0,P27/P$12)</f>
        <v>-8.868484351320161</v>
      </c>
      <c r="S27" s="14"/>
      <c r="T27" s="20">
        <f>T12-T22</f>
        <v>320187</v>
      </c>
      <c r="U27" s="14"/>
      <c r="V27" s="21">
        <f>IF(T$12=0,0,T27/T$12)</f>
        <v>0.53344584688383001</v>
      </c>
      <c r="W27" s="15"/>
      <c r="X27" s="20">
        <f>+P27-T27</f>
        <v>-345700.92</v>
      </c>
      <c r="Y27" s="15"/>
      <c r="Z27" s="21">
        <f>IF(T27=0,0,X27/T27)</f>
        <v>-1.0796844344086425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9" t="s">
        <v>295</v>
      </c>
      <c r="C29" s="10"/>
      <c r="D29" s="22">
        <f>SUM(OSRRefD22x_0)</f>
        <v>14923.33</v>
      </c>
      <c r="E29" s="22"/>
      <c r="F29" s="31">
        <f t="shared" ref="F29:F39" si="15">IF(D$12=0,0,D29/D$12)</f>
        <v>3730.8325</v>
      </c>
      <c r="G29" s="22"/>
      <c r="H29" s="22">
        <f>SUM(OSRRefH22x_0)</f>
        <v>49532.852687899998</v>
      </c>
      <c r="I29" s="22"/>
      <c r="J29" s="31">
        <f t="shared" ref="J29:J39" si="16">IF(H$12=0,0,H29/H$12)</f>
        <v>1.0360354044739595</v>
      </c>
      <c r="K29" s="4"/>
      <c r="L29" s="22">
        <f t="shared" ref="L29:L39" si="17">+D29-H29</f>
        <v>-34609.522687899997</v>
      </c>
      <c r="M29" s="4"/>
      <c r="N29" s="31">
        <f t="shared" ref="N29:N39" si="18">IF(H29=0,0,L29/H29)</f>
        <v>-0.6987185435486637</v>
      </c>
      <c r="O29" s="10"/>
      <c r="P29" s="22">
        <f>SUM(OSRRefP22x_0)</f>
        <v>248028.43000000002</v>
      </c>
      <c r="Q29" s="22"/>
      <c r="R29" s="31">
        <f t="shared" ref="R29:R39" si="19">IF(P$12=0,0,P29/P$12)</f>
        <v>86.21318284832391</v>
      </c>
      <c r="S29" s="22"/>
      <c r="T29" s="22">
        <f>SUM(OSRRefT22x_0)</f>
        <v>618056.88512540003</v>
      </c>
      <c r="U29" s="22"/>
      <c r="V29" s="31">
        <f t="shared" ref="V29:V39" si="20">IF(T$12=0,0,T29/T$12)</f>
        <v>1.0297103833325558</v>
      </c>
      <c r="W29" s="4"/>
      <c r="X29" s="22">
        <f t="shared" ref="X29:X39" si="21">+P29-T29</f>
        <v>-370028.45512539998</v>
      </c>
      <c r="Y29" s="4"/>
      <c r="Z29" s="31">
        <f t="shared" ref="Z29:Z39" si="22">IF(T29=0,0,X29/T29)</f>
        <v>-0.59869643722247901</v>
      </c>
    </row>
    <row r="30" spans="1:26" s="27" customFormat="1" outlineLevel="1" collapsed="1" x14ac:dyDescent="0.25">
      <c r="A30" s="26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0</v>
      </c>
      <c r="E30" s="1"/>
      <c r="F30" s="5">
        <f t="shared" si="15"/>
        <v>0</v>
      </c>
      <c r="G30" s="1"/>
      <c r="H30" s="1">
        <f>SUM(OSRRefH22_0x_0)</f>
        <v>7399.7026879000005</v>
      </c>
      <c r="I30" s="1"/>
      <c r="J30" s="5">
        <f t="shared" si="16"/>
        <v>0.15477311624973855</v>
      </c>
      <c r="K30" s="1"/>
      <c r="L30" s="1">
        <f t="shared" si="17"/>
        <v>-7399.7026879000005</v>
      </c>
      <c r="M30" s="1"/>
      <c r="N30" s="5">
        <f t="shared" si="18"/>
        <v>-1</v>
      </c>
      <c r="O30" s="13"/>
      <c r="P30" s="1">
        <f>SUM(OSRRefP22_0x_0)</f>
        <v>35025.26</v>
      </c>
      <c r="Q30" s="1"/>
      <c r="R30" s="5">
        <f t="shared" si="19"/>
        <v>12.174568635902284</v>
      </c>
      <c r="S30" s="1"/>
      <c r="T30" s="1">
        <f>SUM(OSRRefT22_0x_0)</f>
        <v>85638.749125400005</v>
      </c>
      <c r="U30" s="1"/>
      <c r="V30" s="5">
        <f t="shared" si="20"/>
        <v>0.14267798209568427</v>
      </c>
      <c r="W30" s="1"/>
      <c r="X30" s="1">
        <f t="shared" si="21"/>
        <v>-50613.489125400003</v>
      </c>
      <c r="Y30" s="1"/>
      <c r="Z30" s="5">
        <f t="shared" si="22"/>
        <v>-0.59101154141435619</v>
      </c>
    </row>
    <row r="31" spans="1:26" s="24" customFormat="1" hidden="1" outlineLevel="2" x14ac:dyDescent="0.25">
      <c r="A31" s="25"/>
      <c r="B31" s="11" t="str">
        <f>CONCATENATE("          ", "6111", " - ", "F.I.C.A.")</f>
        <v xml:space="preserve">          6111 - F.I.C.A.</v>
      </c>
      <c r="C31" s="11"/>
      <c r="D31" s="7"/>
      <c r="E31" s="2"/>
      <c r="F31" s="6">
        <f t="shared" si="15"/>
        <v>0</v>
      </c>
      <c r="G31" s="2"/>
      <c r="H31" s="7">
        <v>1029.7517109</v>
      </c>
      <c r="I31" s="2"/>
      <c r="J31" s="6">
        <f t="shared" si="16"/>
        <v>2.1538416877222338E-2</v>
      </c>
      <c r="K31" s="2"/>
      <c r="L31" s="7">
        <f t="shared" si="17"/>
        <v>-1029.7517109</v>
      </c>
      <c r="M31" s="2"/>
      <c r="N31" s="6">
        <f t="shared" si="18"/>
        <v>-1</v>
      </c>
      <c r="O31" s="11"/>
      <c r="P31" s="7">
        <v>3909.68</v>
      </c>
      <c r="Q31" s="2"/>
      <c r="R31" s="6">
        <f t="shared" si="19"/>
        <v>1.3589811326001418</v>
      </c>
      <c r="S31" s="2"/>
      <c r="T31" s="7">
        <v>12437.332643399999</v>
      </c>
      <c r="U31" s="2"/>
      <c r="V31" s="6">
        <f t="shared" si="20"/>
        <v>2.0721151842312203E-2</v>
      </c>
      <c r="W31" s="2"/>
      <c r="X31" s="7">
        <f t="shared" si="21"/>
        <v>-8527.6526433999989</v>
      </c>
      <c r="Y31" s="2"/>
      <c r="Z31" s="6">
        <f t="shared" si="22"/>
        <v>-0.68564963950894142</v>
      </c>
    </row>
    <row r="32" spans="1:26" s="24" customFormat="1" hidden="1" outlineLevel="2" x14ac:dyDescent="0.25">
      <c r="A32" s="25"/>
      <c r="B32" s="11" t="str">
        <f>CONCATENATE("          ", "6112", " - ", "COMPENSATION INSURANCE")</f>
        <v xml:space="preserve">          6112 - COMPENSATION INSURANCE</v>
      </c>
      <c r="C32" s="11"/>
      <c r="D32" s="7"/>
      <c r="E32" s="2"/>
      <c r="F32" s="6">
        <f t="shared" si="15"/>
        <v>0</v>
      </c>
      <c r="G32" s="2"/>
      <c r="H32" s="7">
        <v>408.33329500000002</v>
      </c>
      <c r="I32" s="2"/>
      <c r="J32" s="6">
        <f t="shared" si="16"/>
        <v>8.5407507843547371E-3</v>
      </c>
      <c r="K32" s="2"/>
      <c r="L32" s="7">
        <f t="shared" si="17"/>
        <v>-408.33329500000002</v>
      </c>
      <c r="M32" s="2"/>
      <c r="N32" s="6">
        <f t="shared" si="18"/>
        <v>-1</v>
      </c>
      <c r="O32" s="11"/>
      <c r="P32" s="7">
        <v>830.67</v>
      </c>
      <c r="Q32" s="2"/>
      <c r="R32" s="6">
        <f t="shared" si="19"/>
        <v>0.2887358703057436</v>
      </c>
      <c r="S32" s="2"/>
      <c r="T32" s="7">
        <v>5194.21947</v>
      </c>
      <c r="U32" s="2"/>
      <c r="V32" s="6">
        <f t="shared" si="20"/>
        <v>8.6538016973663166E-3</v>
      </c>
      <c r="W32" s="2"/>
      <c r="X32" s="7">
        <f t="shared" si="21"/>
        <v>-4363.5494699999999</v>
      </c>
      <c r="Y32" s="2"/>
      <c r="Z32" s="6">
        <f t="shared" si="22"/>
        <v>-0.84007799346992162</v>
      </c>
    </row>
    <row r="33" spans="1:26" s="24" customFormat="1" hidden="1" outlineLevel="2" x14ac:dyDescent="0.25">
      <c r="A33" s="25"/>
      <c r="B33" s="11" t="str">
        <f>CONCATENATE("          ", "6113", " - ", "GROUP INSURANCE")</f>
        <v xml:space="preserve">          6113 - GROUP INSURANCE</v>
      </c>
      <c r="C33" s="11"/>
      <c r="D33" s="7"/>
      <c r="E33" s="2"/>
      <c r="F33" s="6">
        <f t="shared" si="15"/>
        <v>0</v>
      </c>
      <c r="G33" s="2"/>
      <c r="H33" s="7">
        <v>3960</v>
      </c>
      <c r="I33" s="2"/>
      <c r="J33" s="6">
        <f t="shared" si="16"/>
        <v>8.2827860280276097E-2</v>
      </c>
      <c r="K33" s="2"/>
      <c r="L33" s="7">
        <f t="shared" si="17"/>
        <v>-3960</v>
      </c>
      <c r="M33" s="2"/>
      <c r="N33" s="6">
        <f t="shared" si="18"/>
        <v>-1</v>
      </c>
      <c r="O33" s="11"/>
      <c r="P33" s="7">
        <v>18067.72</v>
      </c>
      <c r="Q33" s="2"/>
      <c r="R33" s="6">
        <f t="shared" si="19"/>
        <v>6.2802302462355577</v>
      </c>
      <c r="S33" s="2"/>
      <c r="T33" s="7">
        <v>43560</v>
      </c>
      <c r="U33" s="2"/>
      <c r="V33" s="6">
        <f t="shared" si="20"/>
        <v>7.2572906115050378E-2</v>
      </c>
      <c r="W33" s="2"/>
      <c r="X33" s="7">
        <f t="shared" si="21"/>
        <v>-25492.28</v>
      </c>
      <c r="Y33" s="2"/>
      <c r="Z33" s="6">
        <f t="shared" si="22"/>
        <v>-0.5852222222222222</v>
      </c>
    </row>
    <row r="34" spans="1:26" s="24" customFormat="1" hidden="1" outlineLevel="2" x14ac:dyDescent="0.25">
      <c r="A34" s="25"/>
      <c r="B34" s="11" t="str">
        <f>CONCATENATE("          ", "6114", " - ", "STATE UNEMPLOYMENT INSURANCE")</f>
        <v xml:space="preserve">          6114 - STATE UNEMPLOYMENT INSURANCE</v>
      </c>
      <c r="C34" s="11"/>
      <c r="D34" s="7"/>
      <c r="E34" s="2"/>
      <c r="F34" s="6">
        <f t="shared" si="15"/>
        <v>0</v>
      </c>
      <c r="G34" s="2"/>
      <c r="H34" s="7">
        <v>57.387382000000002</v>
      </c>
      <c r="I34" s="2"/>
      <c r="J34" s="6">
        <f t="shared" si="16"/>
        <v>1.2003217318552605E-3</v>
      </c>
      <c r="K34" s="2"/>
      <c r="L34" s="7">
        <f t="shared" si="17"/>
        <v>-57.387382000000002</v>
      </c>
      <c r="M34" s="2"/>
      <c r="N34" s="6">
        <f t="shared" si="18"/>
        <v>-1</v>
      </c>
      <c r="O34" s="11"/>
      <c r="P34" s="7">
        <v>132.15</v>
      </c>
      <c r="Q34" s="2"/>
      <c r="R34" s="6">
        <f t="shared" si="19"/>
        <v>4.5934541106461078E-2</v>
      </c>
      <c r="S34" s="2"/>
      <c r="T34" s="7">
        <v>729.99841200000003</v>
      </c>
      <c r="U34" s="2"/>
      <c r="V34" s="6">
        <f t="shared" si="20"/>
        <v>1.2162099682785095E-3</v>
      </c>
      <c r="W34" s="2"/>
      <c r="X34" s="7">
        <f t="shared" si="21"/>
        <v>-597.84841200000005</v>
      </c>
      <c r="Y34" s="2"/>
      <c r="Z34" s="6">
        <f t="shared" si="22"/>
        <v>-0.81897220894228473</v>
      </c>
    </row>
    <row r="35" spans="1:26" s="24" customFormat="1" hidden="1" outlineLevel="2" x14ac:dyDescent="0.25">
      <c r="A35" s="25"/>
      <c r="B35" s="11" t="str">
        <f>CONCATENATE("          ", "6115", " - ", "P.E.R.S.")</f>
        <v xml:space="preserve">          6115 - P.E.R.S.</v>
      </c>
      <c r="C35" s="11"/>
      <c r="D35" s="7"/>
      <c r="E35" s="2"/>
      <c r="F35" s="6">
        <f t="shared" si="15"/>
        <v>0</v>
      </c>
      <c r="G35" s="2"/>
      <c r="H35" s="7">
        <v>865.05679999999995</v>
      </c>
      <c r="I35" s="2"/>
      <c r="J35" s="6">
        <f t="shared" si="16"/>
        <v>1.8093637314369377E-2</v>
      </c>
      <c r="K35" s="2"/>
      <c r="L35" s="7">
        <f t="shared" si="17"/>
        <v>-865.05679999999995</v>
      </c>
      <c r="M35" s="2"/>
      <c r="N35" s="6">
        <f t="shared" si="18"/>
        <v>-1</v>
      </c>
      <c r="O35" s="11"/>
      <c r="P35" s="7">
        <v>5525.49</v>
      </c>
      <c r="Q35" s="2"/>
      <c r="R35" s="6">
        <f t="shared" si="19"/>
        <v>1.9206269204565993</v>
      </c>
      <c r="S35" s="2"/>
      <c r="T35" s="7">
        <v>10194.6464</v>
      </c>
      <c r="U35" s="2"/>
      <c r="V35" s="6">
        <f t="shared" si="20"/>
        <v>1.6984736365090364E-2</v>
      </c>
      <c r="W35" s="2"/>
      <c r="X35" s="7">
        <f t="shared" si="21"/>
        <v>-4669.1563999999998</v>
      </c>
      <c r="Y35" s="2"/>
      <c r="Z35" s="6">
        <f t="shared" si="22"/>
        <v>-0.45800081893963485</v>
      </c>
    </row>
    <row r="36" spans="1:26" s="24" customFormat="1" hidden="1" outlineLevel="2" x14ac:dyDescent="0.25">
      <c r="A36" s="25"/>
      <c r="B36" s="11" t="str">
        <f>CONCATENATE("          ", "6116", " - ", "EDUCATIONAL BENEFITS")</f>
        <v xml:space="preserve">          6116 - EDUCATIONAL BENEFITS</v>
      </c>
      <c r="C36" s="11"/>
      <c r="D36" s="7"/>
      <c r="E36" s="2"/>
      <c r="F36" s="6">
        <f t="shared" si="15"/>
        <v>0</v>
      </c>
      <c r="G36" s="2"/>
      <c r="H36" s="7">
        <v>0</v>
      </c>
      <c r="I36" s="2"/>
      <c r="J36" s="6">
        <f t="shared" si="16"/>
        <v>0</v>
      </c>
      <c r="K36" s="2"/>
      <c r="L36" s="7">
        <f t="shared" si="17"/>
        <v>0</v>
      </c>
      <c r="M36" s="2"/>
      <c r="N36" s="6">
        <f t="shared" si="18"/>
        <v>0</v>
      </c>
      <c r="O36" s="11"/>
      <c r="P36" s="7"/>
      <c r="Q36" s="2"/>
      <c r="R36" s="6">
        <f t="shared" si="19"/>
        <v>0</v>
      </c>
      <c r="S36" s="2"/>
      <c r="T36" s="7">
        <v>0</v>
      </c>
      <c r="U36" s="2"/>
      <c r="V36" s="6">
        <f t="shared" si="20"/>
        <v>0</v>
      </c>
      <c r="W36" s="2"/>
      <c r="X36" s="7">
        <f t="shared" si="21"/>
        <v>0</v>
      </c>
      <c r="Y36" s="2"/>
      <c r="Z36" s="6">
        <f t="shared" si="22"/>
        <v>0</v>
      </c>
    </row>
    <row r="37" spans="1:26" s="24" customFormat="1" hidden="1" outlineLevel="2" x14ac:dyDescent="0.25">
      <c r="A37" s="25"/>
      <c r="B37" s="11" t="str">
        <f>CONCATENATE("          ", "6118", " - ", "VACATION")</f>
        <v xml:space="preserve">          6118 - VACATION</v>
      </c>
      <c r="C37" s="11"/>
      <c r="D37" s="7"/>
      <c r="E37" s="2"/>
      <c r="F37" s="6">
        <f t="shared" si="15"/>
        <v>0</v>
      </c>
      <c r="G37" s="2"/>
      <c r="H37" s="7">
        <v>391.62</v>
      </c>
      <c r="I37" s="2"/>
      <c r="J37" s="6">
        <f t="shared" si="16"/>
        <v>8.1911733946873032E-3</v>
      </c>
      <c r="K37" s="2"/>
      <c r="L37" s="7">
        <f t="shared" si="17"/>
        <v>-391.62</v>
      </c>
      <c r="M37" s="2"/>
      <c r="N37" s="6">
        <f t="shared" si="18"/>
        <v>-1</v>
      </c>
      <c r="O37" s="11"/>
      <c r="P37" s="7">
        <v>3386</v>
      </c>
      <c r="Q37" s="2"/>
      <c r="R37" s="6">
        <f t="shared" si="19"/>
        <v>1.1769531304311556</v>
      </c>
      <c r="S37" s="2"/>
      <c r="T37" s="7">
        <v>4591.28</v>
      </c>
      <c r="U37" s="2"/>
      <c r="V37" s="6">
        <f t="shared" si="20"/>
        <v>7.6492776030282024E-3</v>
      </c>
      <c r="W37" s="2"/>
      <c r="X37" s="7">
        <f t="shared" si="21"/>
        <v>-1205.2799999999997</v>
      </c>
      <c r="Y37" s="2"/>
      <c r="Z37" s="6">
        <f t="shared" si="22"/>
        <v>-0.26251502848878738</v>
      </c>
    </row>
    <row r="38" spans="1:26" s="24" customFormat="1" hidden="1" outlineLevel="2" x14ac:dyDescent="0.25">
      <c r="A38" s="25"/>
      <c r="B38" s="11" t="str">
        <f>CONCATENATE("          ", "6119", " - ", "SICK LEAVE")</f>
        <v xml:space="preserve">          6119 - SICK LEAVE</v>
      </c>
      <c r="C38" s="11"/>
      <c r="D38" s="7"/>
      <c r="E38" s="2"/>
      <c r="F38" s="6">
        <f t="shared" si="15"/>
        <v>0</v>
      </c>
      <c r="G38" s="2"/>
      <c r="H38" s="7">
        <v>512.55349999999999</v>
      </c>
      <c r="I38" s="2"/>
      <c r="J38" s="6">
        <f t="shared" si="16"/>
        <v>1.0720633758627902E-2</v>
      </c>
      <c r="K38" s="2"/>
      <c r="L38" s="7">
        <f t="shared" si="17"/>
        <v>-512.55349999999999</v>
      </c>
      <c r="M38" s="2"/>
      <c r="N38" s="6">
        <f t="shared" si="18"/>
        <v>-1</v>
      </c>
      <c r="O38" s="11"/>
      <c r="P38" s="7">
        <v>2447.1799999999998</v>
      </c>
      <c r="Q38" s="2"/>
      <c r="R38" s="6">
        <f t="shared" si="19"/>
        <v>0.85062497393045333</v>
      </c>
      <c r="S38" s="2"/>
      <c r="T38" s="7">
        <v>7006.2722000000003</v>
      </c>
      <c r="U38" s="2"/>
      <c r="V38" s="6">
        <f t="shared" si="20"/>
        <v>1.1672762501999254E-2</v>
      </c>
      <c r="W38" s="2"/>
      <c r="X38" s="7">
        <f t="shared" si="21"/>
        <v>-4559.092200000001</v>
      </c>
      <c r="Y38" s="2"/>
      <c r="Z38" s="6">
        <f t="shared" si="22"/>
        <v>-0.65071582574253972</v>
      </c>
    </row>
    <row r="39" spans="1:26" s="24" customFormat="1" hidden="1" outlineLevel="2" x14ac:dyDescent="0.25">
      <c r="A39" s="25"/>
      <c r="B39" s="11" t="str">
        <f>CONCATENATE("          ", "6156", " - ", "EMPLOYEE MEALS")</f>
        <v xml:space="preserve">          6156 - EMPLOYEE MEALS</v>
      </c>
      <c r="C39" s="11"/>
      <c r="D39" s="7"/>
      <c r="E39" s="2"/>
      <c r="F39" s="6">
        <f t="shared" si="15"/>
        <v>0</v>
      </c>
      <c r="G39" s="2"/>
      <c r="H39" s="7">
        <v>175</v>
      </c>
      <c r="I39" s="2"/>
      <c r="J39" s="6">
        <f t="shared" si="16"/>
        <v>3.6603221083455345E-3</v>
      </c>
      <c r="K39" s="2"/>
      <c r="L39" s="7">
        <f t="shared" si="17"/>
        <v>-175</v>
      </c>
      <c r="M39" s="2"/>
      <c r="N39" s="6">
        <f t="shared" si="18"/>
        <v>-1</v>
      </c>
      <c r="O39" s="11"/>
      <c r="P39" s="7">
        <v>726.37</v>
      </c>
      <c r="Q39" s="2"/>
      <c r="R39" s="6">
        <f t="shared" si="19"/>
        <v>0.25248182083617199</v>
      </c>
      <c r="S39" s="2"/>
      <c r="T39" s="7">
        <v>1925</v>
      </c>
      <c r="U39" s="2"/>
      <c r="V39" s="6">
        <f t="shared" si="20"/>
        <v>3.2071360025590447E-3</v>
      </c>
      <c r="W39" s="2"/>
      <c r="X39" s="7">
        <f t="shared" si="21"/>
        <v>-1198.6300000000001</v>
      </c>
      <c r="Y39" s="2"/>
      <c r="Z39" s="6">
        <f t="shared" si="22"/>
        <v>-0.62266493506493514</v>
      </c>
    </row>
    <row r="40" spans="1:26" s="27" customFormat="1" outlineLevel="1" collapsed="1" x14ac:dyDescent="0.25">
      <c r="A40" s="26"/>
      <c r="B40" s="13" t="str">
        <f>CONCATENATE("     ","*Payroll                                          ")</f>
        <v xml:space="preserve">     *Payroll                                          </v>
      </c>
      <c r="C40" s="13"/>
      <c r="D40" s="1">
        <f>SUM(OSRRefD22_1x_0)</f>
        <v>0</v>
      </c>
      <c r="E40" s="1"/>
      <c r="F40" s="5">
        <f t="shared" ref="F40:F50" si="23">IF(D$12=0,0,D40/D$12)</f>
        <v>0</v>
      </c>
      <c r="G40" s="1"/>
      <c r="H40" s="1">
        <f>SUM(OSRRefH22_1x_0)</f>
        <v>21225.15</v>
      </c>
      <c r="I40" s="1"/>
      <c r="J40" s="5">
        <f t="shared" ref="J40:J50" si="24">IF(H$12=0,0,H40/H$12)</f>
        <v>0.44394791884542983</v>
      </c>
      <c r="K40" s="1"/>
      <c r="L40" s="1">
        <f t="shared" ref="L40:L50" si="25">+D40-H40</f>
        <v>-21225.15</v>
      </c>
      <c r="M40" s="1"/>
      <c r="N40" s="5">
        <f t="shared" ref="N40:N50" si="26">IF(H40=0,0,L40/H40)</f>
        <v>-1</v>
      </c>
      <c r="O40" s="13"/>
      <c r="P40" s="1">
        <f>SUM(OSRRefP22_1x_0)</f>
        <v>41960.38</v>
      </c>
      <c r="Q40" s="1"/>
      <c r="R40" s="5">
        <f t="shared" ref="R40:R50" si="27">IF(P$12=0,0,P40/P$12)</f>
        <v>14.585174422646441</v>
      </c>
      <c r="S40" s="1"/>
      <c r="T40" s="1">
        <f>SUM(OSRRefT22_1x_0)</f>
        <v>270733.136</v>
      </c>
      <c r="U40" s="1"/>
      <c r="V40" s="5">
        <f t="shared" ref="V40:V50" si="28">IF(T$12=0,0,T40/T$12)</f>
        <v>0.45105350002665673</v>
      </c>
      <c r="W40" s="1"/>
      <c r="X40" s="1">
        <f t="shared" ref="X40:X50" si="29">+P40-T40</f>
        <v>-228772.75599999999</v>
      </c>
      <c r="Y40" s="1"/>
      <c r="Z40" s="5">
        <f t="shared" ref="Z40:Z50" si="30">IF(T40=0,0,X40/T40)</f>
        <v>-0.84501202689869481</v>
      </c>
    </row>
    <row r="41" spans="1:26" s="24" customFormat="1" hidden="1" outlineLevel="2" x14ac:dyDescent="0.25">
      <c r="A41" s="25"/>
      <c r="B41" s="11" t="str">
        <f>CONCATENATE("          ", "6001", " - ", "ADMINISTRATIVE SALARIES")</f>
        <v xml:space="preserve">          6001 - ADMINISTRATIVE SALARIES</v>
      </c>
      <c r="C41" s="11"/>
      <c r="D41" s="7"/>
      <c r="E41" s="2"/>
      <c r="F41" s="6">
        <f t="shared" si="23"/>
        <v>0</v>
      </c>
      <c r="G41" s="2"/>
      <c r="H41" s="7">
        <v>5287.7</v>
      </c>
      <c r="I41" s="2"/>
      <c r="J41" s="6">
        <f t="shared" si="24"/>
        <v>0.11059820121313532</v>
      </c>
      <c r="K41" s="2"/>
      <c r="L41" s="7">
        <f t="shared" si="25"/>
        <v>-5287.7</v>
      </c>
      <c r="M41" s="2"/>
      <c r="N41" s="6">
        <f t="shared" si="26"/>
        <v>-1</v>
      </c>
      <c r="O41" s="11"/>
      <c r="P41" s="7"/>
      <c r="Q41" s="2"/>
      <c r="R41" s="6">
        <f t="shared" si="27"/>
        <v>0</v>
      </c>
      <c r="S41" s="2"/>
      <c r="T41" s="7">
        <v>63452.4</v>
      </c>
      <c r="U41" s="2"/>
      <c r="V41" s="6">
        <f t="shared" si="28"/>
        <v>0.10571453324092339</v>
      </c>
      <c r="W41" s="2"/>
      <c r="X41" s="7">
        <f t="shared" si="29"/>
        <v>-63452.4</v>
      </c>
      <c r="Y41" s="2"/>
      <c r="Z41" s="6">
        <f t="shared" si="30"/>
        <v>-1</v>
      </c>
    </row>
    <row r="42" spans="1:26" s="24" customFormat="1" hidden="1" outlineLevel="2" x14ac:dyDescent="0.25">
      <c r="A42" s="25"/>
      <c r="B42" s="11" t="str">
        <f>CONCATENATE("          ", "6002", " - ", "STAFF SALARIES")</f>
        <v xml:space="preserve">          6002 - STAFF SALARIES</v>
      </c>
      <c r="C42" s="11"/>
      <c r="D42" s="7"/>
      <c r="E42" s="2"/>
      <c r="F42" s="6">
        <f t="shared" si="23"/>
        <v>0</v>
      </c>
      <c r="G42" s="2"/>
      <c r="H42" s="7">
        <v>4043.52</v>
      </c>
      <c r="I42" s="2"/>
      <c r="J42" s="6">
        <f t="shared" si="24"/>
        <v>8.4574775151641912E-2</v>
      </c>
      <c r="K42" s="2"/>
      <c r="L42" s="7">
        <f t="shared" si="25"/>
        <v>-4043.52</v>
      </c>
      <c r="M42" s="2"/>
      <c r="N42" s="6">
        <f t="shared" si="26"/>
        <v>-1</v>
      </c>
      <c r="O42" s="11"/>
      <c r="P42" s="7">
        <v>39828.42</v>
      </c>
      <c r="Q42" s="2"/>
      <c r="R42" s="6">
        <f t="shared" si="27"/>
        <v>13.844118015099481</v>
      </c>
      <c r="S42" s="2"/>
      <c r="T42" s="7">
        <v>46575.360000000001</v>
      </c>
      <c r="U42" s="2"/>
      <c r="V42" s="6">
        <f t="shared" si="28"/>
        <v>7.7596630591245941E-2</v>
      </c>
      <c r="W42" s="2"/>
      <c r="X42" s="7">
        <f t="shared" si="29"/>
        <v>-6746.9400000000023</v>
      </c>
      <c r="Y42" s="2"/>
      <c r="Z42" s="6">
        <f t="shared" si="30"/>
        <v>-0.14486071605243636</v>
      </c>
    </row>
    <row r="43" spans="1:26" s="24" customFormat="1" hidden="1" outlineLevel="2" x14ac:dyDescent="0.25">
      <c r="A43" s="25"/>
      <c r="B43" s="11" t="str">
        <f>CONCATENATE("          ", "6003", " - ", "STAFF HOURLY-9 MONTH")</f>
        <v xml:space="preserve">          6003 - STAFF HOURLY-9 MONTH</v>
      </c>
      <c r="C43" s="11"/>
      <c r="D43" s="7"/>
      <c r="E43" s="2"/>
      <c r="F43" s="6">
        <f t="shared" si="23"/>
        <v>0</v>
      </c>
      <c r="G43" s="2"/>
      <c r="H43" s="7">
        <v>0</v>
      </c>
      <c r="I43" s="2"/>
      <c r="J43" s="6">
        <f t="shared" si="24"/>
        <v>0</v>
      </c>
      <c r="K43" s="2"/>
      <c r="L43" s="7">
        <f t="shared" si="25"/>
        <v>0</v>
      </c>
      <c r="M43" s="2"/>
      <c r="N43" s="6">
        <f t="shared" si="26"/>
        <v>0</v>
      </c>
      <c r="O43" s="11"/>
      <c r="P43" s="7"/>
      <c r="Q43" s="2"/>
      <c r="R43" s="6">
        <f t="shared" si="27"/>
        <v>0</v>
      </c>
      <c r="S43" s="2"/>
      <c r="T43" s="7">
        <v>0</v>
      </c>
      <c r="U43" s="2"/>
      <c r="V43" s="6">
        <f t="shared" si="28"/>
        <v>0</v>
      </c>
      <c r="W43" s="2"/>
      <c r="X43" s="7">
        <f t="shared" si="29"/>
        <v>0</v>
      </c>
      <c r="Y43" s="2"/>
      <c r="Z43" s="6">
        <f t="shared" si="30"/>
        <v>0</v>
      </c>
    </row>
    <row r="44" spans="1:26" s="24" customFormat="1" hidden="1" outlineLevel="2" x14ac:dyDescent="0.25">
      <c r="A44" s="25"/>
      <c r="B44" s="11" t="str">
        <f>CONCATENATE("          ", "6004", " - ", "STAFF HOURLY")</f>
        <v xml:space="preserve">          6004 - STAFF HOURLY</v>
      </c>
      <c r="C44" s="11"/>
      <c r="D44" s="7"/>
      <c r="E44" s="2"/>
      <c r="F44" s="6">
        <f t="shared" si="23"/>
        <v>0</v>
      </c>
      <c r="G44" s="2"/>
      <c r="H44" s="7">
        <v>3396.73</v>
      </c>
      <c r="I44" s="2"/>
      <c r="J44" s="6">
        <f t="shared" si="24"/>
        <v>7.1046433800460149E-2</v>
      </c>
      <c r="K44" s="2"/>
      <c r="L44" s="7">
        <f t="shared" si="25"/>
        <v>-3396.73</v>
      </c>
      <c r="M44" s="2"/>
      <c r="N44" s="6">
        <f t="shared" si="26"/>
        <v>-1</v>
      </c>
      <c r="O44" s="11"/>
      <c r="P44" s="7"/>
      <c r="Q44" s="2"/>
      <c r="R44" s="6">
        <f t="shared" si="27"/>
        <v>0</v>
      </c>
      <c r="S44" s="2"/>
      <c r="T44" s="7">
        <v>43193.38</v>
      </c>
      <c r="U44" s="2"/>
      <c r="V44" s="6">
        <f t="shared" si="28"/>
        <v>7.1962100815695471E-2</v>
      </c>
      <c r="W44" s="2"/>
      <c r="X44" s="7">
        <f t="shared" si="29"/>
        <v>-43193.38</v>
      </c>
      <c r="Y44" s="2"/>
      <c r="Z44" s="6">
        <f t="shared" si="30"/>
        <v>-1</v>
      </c>
    </row>
    <row r="45" spans="1:26" s="24" customFormat="1" hidden="1" outlineLevel="2" x14ac:dyDescent="0.25">
      <c r="A45" s="25"/>
      <c r="B45" s="11" t="str">
        <f>CONCATENATE("          ", "6005", " - ", "TEMPORARY WAGES-HOURLY")</f>
        <v xml:space="preserve">          6005 - TEMPORARY WAGES-HOURLY</v>
      </c>
      <c r="C45" s="11"/>
      <c r="D45" s="7"/>
      <c r="E45" s="2"/>
      <c r="F45" s="6">
        <f t="shared" si="23"/>
        <v>0</v>
      </c>
      <c r="G45" s="2"/>
      <c r="H45" s="7">
        <v>3165.46</v>
      </c>
      <c r="I45" s="2"/>
      <c r="J45" s="6">
        <f t="shared" si="24"/>
        <v>6.6209161263334038E-2</v>
      </c>
      <c r="K45" s="2"/>
      <c r="L45" s="7">
        <f t="shared" si="25"/>
        <v>-3165.46</v>
      </c>
      <c r="M45" s="2"/>
      <c r="N45" s="6">
        <f t="shared" si="26"/>
        <v>-1</v>
      </c>
      <c r="O45" s="11"/>
      <c r="P45" s="7">
        <v>2131.96</v>
      </c>
      <c r="Q45" s="2"/>
      <c r="R45" s="6">
        <f t="shared" si="27"/>
        <v>0.74105640754695989</v>
      </c>
      <c r="S45" s="2"/>
      <c r="T45" s="7">
        <v>49378.642</v>
      </c>
      <c r="U45" s="2"/>
      <c r="V45" s="6">
        <f t="shared" si="28"/>
        <v>8.2267023644506054E-2</v>
      </c>
      <c r="W45" s="2"/>
      <c r="X45" s="7">
        <f t="shared" si="29"/>
        <v>-47246.682000000001</v>
      </c>
      <c r="Y45" s="2"/>
      <c r="Z45" s="6">
        <f t="shared" si="30"/>
        <v>-0.95682424802204968</v>
      </c>
    </row>
    <row r="46" spans="1:26" s="24" customFormat="1" hidden="1" outlineLevel="2" x14ac:dyDescent="0.25">
      <c r="A46" s="25"/>
      <c r="B46" s="11" t="str">
        <f>CONCATENATE("          ", "6006", " - ", "TEMPORARY PART TIME")</f>
        <v xml:space="preserve">          6006 - TEMPORARY PART TIME</v>
      </c>
      <c r="C46" s="11"/>
      <c r="D46" s="7"/>
      <c r="E46" s="2"/>
      <c r="F46" s="6">
        <f t="shared" si="23"/>
        <v>0</v>
      </c>
      <c r="G46" s="2"/>
      <c r="H46" s="7">
        <v>0</v>
      </c>
      <c r="I46" s="2"/>
      <c r="J46" s="6">
        <f t="shared" si="24"/>
        <v>0</v>
      </c>
      <c r="K46" s="2"/>
      <c r="L46" s="7">
        <f t="shared" si="25"/>
        <v>0</v>
      </c>
      <c r="M46" s="2"/>
      <c r="N46" s="6">
        <f t="shared" si="26"/>
        <v>0</v>
      </c>
      <c r="O46" s="11"/>
      <c r="P46" s="7"/>
      <c r="Q46" s="2"/>
      <c r="R46" s="6">
        <f t="shared" si="27"/>
        <v>0</v>
      </c>
      <c r="S46" s="2"/>
      <c r="T46" s="7">
        <v>0</v>
      </c>
      <c r="U46" s="2"/>
      <c r="V46" s="6">
        <f t="shared" si="28"/>
        <v>0</v>
      </c>
      <c r="W46" s="2"/>
      <c r="X46" s="7">
        <f t="shared" si="29"/>
        <v>0</v>
      </c>
      <c r="Y46" s="2"/>
      <c r="Z46" s="6">
        <f t="shared" si="30"/>
        <v>0</v>
      </c>
    </row>
    <row r="47" spans="1:26" s="24" customFormat="1" hidden="1" outlineLevel="2" x14ac:dyDescent="0.25">
      <c r="A47" s="25"/>
      <c r="B47" s="11" t="str">
        <f>CONCATENATE("          ", "6007", " - ", "STUDENT HOURLY")</f>
        <v xml:space="preserve">          6007 - STUDENT HOURLY</v>
      </c>
      <c r="C47" s="11"/>
      <c r="D47" s="7"/>
      <c r="E47" s="2"/>
      <c r="F47" s="6">
        <f t="shared" si="23"/>
        <v>0</v>
      </c>
      <c r="G47" s="2"/>
      <c r="H47" s="7">
        <v>0</v>
      </c>
      <c r="I47" s="2"/>
      <c r="J47" s="6">
        <f t="shared" si="24"/>
        <v>0</v>
      </c>
      <c r="K47" s="2"/>
      <c r="L47" s="7">
        <f t="shared" si="25"/>
        <v>0</v>
      </c>
      <c r="M47" s="2"/>
      <c r="N47" s="6">
        <f t="shared" si="26"/>
        <v>0</v>
      </c>
      <c r="O47" s="11"/>
      <c r="P47" s="7">
        <v>0</v>
      </c>
      <c r="Q47" s="2"/>
      <c r="R47" s="6">
        <f t="shared" si="27"/>
        <v>0</v>
      </c>
      <c r="S47" s="2"/>
      <c r="T47" s="7">
        <v>756.6</v>
      </c>
      <c r="U47" s="2"/>
      <c r="V47" s="6">
        <f t="shared" si="28"/>
        <v>1.2605294023564535E-3</v>
      </c>
      <c r="W47" s="2"/>
      <c r="X47" s="7">
        <f t="shared" si="29"/>
        <v>-756.6</v>
      </c>
      <c r="Y47" s="2"/>
      <c r="Z47" s="6">
        <f t="shared" si="30"/>
        <v>-1</v>
      </c>
    </row>
    <row r="48" spans="1:26" s="24" customFormat="1" hidden="1" outlineLevel="2" x14ac:dyDescent="0.25">
      <c r="A48" s="25"/>
      <c r="B48" s="11" t="str">
        <f>CONCATENATE("          ", "6008", " - ", "STUDENT HOURLY-FICA EXEMPT")</f>
        <v xml:space="preserve">          6008 - STUDENT HOURLY-FICA EXEMPT</v>
      </c>
      <c r="C48" s="11"/>
      <c r="D48" s="7"/>
      <c r="E48" s="2"/>
      <c r="F48" s="6">
        <f t="shared" si="23"/>
        <v>0</v>
      </c>
      <c r="G48" s="2"/>
      <c r="H48" s="7">
        <v>5331.74</v>
      </c>
      <c r="I48" s="2"/>
      <c r="J48" s="6">
        <f t="shared" si="24"/>
        <v>0.1115193474168584</v>
      </c>
      <c r="K48" s="2"/>
      <c r="L48" s="7">
        <f t="shared" si="25"/>
        <v>-5331.74</v>
      </c>
      <c r="M48" s="2"/>
      <c r="N48" s="6">
        <f t="shared" si="26"/>
        <v>-1</v>
      </c>
      <c r="O48" s="11"/>
      <c r="P48" s="7"/>
      <c r="Q48" s="2"/>
      <c r="R48" s="6">
        <f t="shared" si="27"/>
        <v>0</v>
      </c>
      <c r="S48" s="2"/>
      <c r="T48" s="7">
        <v>67376.754000000001</v>
      </c>
      <c r="U48" s="2"/>
      <c r="V48" s="6">
        <f t="shared" si="28"/>
        <v>0.11225268233192942</v>
      </c>
      <c r="W48" s="2"/>
      <c r="X48" s="7">
        <f t="shared" si="29"/>
        <v>-67376.754000000001</v>
      </c>
      <c r="Y48" s="2"/>
      <c r="Z48" s="6">
        <f t="shared" si="30"/>
        <v>-1</v>
      </c>
    </row>
    <row r="49" spans="1:26" s="24" customFormat="1" hidden="1" outlineLevel="2" x14ac:dyDescent="0.25">
      <c r="A49" s="25"/>
      <c r="B49" s="11" t="str">
        <f>CONCATENATE("          ", "6009", " - ", "TEMPORARY-SEASONAL")</f>
        <v xml:space="preserve">          6009 - TEMPORARY-SEASONAL</v>
      </c>
      <c r="C49" s="11"/>
      <c r="D49" s="7"/>
      <c r="E49" s="2"/>
      <c r="F49" s="6">
        <f t="shared" si="23"/>
        <v>0</v>
      </c>
      <c r="G49" s="2"/>
      <c r="H49" s="7">
        <v>0</v>
      </c>
      <c r="I49" s="2"/>
      <c r="J49" s="6">
        <f t="shared" si="24"/>
        <v>0</v>
      </c>
      <c r="K49" s="2"/>
      <c r="L49" s="7">
        <f t="shared" si="25"/>
        <v>0</v>
      </c>
      <c r="M49" s="2"/>
      <c r="N49" s="6">
        <f t="shared" si="26"/>
        <v>0</v>
      </c>
      <c r="O49" s="11"/>
      <c r="P49" s="7"/>
      <c r="Q49" s="2"/>
      <c r="R49" s="6">
        <f t="shared" si="27"/>
        <v>0</v>
      </c>
      <c r="S49" s="2"/>
      <c r="T49" s="7">
        <v>0</v>
      </c>
      <c r="U49" s="2"/>
      <c r="V49" s="6">
        <f t="shared" si="28"/>
        <v>0</v>
      </c>
      <c r="W49" s="2"/>
      <c r="X49" s="7">
        <f t="shared" si="29"/>
        <v>0</v>
      </c>
      <c r="Y49" s="2"/>
      <c r="Z49" s="6">
        <f t="shared" si="30"/>
        <v>0</v>
      </c>
    </row>
    <row r="50" spans="1:26" s="24" customFormat="1" hidden="1" outlineLevel="2" x14ac:dyDescent="0.25">
      <c r="A50" s="25"/>
      <c r="B50" s="11" t="str">
        <f>CONCATENATE("          ", "6010", " - ", "GRATUITY")</f>
        <v xml:space="preserve">          6010 - GRATUITY</v>
      </c>
      <c r="C50" s="11"/>
      <c r="D50" s="7"/>
      <c r="E50" s="2"/>
      <c r="F50" s="6">
        <f t="shared" si="23"/>
        <v>0</v>
      </c>
      <c r="G50" s="2"/>
      <c r="H50" s="7">
        <v>0</v>
      </c>
      <c r="I50" s="2"/>
      <c r="J50" s="6">
        <f t="shared" si="24"/>
        <v>0</v>
      </c>
      <c r="K50" s="2"/>
      <c r="L50" s="7">
        <f t="shared" si="25"/>
        <v>0</v>
      </c>
      <c r="M50" s="2"/>
      <c r="N50" s="6">
        <f t="shared" si="26"/>
        <v>0</v>
      </c>
      <c r="O50" s="11"/>
      <c r="P50" s="7"/>
      <c r="Q50" s="2"/>
      <c r="R50" s="6">
        <f t="shared" si="27"/>
        <v>0</v>
      </c>
      <c r="S50" s="2"/>
      <c r="T50" s="7">
        <v>0</v>
      </c>
      <c r="U50" s="2"/>
      <c r="V50" s="6">
        <f t="shared" si="28"/>
        <v>0</v>
      </c>
      <c r="W50" s="2"/>
      <c r="X50" s="7">
        <f t="shared" si="29"/>
        <v>0</v>
      </c>
      <c r="Y50" s="2"/>
      <c r="Z50" s="6">
        <f t="shared" si="30"/>
        <v>0</v>
      </c>
    </row>
    <row r="51" spans="1:26" s="27" customFormat="1" outlineLevel="1" collapsed="1" x14ac:dyDescent="0.25">
      <c r="A51" s="26"/>
      <c r="B51" s="13" t="str">
        <f>CONCATENATE("     ","Advertising/Promo                                 ")</f>
        <v xml:space="preserve">     Advertising/Promo                                 </v>
      </c>
      <c r="C51" s="13"/>
      <c r="D51" s="1">
        <f>SUM(OSRRefD22_2x_0)</f>
        <v>0</v>
      </c>
      <c r="E51" s="1"/>
      <c r="F51" s="5">
        <f t="shared" ref="F51:F59" si="31">IF(D$12=0,0,D51/D$12)</f>
        <v>0</v>
      </c>
      <c r="G51" s="1"/>
      <c r="H51" s="1">
        <f>SUM(OSRRefH22_2x_0)</f>
        <v>400</v>
      </c>
      <c r="I51" s="1"/>
      <c r="J51" s="5">
        <f t="shared" ref="J51:J59" si="32">IF(H$12=0,0,H51/H$12)</f>
        <v>8.3664505333612207E-3</v>
      </c>
      <c r="K51" s="1"/>
      <c r="L51" s="1">
        <f t="shared" ref="L51:L59" si="33">+D51-H51</f>
        <v>-400</v>
      </c>
      <c r="M51" s="1"/>
      <c r="N51" s="5">
        <f t="shared" ref="N51:N59" si="34">IF(H51=0,0,L51/H51)</f>
        <v>-1</v>
      </c>
      <c r="O51" s="13"/>
      <c r="P51" s="1">
        <f>SUM(OSRRefP22_2x_0)</f>
        <v>0</v>
      </c>
      <c r="Q51" s="1"/>
      <c r="R51" s="5">
        <f t="shared" ref="R51:R59" si="35">IF(P$12=0,0,P51/P$12)</f>
        <v>0</v>
      </c>
      <c r="S51" s="1"/>
      <c r="T51" s="1">
        <f>SUM(OSRRefT22_2x_0)</f>
        <v>3549</v>
      </c>
      <c r="U51" s="1"/>
      <c r="V51" s="5">
        <f t="shared" ref="V51:V59" si="36">IF(T$12=0,0,T51/T$12)</f>
        <v>5.9127925574452202E-3</v>
      </c>
      <c r="W51" s="1"/>
      <c r="X51" s="1">
        <f t="shared" ref="X51:X59" si="37">+P51-T51</f>
        <v>-3549</v>
      </c>
      <c r="Y51" s="1"/>
      <c r="Z51" s="5">
        <f t="shared" ref="Z51:Z59" si="38">IF(T51=0,0,X51/T51)</f>
        <v>-1</v>
      </c>
    </row>
    <row r="52" spans="1:26" s="24" customFormat="1" hidden="1" outlineLevel="2" x14ac:dyDescent="0.25">
      <c r="A52" s="25"/>
      <c r="B52" s="11" t="str">
        <f>CONCATENATE("          ", "6362", " - ", "ADVERTISING EXPENSE")</f>
        <v xml:space="preserve">          6362 - ADVERTISING EXPENSE</v>
      </c>
      <c r="C52" s="11"/>
      <c r="D52" s="7"/>
      <c r="E52" s="2"/>
      <c r="F52" s="6">
        <f t="shared" si="31"/>
        <v>0</v>
      </c>
      <c r="G52" s="2"/>
      <c r="H52" s="7">
        <v>400</v>
      </c>
      <c r="I52" s="2"/>
      <c r="J52" s="6">
        <f t="shared" si="32"/>
        <v>8.3664505333612207E-3</v>
      </c>
      <c r="K52" s="2"/>
      <c r="L52" s="7">
        <f t="shared" si="33"/>
        <v>-400</v>
      </c>
      <c r="M52" s="2"/>
      <c r="N52" s="6">
        <f t="shared" si="34"/>
        <v>-1</v>
      </c>
      <c r="O52" s="11"/>
      <c r="P52" s="7"/>
      <c r="Q52" s="2"/>
      <c r="R52" s="6">
        <f t="shared" si="35"/>
        <v>0</v>
      </c>
      <c r="S52" s="2"/>
      <c r="T52" s="7">
        <v>3549</v>
      </c>
      <c r="U52" s="2"/>
      <c r="V52" s="6">
        <f t="shared" si="36"/>
        <v>5.9127925574452202E-3</v>
      </c>
      <c r="W52" s="2"/>
      <c r="X52" s="7">
        <f t="shared" si="37"/>
        <v>-3549</v>
      </c>
      <c r="Y52" s="2"/>
      <c r="Z52" s="6">
        <f t="shared" si="38"/>
        <v>-1</v>
      </c>
    </row>
    <row r="53" spans="1:26" s="27" customFormat="1" outlineLevel="1" collapsed="1" x14ac:dyDescent="0.25">
      <c r="A53" s="26"/>
      <c r="B53" s="13" t="str">
        <f>CONCATENATE("     ","Bad Debts/Over/Short                              ")</f>
        <v xml:space="preserve">     Bad Debts/Over/Short                              </v>
      </c>
      <c r="C53" s="13"/>
      <c r="D53" s="1">
        <f>SUM(OSRRefD22_3x_0)</f>
        <v>0</v>
      </c>
      <c r="E53" s="1"/>
      <c r="F53" s="5">
        <f t="shared" si="31"/>
        <v>0</v>
      </c>
      <c r="G53" s="1"/>
      <c r="H53" s="1">
        <f>SUM(OSRRefH22_3x_0)</f>
        <v>5</v>
      </c>
      <c r="I53" s="1"/>
      <c r="J53" s="5">
        <f t="shared" si="32"/>
        <v>1.0458063166701528E-4</v>
      </c>
      <c r="K53" s="1"/>
      <c r="L53" s="1">
        <f t="shared" si="33"/>
        <v>-5</v>
      </c>
      <c r="M53" s="1"/>
      <c r="N53" s="5">
        <f t="shared" si="34"/>
        <v>-1</v>
      </c>
      <c r="O53" s="13"/>
      <c r="P53" s="1">
        <f>SUM(OSRRefP22_3x_0)</f>
        <v>3.31</v>
      </c>
      <c r="Q53" s="1"/>
      <c r="R53" s="5">
        <f t="shared" si="35"/>
        <v>1.1505359898780641E-3</v>
      </c>
      <c r="S53" s="1"/>
      <c r="T53" s="1">
        <f>SUM(OSRRefT22_3x_0)</f>
        <v>84</v>
      </c>
      <c r="U53" s="1"/>
      <c r="V53" s="5">
        <f t="shared" si="36"/>
        <v>1.3994775283894013E-4</v>
      </c>
      <c r="W53" s="1"/>
      <c r="X53" s="1">
        <f t="shared" si="37"/>
        <v>-80.69</v>
      </c>
      <c r="Y53" s="1"/>
      <c r="Z53" s="5">
        <f t="shared" si="38"/>
        <v>-0.96059523809523806</v>
      </c>
    </row>
    <row r="54" spans="1:26" s="24" customFormat="1" hidden="1" outlineLevel="2" x14ac:dyDescent="0.25">
      <c r="A54" s="25"/>
      <c r="B54" s="11" t="str">
        <f>CONCATENATE("          ", "6272", " - ", "CASH (OVER/SHORT)")</f>
        <v xml:space="preserve">          6272 - CASH (OVER/SHORT)</v>
      </c>
      <c r="C54" s="11"/>
      <c r="D54" s="7"/>
      <c r="E54" s="2"/>
      <c r="F54" s="6">
        <f t="shared" si="31"/>
        <v>0</v>
      </c>
      <c r="G54" s="2"/>
      <c r="H54" s="7">
        <v>5</v>
      </c>
      <c r="I54" s="2"/>
      <c r="J54" s="6">
        <f t="shared" si="32"/>
        <v>1.0458063166701528E-4</v>
      </c>
      <c r="K54" s="2"/>
      <c r="L54" s="7">
        <f t="shared" si="33"/>
        <v>-5</v>
      </c>
      <c r="M54" s="2"/>
      <c r="N54" s="6">
        <f t="shared" si="34"/>
        <v>-1</v>
      </c>
      <c r="O54" s="11"/>
      <c r="P54" s="7">
        <v>3.31</v>
      </c>
      <c r="Q54" s="2"/>
      <c r="R54" s="6">
        <f t="shared" si="35"/>
        <v>1.1505359898780641E-3</v>
      </c>
      <c r="S54" s="2"/>
      <c r="T54" s="7">
        <v>84</v>
      </c>
      <c r="U54" s="2"/>
      <c r="V54" s="6">
        <f t="shared" si="36"/>
        <v>1.3994775283894013E-4</v>
      </c>
      <c r="W54" s="2"/>
      <c r="X54" s="7">
        <f t="shared" si="37"/>
        <v>-80.69</v>
      </c>
      <c r="Y54" s="2"/>
      <c r="Z54" s="6">
        <f t="shared" si="38"/>
        <v>-0.96059523809523806</v>
      </c>
    </row>
    <row r="55" spans="1:26" s="27" customFormat="1" outlineLevel="1" collapsed="1" x14ac:dyDescent="0.25">
      <c r="A55" s="26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142.99</v>
      </c>
      <c r="E55" s="1"/>
      <c r="F55" s="5">
        <f t="shared" si="31"/>
        <v>35.747500000000002</v>
      </c>
      <c r="G55" s="1"/>
      <c r="H55" s="1">
        <f>SUM(OSRRefH22_4x_0)</f>
        <v>2883</v>
      </c>
      <c r="I55" s="1"/>
      <c r="J55" s="5">
        <f t="shared" si="32"/>
        <v>6.0301192219201001E-2</v>
      </c>
      <c r="K55" s="1"/>
      <c r="L55" s="1">
        <f t="shared" si="33"/>
        <v>-2740.01</v>
      </c>
      <c r="M55" s="1"/>
      <c r="N55" s="5">
        <f t="shared" si="34"/>
        <v>-0.95040235865417977</v>
      </c>
      <c r="O55" s="13"/>
      <c r="P55" s="1">
        <f>SUM(OSRRefP22_4x_0)</f>
        <v>2467.71</v>
      </c>
      <c r="Q55" s="1"/>
      <c r="R55" s="5">
        <f t="shared" si="35"/>
        <v>0.85776107781933453</v>
      </c>
      <c r="S55" s="1"/>
      <c r="T55" s="1">
        <f>SUM(OSRRefT22_4x_0)</f>
        <v>46686</v>
      </c>
      <c r="U55" s="1"/>
      <c r="V55" s="5">
        <f t="shared" si="36"/>
        <v>7.7780961774270935E-2</v>
      </c>
      <c r="W55" s="1"/>
      <c r="X55" s="1">
        <f t="shared" si="37"/>
        <v>-44218.29</v>
      </c>
      <c r="Y55" s="1"/>
      <c r="Z55" s="5">
        <f t="shared" si="38"/>
        <v>-0.9471423981493382</v>
      </c>
    </row>
    <row r="56" spans="1:26" s="24" customFormat="1" hidden="1" outlineLevel="2" x14ac:dyDescent="0.25">
      <c r="A56" s="25"/>
      <c r="B56" s="11" t="str">
        <f>CONCATENATE("          ", "6381", " - ", "BANK/CREDIT CARD FEES")</f>
        <v xml:space="preserve">          6381 - BANK/CREDIT CARD FEES</v>
      </c>
      <c r="C56" s="11"/>
      <c r="D56" s="7">
        <v>142.99</v>
      </c>
      <c r="E56" s="2"/>
      <c r="F56" s="6">
        <f t="shared" si="31"/>
        <v>35.747500000000002</v>
      </c>
      <c r="G56" s="2"/>
      <c r="H56" s="7">
        <v>2883</v>
      </c>
      <c r="I56" s="2"/>
      <c r="J56" s="6">
        <f t="shared" si="32"/>
        <v>6.0301192219201001E-2</v>
      </c>
      <c r="K56" s="2"/>
      <c r="L56" s="7">
        <f t="shared" si="33"/>
        <v>-2740.01</v>
      </c>
      <c r="M56" s="2"/>
      <c r="N56" s="6">
        <f t="shared" si="34"/>
        <v>-0.95040235865417977</v>
      </c>
      <c r="O56" s="11"/>
      <c r="P56" s="7">
        <v>2467.71</v>
      </c>
      <c r="Q56" s="2"/>
      <c r="R56" s="6">
        <f t="shared" si="35"/>
        <v>0.85776107781933453</v>
      </c>
      <c r="S56" s="2"/>
      <c r="T56" s="7">
        <v>46686</v>
      </c>
      <c r="U56" s="2"/>
      <c r="V56" s="6">
        <f t="shared" si="36"/>
        <v>7.7780961774270935E-2</v>
      </c>
      <c r="W56" s="2"/>
      <c r="X56" s="7">
        <f t="shared" si="37"/>
        <v>-44218.29</v>
      </c>
      <c r="Y56" s="2"/>
      <c r="Z56" s="6">
        <f t="shared" si="38"/>
        <v>-0.9471423981493382</v>
      </c>
    </row>
    <row r="57" spans="1:26" s="27" customFormat="1" outlineLevel="1" collapsed="1" x14ac:dyDescent="0.25">
      <c r="A57" s="26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SUM(OSRRefD22_5x_0)</f>
        <v>9152.09</v>
      </c>
      <c r="E57" s="1"/>
      <c r="F57" s="5">
        <f t="shared" si="31"/>
        <v>2288.0225</v>
      </c>
      <c r="G57" s="1"/>
      <c r="H57" s="1">
        <f>SUM(OSRRefH22_5x_0)</f>
        <v>8563</v>
      </c>
      <c r="I57" s="1"/>
      <c r="J57" s="5">
        <f t="shared" si="32"/>
        <v>0.17910478979293035</v>
      </c>
      <c r="K57" s="1"/>
      <c r="L57" s="1">
        <f t="shared" si="33"/>
        <v>589.09000000000015</v>
      </c>
      <c r="M57" s="1"/>
      <c r="N57" s="5">
        <f t="shared" si="34"/>
        <v>6.8794814901319654E-2</v>
      </c>
      <c r="O57" s="13"/>
      <c r="P57" s="1">
        <f>SUM(OSRRefP22_5x_0)</f>
        <v>100854.27</v>
      </c>
      <c r="Q57" s="1"/>
      <c r="R57" s="5">
        <f t="shared" si="35"/>
        <v>35.056334552229465</v>
      </c>
      <c r="S57" s="1"/>
      <c r="T57" s="1">
        <f>SUM(OSRRefT22_5x_0)</f>
        <v>94641</v>
      </c>
      <c r="U57" s="1"/>
      <c r="V57" s="5">
        <f t="shared" si="36"/>
        <v>0.15767613424321586</v>
      </c>
      <c r="W57" s="1"/>
      <c r="X57" s="1">
        <f t="shared" si="37"/>
        <v>6213.2700000000041</v>
      </c>
      <c r="Y57" s="1"/>
      <c r="Z57" s="5">
        <f t="shared" si="38"/>
        <v>6.5650933527752281E-2</v>
      </c>
    </row>
    <row r="58" spans="1:26" s="24" customFormat="1" hidden="1" outlineLevel="2" x14ac:dyDescent="0.25">
      <c r="A58" s="25"/>
      <c r="B58" s="11" t="str">
        <f>CONCATENATE("          ", "6321", " - ", "BUILDING DEPRECIATION")</f>
        <v xml:space="preserve">          6321 - BUILDING DEPRECIATION</v>
      </c>
      <c r="C58" s="11"/>
      <c r="D58" s="7">
        <v>5080.51</v>
      </c>
      <c r="E58" s="2"/>
      <c r="F58" s="6">
        <f t="shared" si="31"/>
        <v>1270.1275000000001</v>
      </c>
      <c r="G58" s="2"/>
      <c r="H58" s="7"/>
      <c r="I58" s="2"/>
      <c r="J58" s="6">
        <f t="shared" si="32"/>
        <v>0</v>
      </c>
      <c r="K58" s="2"/>
      <c r="L58" s="7">
        <f t="shared" si="33"/>
        <v>5080.51</v>
      </c>
      <c r="M58" s="2"/>
      <c r="N58" s="6">
        <f t="shared" si="34"/>
        <v>0</v>
      </c>
      <c r="O58" s="11"/>
      <c r="P58" s="7">
        <v>55885.61</v>
      </c>
      <c r="Q58" s="2"/>
      <c r="R58" s="6">
        <f t="shared" si="35"/>
        <v>19.425500187700735</v>
      </c>
      <c r="S58" s="2"/>
      <c r="T58" s="7"/>
      <c r="U58" s="2"/>
      <c r="V58" s="6">
        <f t="shared" si="36"/>
        <v>0</v>
      </c>
      <c r="W58" s="2"/>
      <c r="X58" s="7">
        <f t="shared" si="37"/>
        <v>55885.61</v>
      </c>
      <c r="Y58" s="2"/>
      <c r="Z58" s="6">
        <f t="shared" si="38"/>
        <v>0</v>
      </c>
    </row>
    <row r="59" spans="1:26" s="24" customFormat="1" hidden="1" outlineLevel="2" x14ac:dyDescent="0.25">
      <c r="A59" s="25"/>
      <c r="B59" s="11" t="str">
        <f>CONCATENATE("          ", "6322", " - ", "EQUIPMENT DEPRECIATION EXPENSE")</f>
        <v xml:space="preserve">          6322 - EQUIPMENT DEPRECIATION EXPENSE</v>
      </c>
      <c r="C59" s="11"/>
      <c r="D59" s="7">
        <v>4071.58</v>
      </c>
      <c r="E59" s="2"/>
      <c r="F59" s="6">
        <f t="shared" si="31"/>
        <v>1017.895</v>
      </c>
      <c r="G59" s="2"/>
      <c r="H59" s="7">
        <v>8563</v>
      </c>
      <c r="I59" s="2"/>
      <c r="J59" s="6">
        <f t="shared" si="32"/>
        <v>0.17910478979293035</v>
      </c>
      <c r="K59" s="2"/>
      <c r="L59" s="7">
        <f t="shared" si="33"/>
        <v>-4491.42</v>
      </c>
      <c r="M59" s="2"/>
      <c r="N59" s="6">
        <f t="shared" si="34"/>
        <v>-0.52451477285997894</v>
      </c>
      <c r="O59" s="11"/>
      <c r="P59" s="7">
        <v>44968.66</v>
      </c>
      <c r="Q59" s="2"/>
      <c r="R59" s="6">
        <f t="shared" si="35"/>
        <v>15.630834364528733</v>
      </c>
      <c r="S59" s="2"/>
      <c r="T59" s="7">
        <v>94641</v>
      </c>
      <c r="U59" s="2"/>
      <c r="V59" s="6">
        <f t="shared" si="36"/>
        <v>0.15767613424321586</v>
      </c>
      <c r="W59" s="2"/>
      <c r="X59" s="7">
        <f t="shared" si="37"/>
        <v>-49672.34</v>
      </c>
      <c r="Y59" s="2"/>
      <c r="Z59" s="6">
        <f t="shared" si="38"/>
        <v>-0.52485011781363256</v>
      </c>
    </row>
    <row r="60" spans="1:26" s="27" customFormat="1" outlineLevel="1" collapsed="1" x14ac:dyDescent="0.25">
      <c r="A60" s="26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SUM(OSRRefD22_6x_0)</f>
        <v>0</v>
      </c>
      <c r="E60" s="1"/>
      <c r="F60" s="5">
        <f t="shared" ref="F60:F78" si="39">IF(D$12=0,0,D60/D$12)</f>
        <v>0</v>
      </c>
      <c r="G60" s="1"/>
      <c r="H60" s="1">
        <f>SUM(OSRRefH22_6x_0)</f>
        <v>0</v>
      </c>
      <c r="I60" s="1"/>
      <c r="J60" s="5">
        <f t="shared" ref="J60:J78" si="40">IF(H$12=0,0,H60/H$12)</f>
        <v>0</v>
      </c>
      <c r="K60" s="1"/>
      <c r="L60" s="1">
        <f t="shared" ref="L60:L78" si="41">+D60-H60</f>
        <v>0</v>
      </c>
      <c r="M60" s="1"/>
      <c r="N60" s="5">
        <f t="shared" ref="N60:N78" si="42">IF(H60=0,0,L60/H60)</f>
        <v>0</v>
      </c>
      <c r="O60" s="13"/>
      <c r="P60" s="1">
        <f>SUM(OSRRefP22_6x_0)</f>
        <v>0</v>
      </c>
      <c r="Q60" s="1"/>
      <c r="R60" s="5">
        <f t="shared" ref="R60:R78" si="43">IF(P$12=0,0,P60/P$12)</f>
        <v>0</v>
      </c>
      <c r="S60" s="1"/>
      <c r="T60" s="1">
        <f>SUM(OSRRefT22_6x_0)</f>
        <v>150</v>
      </c>
      <c r="U60" s="1"/>
      <c r="V60" s="5">
        <f t="shared" ref="V60:V78" si="44">IF(T$12=0,0,T60/T$12)</f>
        <v>2.4990670149810737E-4</v>
      </c>
      <c r="W60" s="1"/>
      <c r="X60" s="1">
        <f t="shared" ref="X60:X78" si="45">+P60-T60</f>
        <v>-150</v>
      </c>
      <c r="Y60" s="1"/>
      <c r="Z60" s="5">
        <f t="shared" ref="Z60:Z78" si="46">IF(T60=0,0,X60/T60)</f>
        <v>-1</v>
      </c>
    </row>
    <row r="61" spans="1:26" s="24" customFormat="1" hidden="1" outlineLevel="2" x14ac:dyDescent="0.25">
      <c r="A61" s="25"/>
      <c r="B61" s="11" t="str">
        <f>CONCATENATE("          ", "6277", " - ", "EMPLOYEE APPRECIATION")</f>
        <v xml:space="preserve">          6277 - EMPLOYEE APPRECIATION</v>
      </c>
      <c r="C61" s="11"/>
      <c r="D61" s="7"/>
      <c r="E61" s="2"/>
      <c r="F61" s="6">
        <f t="shared" si="39"/>
        <v>0</v>
      </c>
      <c r="G61" s="2"/>
      <c r="H61" s="7"/>
      <c r="I61" s="2"/>
      <c r="J61" s="6">
        <f t="shared" si="40"/>
        <v>0</v>
      </c>
      <c r="K61" s="2"/>
      <c r="L61" s="7">
        <f t="shared" si="41"/>
        <v>0</v>
      </c>
      <c r="M61" s="2"/>
      <c r="N61" s="6">
        <f t="shared" si="42"/>
        <v>0</v>
      </c>
      <c r="O61" s="11"/>
      <c r="P61" s="7"/>
      <c r="Q61" s="2"/>
      <c r="R61" s="6">
        <f t="shared" si="43"/>
        <v>0</v>
      </c>
      <c r="S61" s="2"/>
      <c r="T61" s="7">
        <v>150</v>
      </c>
      <c r="U61" s="2"/>
      <c r="V61" s="6">
        <f t="shared" si="44"/>
        <v>2.4990670149810737E-4</v>
      </c>
      <c r="W61" s="2"/>
      <c r="X61" s="7">
        <f t="shared" si="45"/>
        <v>-150</v>
      </c>
      <c r="Y61" s="2"/>
      <c r="Z61" s="6">
        <f t="shared" si="46"/>
        <v>-1</v>
      </c>
    </row>
    <row r="62" spans="1:26" s="27" customFormat="1" outlineLevel="1" collapsed="1" x14ac:dyDescent="0.25">
      <c r="A62" s="26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SUM(OSRRefD22_7x_0)</f>
        <v>0</v>
      </c>
      <c r="E62" s="1"/>
      <c r="F62" s="5">
        <f t="shared" si="39"/>
        <v>0</v>
      </c>
      <c r="G62" s="1"/>
      <c r="H62" s="1">
        <f>SUM(OSRRefH22_7x_0)</f>
        <v>146</v>
      </c>
      <c r="I62" s="1"/>
      <c r="J62" s="5">
        <f t="shared" si="40"/>
        <v>3.0537544446768458E-3</v>
      </c>
      <c r="K62" s="1"/>
      <c r="L62" s="1">
        <f t="shared" si="41"/>
        <v>-146</v>
      </c>
      <c r="M62" s="1"/>
      <c r="N62" s="5">
        <f t="shared" si="42"/>
        <v>-1</v>
      </c>
      <c r="O62" s="13"/>
      <c r="P62" s="1">
        <f>SUM(OSRRefP22_7x_0)</f>
        <v>617.35</v>
      </c>
      <c r="Q62" s="1"/>
      <c r="R62" s="5">
        <f t="shared" si="43"/>
        <v>0.21458712790067155</v>
      </c>
      <c r="S62" s="1"/>
      <c r="T62" s="1">
        <f>SUM(OSRRefT22_7x_0)</f>
        <v>1168</v>
      </c>
      <c r="U62" s="1"/>
      <c r="V62" s="5">
        <f t="shared" si="44"/>
        <v>1.9459401823319295E-3</v>
      </c>
      <c r="W62" s="1"/>
      <c r="X62" s="1">
        <f t="shared" si="45"/>
        <v>-550.65</v>
      </c>
      <c r="Y62" s="1"/>
      <c r="Z62" s="5">
        <f t="shared" si="46"/>
        <v>-0.47144691780821918</v>
      </c>
    </row>
    <row r="63" spans="1:26" s="24" customFormat="1" hidden="1" outlineLevel="2" x14ac:dyDescent="0.25">
      <c r="A63" s="25"/>
      <c r="B63" s="11" t="str">
        <f>CONCATENATE("          ", "6351", " - ", "EQUIPMENT RENTAL")</f>
        <v xml:space="preserve">          6351 - EQUIPMENT RENTAL</v>
      </c>
      <c r="C63" s="11"/>
      <c r="D63" s="7"/>
      <c r="E63" s="2"/>
      <c r="F63" s="6">
        <f t="shared" si="39"/>
        <v>0</v>
      </c>
      <c r="G63" s="2"/>
      <c r="H63" s="7">
        <v>146</v>
      </c>
      <c r="I63" s="2"/>
      <c r="J63" s="6">
        <f t="shared" si="40"/>
        <v>3.0537544446768458E-3</v>
      </c>
      <c r="K63" s="2"/>
      <c r="L63" s="7">
        <f t="shared" si="41"/>
        <v>-146</v>
      </c>
      <c r="M63" s="2"/>
      <c r="N63" s="6">
        <f t="shared" si="42"/>
        <v>-1</v>
      </c>
      <c r="O63" s="11"/>
      <c r="P63" s="7">
        <v>617.35</v>
      </c>
      <c r="Q63" s="2"/>
      <c r="R63" s="6">
        <f t="shared" si="43"/>
        <v>0.21458712790067155</v>
      </c>
      <c r="S63" s="2"/>
      <c r="T63" s="7">
        <v>1168</v>
      </c>
      <c r="U63" s="2"/>
      <c r="V63" s="6">
        <f t="shared" si="44"/>
        <v>1.9459401823319295E-3</v>
      </c>
      <c r="W63" s="2"/>
      <c r="X63" s="7">
        <f t="shared" si="45"/>
        <v>-550.65</v>
      </c>
      <c r="Y63" s="2"/>
      <c r="Z63" s="6">
        <f t="shared" si="46"/>
        <v>-0.47144691780821918</v>
      </c>
    </row>
    <row r="64" spans="1:26" s="27" customFormat="1" outlineLevel="1" collapsed="1" x14ac:dyDescent="0.25">
      <c r="A64" s="26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SUM(OSRRefD22_8x_0)</f>
        <v>0</v>
      </c>
      <c r="E64" s="1"/>
      <c r="F64" s="5">
        <f t="shared" si="39"/>
        <v>0</v>
      </c>
      <c r="G64" s="1"/>
      <c r="H64" s="1">
        <f>SUM(OSRRefH22_8x_0)</f>
        <v>0</v>
      </c>
      <c r="I64" s="1"/>
      <c r="J64" s="5">
        <f t="shared" si="40"/>
        <v>0</v>
      </c>
      <c r="K64" s="1"/>
      <c r="L64" s="1">
        <f t="shared" si="41"/>
        <v>0</v>
      </c>
      <c r="M64" s="1"/>
      <c r="N64" s="5">
        <f t="shared" si="42"/>
        <v>0</v>
      </c>
      <c r="O64" s="13"/>
      <c r="P64" s="1">
        <f>SUM(OSRRefP22_8x_0)</f>
        <v>280.10000000000002</v>
      </c>
      <c r="Q64" s="1"/>
      <c r="R64" s="5">
        <f t="shared" si="43"/>
        <v>9.7361066696328019E-2</v>
      </c>
      <c r="S64" s="1"/>
      <c r="T64" s="1">
        <f>SUM(OSRRefT22_8x_0)</f>
        <v>0</v>
      </c>
      <c r="U64" s="1"/>
      <c r="V64" s="5">
        <f t="shared" si="44"/>
        <v>0</v>
      </c>
      <c r="W64" s="1"/>
      <c r="X64" s="1">
        <f t="shared" si="45"/>
        <v>280.10000000000002</v>
      </c>
      <c r="Y64" s="1"/>
      <c r="Z64" s="5">
        <f t="shared" si="46"/>
        <v>0</v>
      </c>
    </row>
    <row r="65" spans="1:26" s="24" customFormat="1" hidden="1" outlineLevel="2" x14ac:dyDescent="0.25">
      <c r="A65" s="25"/>
      <c r="B65" s="11" t="str">
        <f>CONCATENATE("          ", "6305", " - ", "FREIGHT OUT")</f>
        <v xml:space="preserve">          6305 - FREIGHT OUT</v>
      </c>
      <c r="C65" s="11"/>
      <c r="D65" s="7"/>
      <c r="E65" s="2"/>
      <c r="F65" s="6">
        <f t="shared" si="39"/>
        <v>0</v>
      </c>
      <c r="G65" s="2"/>
      <c r="H65" s="7"/>
      <c r="I65" s="2"/>
      <c r="J65" s="6">
        <f t="shared" si="40"/>
        <v>0</v>
      </c>
      <c r="K65" s="2"/>
      <c r="L65" s="7">
        <f t="shared" si="41"/>
        <v>0</v>
      </c>
      <c r="M65" s="2"/>
      <c r="N65" s="6">
        <f t="shared" si="42"/>
        <v>0</v>
      </c>
      <c r="O65" s="11"/>
      <c r="P65" s="7">
        <v>280.10000000000002</v>
      </c>
      <c r="Q65" s="2"/>
      <c r="R65" s="6">
        <f t="shared" si="43"/>
        <v>9.7361066696328019E-2</v>
      </c>
      <c r="S65" s="2"/>
      <c r="T65" s="7"/>
      <c r="U65" s="2"/>
      <c r="V65" s="6">
        <f t="shared" si="44"/>
        <v>0</v>
      </c>
      <c r="W65" s="2"/>
      <c r="X65" s="7">
        <f t="shared" si="45"/>
        <v>280.10000000000002</v>
      </c>
      <c r="Y65" s="2"/>
      <c r="Z65" s="6">
        <f t="shared" si="46"/>
        <v>0</v>
      </c>
    </row>
    <row r="66" spans="1:26" s="27" customFormat="1" outlineLevel="1" collapsed="1" x14ac:dyDescent="0.25">
      <c r="A66" s="26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SUM(OSRRefD22_9x_0)</f>
        <v>-646.37</v>
      </c>
      <c r="E66" s="1"/>
      <c r="F66" s="5">
        <f t="shared" si="39"/>
        <v>-161.5925</v>
      </c>
      <c r="G66" s="1"/>
      <c r="H66" s="1">
        <f>SUM(OSRRefH22_9x_0)</f>
        <v>0</v>
      </c>
      <c r="I66" s="1"/>
      <c r="J66" s="5">
        <f t="shared" si="40"/>
        <v>0</v>
      </c>
      <c r="K66" s="1"/>
      <c r="L66" s="1">
        <f t="shared" si="41"/>
        <v>-646.37</v>
      </c>
      <c r="M66" s="1"/>
      <c r="N66" s="5">
        <f t="shared" si="42"/>
        <v>0</v>
      </c>
      <c r="O66" s="13"/>
      <c r="P66" s="1">
        <f>SUM(OSRRefP22_9x_0)</f>
        <v>2908.49</v>
      </c>
      <c r="Q66" s="1"/>
      <c r="R66" s="5">
        <f t="shared" si="43"/>
        <v>1.0109735411481722</v>
      </c>
      <c r="S66" s="1"/>
      <c r="T66" s="1">
        <f>SUM(OSRRefT22_9x_0)</f>
        <v>3150</v>
      </c>
      <c r="U66" s="1"/>
      <c r="V66" s="5">
        <f t="shared" si="44"/>
        <v>5.248040731460255E-3</v>
      </c>
      <c r="W66" s="1"/>
      <c r="X66" s="1">
        <f t="shared" si="45"/>
        <v>-241.51000000000022</v>
      </c>
      <c r="Y66" s="1"/>
      <c r="Z66" s="5">
        <f t="shared" si="46"/>
        <v>-7.6669841269841332E-2</v>
      </c>
    </row>
    <row r="67" spans="1:26" s="24" customFormat="1" hidden="1" outlineLevel="2" x14ac:dyDescent="0.25">
      <c r="A67" s="25"/>
      <c r="B67" s="11" t="str">
        <f>CONCATENATE("          ", "6279", " - ", "GENERAL EXPENSE")</f>
        <v xml:space="preserve">          6279 - GENERAL EXPENSE</v>
      </c>
      <c r="C67" s="11"/>
      <c r="D67" s="7">
        <v>-646.37</v>
      </c>
      <c r="E67" s="2"/>
      <c r="F67" s="6">
        <f t="shared" si="39"/>
        <v>-161.5925</v>
      </c>
      <c r="G67" s="2"/>
      <c r="H67" s="7"/>
      <c r="I67" s="2"/>
      <c r="J67" s="6">
        <f t="shared" si="40"/>
        <v>0</v>
      </c>
      <c r="K67" s="2"/>
      <c r="L67" s="7">
        <f t="shared" si="41"/>
        <v>-646.37</v>
      </c>
      <c r="M67" s="2"/>
      <c r="N67" s="6">
        <f t="shared" si="42"/>
        <v>0</v>
      </c>
      <c r="O67" s="11"/>
      <c r="P67" s="7">
        <v>2908.49</v>
      </c>
      <c r="Q67" s="2"/>
      <c r="R67" s="6">
        <f t="shared" si="43"/>
        <v>1.0109735411481722</v>
      </c>
      <c r="S67" s="2"/>
      <c r="T67" s="7">
        <v>3150</v>
      </c>
      <c r="U67" s="2"/>
      <c r="V67" s="6">
        <f t="shared" si="44"/>
        <v>5.248040731460255E-3</v>
      </c>
      <c r="W67" s="2"/>
      <c r="X67" s="7">
        <f t="shared" si="45"/>
        <v>-241.51000000000022</v>
      </c>
      <c r="Y67" s="2"/>
      <c r="Z67" s="6">
        <f t="shared" si="46"/>
        <v>-7.6669841269841332E-2</v>
      </c>
    </row>
    <row r="68" spans="1:26" s="27" customFormat="1" outlineLevel="1" collapsed="1" x14ac:dyDescent="0.25">
      <c r="A68" s="26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SUM(OSRRefD22_10x_0)</f>
        <v>243.54</v>
      </c>
      <c r="E68" s="1"/>
      <c r="F68" s="5">
        <f t="shared" si="39"/>
        <v>60.884999999999998</v>
      </c>
      <c r="G68" s="1"/>
      <c r="H68" s="1">
        <f>SUM(OSRRefH22_10x_0)</f>
        <v>270</v>
      </c>
      <c r="I68" s="1"/>
      <c r="J68" s="5">
        <f t="shared" si="40"/>
        <v>5.6473541100188242E-3</v>
      </c>
      <c r="K68" s="1"/>
      <c r="L68" s="1">
        <f t="shared" si="41"/>
        <v>-26.460000000000008</v>
      </c>
      <c r="M68" s="1"/>
      <c r="N68" s="5">
        <f t="shared" si="42"/>
        <v>-9.8000000000000032E-2</v>
      </c>
      <c r="O68" s="13"/>
      <c r="P68" s="1">
        <f>SUM(OSRRefP22_10x_0)</f>
        <v>2678.94</v>
      </c>
      <c r="Q68" s="1"/>
      <c r="R68" s="5">
        <f t="shared" si="43"/>
        <v>0.93118334885919662</v>
      </c>
      <c r="S68" s="1"/>
      <c r="T68" s="1">
        <f>SUM(OSRRefT22_10x_0)</f>
        <v>2970</v>
      </c>
      <c r="U68" s="1"/>
      <c r="V68" s="5">
        <f t="shared" si="44"/>
        <v>4.9481526896625258E-3</v>
      </c>
      <c r="W68" s="1"/>
      <c r="X68" s="1">
        <f t="shared" si="45"/>
        <v>-291.05999999999995</v>
      </c>
      <c r="Y68" s="1"/>
      <c r="Z68" s="5">
        <f t="shared" si="46"/>
        <v>-9.7999999999999976E-2</v>
      </c>
    </row>
    <row r="69" spans="1:26" s="24" customFormat="1" hidden="1" outlineLevel="2" x14ac:dyDescent="0.25">
      <c r="A69" s="25"/>
      <c r="B69" s="11" t="str">
        <f>CONCATENATE("          ", "6314", " - ", "LIABILITY INSURANCE")</f>
        <v xml:space="preserve">          6314 - LIABILITY INSURANCE</v>
      </c>
      <c r="C69" s="11"/>
      <c r="D69" s="7">
        <v>243.54</v>
      </c>
      <c r="E69" s="2"/>
      <c r="F69" s="6">
        <f t="shared" si="39"/>
        <v>60.884999999999998</v>
      </c>
      <c r="G69" s="2"/>
      <c r="H69" s="7">
        <v>270</v>
      </c>
      <c r="I69" s="2"/>
      <c r="J69" s="6">
        <f t="shared" si="40"/>
        <v>5.6473541100188242E-3</v>
      </c>
      <c r="K69" s="2"/>
      <c r="L69" s="7">
        <f t="shared" si="41"/>
        <v>-26.460000000000008</v>
      </c>
      <c r="M69" s="2"/>
      <c r="N69" s="6">
        <f t="shared" si="42"/>
        <v>-9.8000000000000032E-2</v>
      </c>
      <c r="O69" s="11"/>
      <c r="P69" s="7">
        <v>2678.94</v>
      </c>
      <c r="Q69" s="2"/>
      <c r="R69" s="6">
        <f t="shared" si="43"/>
        <v>0.93118334885919662</v>
      </c>
      <c r="S69" s="2"/>
      <c r="T69" s="7">
        <v>2970</v>
      </c>
      <c r="U69" s="2"/>
      <c r="V69" s="6">
        <f t="shared" si="44"/>
        <v>4.9481526896625258E-3</v>
      </c>
      <c r="W69" s="2"/>
      <c r="X69" s="7">
        <f t="shared" si="45"/>
        <v>-291.05999999999995</v>
      </c>
      <c r="Y69" s="2"/>
      <c r="Z69" s="6">
        <f t="shared" si="46"/>
        <v>-9.7999999999999976E-2</v>
      </c>
    </row>
    <row r="70" spans="1:26" s="27" customFormat="1" outlineLevel="1" collapsed="1" x14ac:dyDescent="0.25">
      <c r="A70" s="26"/>
      <c r="B70" s="13" t="str">
        <f>CONCATENATE("     ","Interest                                          ")</f>
        <v xml:space="preserve">     Interest                                          </v>
      </c>
      <c r="C70" s="13"/>
      <c r="D70" s="1">
        <f>SUM(OSRRefD22_11x_0)</f>
        <v>4044</v>
      </c>
      <c r="E70" s="1"/>
      <c r="F70" s="5">
        <f t="shared" si="39"/>
        <v>1011</v>
      </c>
      <c r="G70" s="1"/>
      <c r="H70" s="1">
        <f>SUM(OSRRefH22_11x_0)</f>
        <v>3905</v>
      </c>
      <c r="I70" s="1"/>
      <c r="J70" s="5">
        <f t="shared" si="40"/>
        <v>8.1677473331938921E-2</v>
      </c>
      <c r="K70" s="1"/>
      <c r="L70" s="1">
        <f t="shared" si="41"/>
        <v>139</v>
      </c>
      <c r="M70" s="1"/>
      <c r="N70" s="5">
        <f t="shared" si="42"/>
        <v>3.559539052496799E-2</v>
      </c>
      <c r="O70" s="13"/>
      <c r="P70" s="1">
        <f>SUM(OSRRefP22_11x_0)</f>
        <v>43390.85</v>
      </c>
      <c r="Q70" s="1"/>
      <c r="R70" s="5">
        <f t="shared" si="43"/>
        <v>15.08239714694882</v>
      </c>
      <c r="S70" s="1"/>
      <c r="T70" s="1">
        <f>SUM(OSRRefT22_11x_0)</f>
        <v>44345</v>
      </c>
      <c r="U70" s="1"/>
      <c r="V70" s="5">
        <f t="shared" si="44"/>
        <v>7.3880751186223809E-2</v>
      </c>
      <c r="W70" s="1"/>
      <c r="X70" s="1">
        <f t="shared" si="45"/>
        <v>-954.15000000000146</v>
      </c>
      <c r="Y70" s="1"/>
      <c r="Z70" s="5">
        <f t="shared" si="46"/>
        <v>-2.1516518209493775E-2</v>
      </c>
    </row>
    <row r="71" spans="1:26" s="24" customFormat="1" hidden="1" outlineLevel="2" x14ac:dyDescent="0.25">
      <c r="A71" s="25"/>
      <c r="B71" s="11" t="str">
        <f>CONCATENATE("          ", "6401", " - ", "INTEREST EXPENSE")</f>
        <v xml:space="preserve">          6401 - INTEREST EXPENSE</v>
      </c>
      <c r="C71" s="11"/>
      <c r="D71" s="7">
        <v>4044</v>
      </c>
      <c r="E71" s="2"/>
      <c r="F71" s="6">
        <f t="shared" si="39"/>
        <v>1011</v>
      </c>
      <c r="G71" s="2"/>
      <c r="H71" s="7">
        <v>3905</v>
      </c>
      <c r="I71" s="2"/>
      <c r="J71" s="6">
        <f t="shared" si="40"/>
        <v>8.1677473331938921E-2</v>
      </c>
      <c r="K71" s="2"/>
      <c r="L71" s="7">
        <f t="shared" si="41"/>
        <v>139</v>
      </c>
      <c r="M71" s="2"/>
      <c r="N71" s="6">
        <f t="shared" si="42"/>
        <v>3.559539052496799E-2</v>
      </c>
      <c r="O71" s="11"/>
      <c r="P71" s="7">
        <v>43390.85</v>
      </c>
      <c r="Q71" s="2"/>
      <c r="R71" s="6">
        <f t="shared" si="43"/>
        <v>15.08239714694882</v>
      </c>
      <c r="S71" s="2"/>
      <c r="T71" s="7">
        <v>44345</v>
      </c>
      <c r="U71" s="2"/>
      <c r="V71" s="6">
        <f t="shared" si="44"/>
        <v>7.3880751186223809E-2</v>
      </c>
      <c r="W71" s="2"/>
      <c r="X71" s="7">
        <f t="shared" si="45"/>
        <v>-954.15000000000146</v>
      </c>
      <c r="Y71" s="2"/>
      <c r="Z71" s="6">
        <f t="shared" si="46"/>
        <v>-2.1516518209493775E-2</v>
      </c>
    </row>
    <row r="72" spans="1:26" s="27" customFormat="1" outlineLevel="1" collapsed="1" x14ac:dyDescent="0.25">
      <c r="A72" s="26"/>
      <c r="B72" s="13" t="str">
        <f>CONCATENATE("     ","Rent                                              ")</f>
        <v xml:space="preserve">     Rent                                              </v>
      </c>
      <c r="C72" s="13"/>
      <c r="D72" s="1">
        <f>SUM(OSRRefD22_12x_0)</f>
        <v>0</v>
      </c>
      <c r="E72" s="1"/>
      <c r="F72" s="5">
        <f t="shared" si="39"/>
        <v>0</v>
      </c>
      <c r="G72" s="1"/>
      <c r="H72" s="1">
        <f>SUM(OSRRefH22_12x_0)</f>
        <v>0</v>
      </c>
      <c r="I72" s="1"/>
      <c r="J72" s="5">
        <f t="shared" si="40"/>
        <v>0</v>
      </c>
      <c r="K72" s="1"/>
      <c r="L72" s="1">
        <f t="shared" si="41"/>
        <v>0</v>
      </c>
      <c r="M72" s="1"/>
      <c r="N72" s="5">
        <f t="shared" si="42"/>
        <v>0</v>
      </c>
      <c r="O72" s="13"/>
      <c r="P72" s="1">
        <f>SUM(OSRRefP22_12x_0)</f>
        <v>0</v>
      </c>
      <c r="Q72" s="1"/>
      <c r="R72" s="5">
        <f t="shared" si="43"/>
        <v>0</v>
      </c>
      <c r="S72" s="1"/>
      <c r="T72" s="1">
        <f>SUM(OSRRefT22_12x_0)</f>
        <v>0</v>
      </c>
      <c r="U72" s="1"/>
      <c r="V72" s="5">
        <f t="shared" si="44"/>
        <v>0</v>
      </c>
      <c r="W72" s="1"/>
      <c r="X72" s="1">
        <f t="shared" si="45"/>
        <v>0</v>
      </c>
      <c r="Y72" s="1"/>
      <c r="Z72" s="5">
        <f t="shared" si="46"/>
        <v>0</v>
      </c>
    </row>
    <row r="73" spans="1:26" s="24" customFormat="1" hidden="1" outlineLevel="2" x14ac:dyDescent="0.25">
      <c r="A73" s="25"/>
      <c r="B73" s="11" t="str">
        <f>CONCATENATE("          ", "6273", " - ", "RENT")</f>
        <v xml:space="preserve">          6273 - RENT</v>
      </c>
      <c r="C73" s="11"/>
      <c r="D73" s="7"/>
      <c r="E73" s="2"/>
      <c r="F73" s="6">
        <f t="shared" si="39"/>
        <v>0</v>
      </c>
      <c r="G73" s="2"/>
      <c r="H73" s="7">
        <v>0</v>
      </c>
      <c r="I73" s="2"/>
      <c r="J73" s="6">
        <f t="shared" si="40"/>
        <v>0</v>
      </c>
      <c r="K73" s="2"/>
      <c r="L73" s="7">
        <f t="shared" si="41"/>
        <v>0</v>
      </c>
      <c r="M73" s="2"/>
      <c r="N73" s="6">
        <f t="shared" si="42"/>
        <v>0</v>
      </c>
      <c r="O73" s="11"/>
      <c r="P73" s="7"/>
      <c r="Q73" s="2"/>
      <c r="R73" s="6">
        <f t="shared" si="43"/>
        <v>0</v>
      </c>
      <c r="S73" s="2"/>
      <c r="T73" s="7">
        <v>0</v>
      </c>
      <c r="U73" s="2"/>
      <c r="V73" s="6">
        <f t="shared" si="44"/>
        <v>0</v>
      </c>
      <c r="W73" s="2"/>
      <c r="X73" s="7">
        <f t="shared" si="45"/>
        <v>0</v>
      </c>
      <c r="Y73" s="2"/>
      <c r="Z73" s="6">
        <f t="shared" si="46"/>
        <v>0</v>
      </c>
    </row>
    <row r="74" spans="1:26" s="27" customFormat="1" outlineLevel="1" collapsed="1" x14ac:dyDescent="0.25">
      <c r="A74" s="26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SUM(OSRRefD22_13x_0)</f>
        <v>205.13</v>
      </c>
      <c r="E74" s="1"/>
      <c r="F74" s="5">
        <f t="shared" si="39"/>
        <v>51.282499999999999</v>
      </c>
      <c r="G74" s="1"/>
      <c r="H74" s="1">
        <f>SUM(OSRRefH22_13x_0)</f>
        <v>305</v>
      </c>
      <c r="I74" s="1"/>
      <c r="J74" s="5">
        <f t="shared" si="40"/>
        <v>6.3794185316879311E-3</v>
      </c>
      <c r="K74" s="1"/>
      <c r="L74" s="1">
        <f t="shared" si="41"/>
        <v>-99.87</v>
      </c>
      <c r="M74" s="1"/>
      <c r="N74" s="5">
        <f t="shared" si="42"/>
        <v>-0.32744262295081966</v>
      </c>
      <c r="O74" s="13"/>
      <c r="P74" s="1">
        <f>SUM(OSRRefP22_13x_0)</f>
        <v>3031.4300000000003</v>
      </c>
      <c r="Q74" s="1"/>
      <c r="R74" s="5">
        <f t="shared" si="43"/>
        <v>1.0537067419323445</v>
      </c>
      <c r="S74" s="1"/>
      <c r="T74" s="1">
        <f>SUM(OSRRefT22_13x_0)</f>
        <v>4097</v>
      </c>
      <c r="U74" s="1"/>
      <c r="V74" s="5">
        <f t="shared" si="44"/>
        <v>6.8257850402516397E-3</v>
      </c>
      <c r="W74" s="1"/>
      <c r="X74" s="1">
        <f t="shared" si="45"/>
        <v>-1065.5699999999997</v>
      </c>
      <c r="Y74" s="1"/>
      <c r="Z74" s="5">
        <f t="shared" si="46"/>
        <v>-0.26008542836221621</v>
      </c>
    </row>
    <row r="75" spans="1:26" s="24" customFormat="1" hidden="1" outlineLevel="2" x14ac:dyDescent="0.25">
      <c r="A75" s="25"/>
      <c r="B75" s="11" t="str">
        <f>CONCATENATE("          ", "6371", " - ", "COMPUTER SOFTWARE MAINTENANCE")</f>
        <v xml:space="preserve">          6371 - COMPUTER SOFTWARE MAINTENANCE</v>
      </c>
      <c r="C75" s="11"/>
      <c r="D75" s="7"/>
      <c r="E75" s="2"/>
      <c r="F75" s="6">
        <f t="shared" si="39"/>
        <v>0</v>
      </c>
      <c r="G75" s="2"/>
      <c r="H75" s="7"/>
      <c r="I75" s="2"/>
      <c r="J75" s="6">
        <f t="shared" si="40"/>
        <v>0</v>
      </c>
      <c r="K75" s="2"/>
      <c r="L75" s="7">
        <f t="shared" si="41"/>
        <v>0</v>
      </c>
      <c r="M75" s="2"/>
      <c r="N75" s="6">
        <f t="shared" si="42"/>
        <v>0</v>
      </c>
      <c r="O75" s="11"/>
      <c r="P75" s="7"/>
      <c r="Q75" s="2"/>
      <c r="R75" s="6">
        <f t="shared" si="43"/>
        <v>0</v>
      </c>
      <c r="S75" s="2"/>
      <c r="T75" s="7">
        <v>43</v>
      </c>
      <c r="U75" s="2"/>
      <c r="V75" s="6">
        <f t="shared" si="44"/>
        <v>7.163992109612412E-5</v>
      </c>
      <c r="W75" s="2"/>
      <c r="X75" s="7">
        <f t="shared" si="45"/>
        <v>-43</v>
      </c>
      <c r="Y75" s="2"/>
      <c r="Z75" s="6">
        <f t="shared" si="46"/>
        <v>-1</v>
      </c>
    </row>
    <row r="76" spans="1:26" s="24" customFormat="1" hidden="1" outlineLevel="2" x14ac:dyDescent="0.25">
      <c r="A76" s="25"/>
      <c r="B76" s="11" t="str">
        <f>CONCATENATE("          ", "6372", " - ", "COMPUTER HARDWARE MAINTENANCE")</f>
        <v xml:space="preserve">          6372 - COMPUTER HARDWARE MAINTENANCE</v>
      </c>
      <c r="C76" s="11"/>
      <c r="D76" s="7"/>
      <c r="E76" s="2"/>
      <c r="F76" s="6">
        <f t="shared" si="39"/>
        <v>0</v>
      </c>
      <c r="G76" s="2"/>
      <c r="H76" s="7"/>
      <c r="I76" s="2"/>
      <c r="J76" s="6">
        <f t="shared" si="40"/>
        <v>0</v>
      </c>
      <c r="K76" s="2"/>
      <c r="L76" s="7">
        <f t="shared" si="41"/>
        <v>0</v>
      </c>
      <c r="M76" s="2"/>
      <c r="N76" s="6">
        <f t="shared" si="42"/>
        <v>0</v>
      </c>
      <c r="O76" s="11"/>
      <c r="P76" s="7"/>
      <c r="Q76" s="2"/>
      <c r="R76" s="6">
        <f t="shared" si="43"/>
        <v>0</v>
      </c>
      <c r="S76" s="2"/>
      <c r="T76" s="7">
        <v>437</v>
      </c>
      <c r="U76" s="2"/>
      <c r="V76" s="6">
        <f t="shared" si="44"/>
        <v>7.2806152369781949E-4</v>
      </c>
      <c r="W76" s="2"/>
      <c r="X76" s="7">
        <f t="shared" si="45"/>
        <v>-437</v>
      </c>
      <c r="Y76" s="2"/>
      <c r="Z76" s="6">
        <f t="shared" si="46"/>
        <v>-1</v>
      </c>
    </row>
    <row r="77" spans="1:26" s="24" customFormat="1" hidden="1" outlineLevel="2" x14ac:dyDescent="0.25">
      <c r="A77" s="25"/>
      <c r="B77" s="11" t="str">
        <f>CONCATENATE("          ", "6373", " - ", "MAINTENANCE CONTRACTS")</f>
        <v xml:space="preserve">          6373 - MAINTENANCE CONTRACTS</v>
      </c>
      <c r="C77" s="11"/>
      <c r="D77" s="7"/>
      <c r="E77" s="2"/>
      <c r="F77" s="6">
        <f t="shared" si="39"/>
        <v>0</v>
      </c>
      <c r="G77" s="2"/>
      <c r="H77" s="7"/>
      <c r="I77" s="2"/>
      <c r="J77" s="6">
        <f t="shared" si="40"/>
        <v>0</v>
      </c>
      <c r="K77" s="2"/>
      <c r="L77" s="7">
        <f t="shared" si="41"/>
        <v>0</v>
      </c>
      <c r="M77" s="2"/>
      <c r="N77" s="6">
        <f t="shared" si="42"/>
        <v>0</v>
      </c>
      <c r="O77" s="11"/>
      <c r="P77" s="7">
        <v>1258.05</v>
      </c>
      <c r="Q77" s="2"/>
      <c r="R77" s="6">
        <f t="shared" si="43"/>
        <v>0.43729057464232579</v>
      </c>
      <c r="S77" s="2"/>
      <c r="T77" s="7">
        <v>231</v>
      </c>
      <c r="U77" s="2"/>
      <c r="V77" s="6">
        <f t="shared" si="44"/>
        <v>3.8485632030708537E-4</v>
      </c>
      <c r="W77" s="2"/>
      <c r="X77" s="7">
        <f t="shared" si="45"/>
        <v>1027.05</v>
      </c>
      <c r="Y77" s="2"/>
      <c r="Z77" s="6">
        <f t="shared" si="46"/>
        <v>4.4461038961038959</v>
      </c>
    </row>
    <row r="78" spans="1:26" s="24" customFormat="1" hidden="1" outlineLevel="2" x14ac:dyDescent="0.25">
      <c r="A78" s="25"/>
      <c r="B78" s="11" t="str">
        <f>CONCATENATE("          ", "6375", " - ", "OUTSIDE REPAIRS &amp; MAINTENANCE")</f>
        <v xml:space="preserve">          6375 - OUTSIDE REPAIRS &amp; MAINTENANCE</v>
      </c>
      <c r="C78" s="11"/>
      <c r="D78" s="7">
        <v>205.13</v>
      </c>
      <c r="E78" s="2"/>
      <c r="F78" s="6">
        <f t="shared" si="39"/>
        <v>51.282499999999999</v>
      </c>
      <c r="G78" s="2"/>
      <c r="H78" s="7">
        <v>305</v>
      </c>
      <c r="I78" s="2"/>
      <c r="J78" s="6">
        <f t="shared" si="40"/>
        <v>6.3794185316879311E-3</v>
      </c>
      <c r="K78" s="2"/>
      <c r="L78" s="7">
        <f t="shared" si="41"/>
        <v>-99.87</v>
      </c>
      <c r="M78" s="2"/>
      <c r="N78" s="6">
        <f t="shared" si="42"/>
        <v>-0.32744262295081966</v>
      </c>
      <c r="O78" s="11"/>
      <c r="P78" s="7">
        <v>1773.38</v>
      </c>
      <c r="Q78" s="2"/>
      <c r="R78" s="6">
        <f t="shared" si="43"/>
        <v>0.61641616729001847</v>
      </c>
      <c r="S78" s="2"/>
      <c r="T78" s="7">
        <v>3386</v>
      </c>
      <c r="U78" s="2"/>
      <c r="V78" s="6">
        <f t="shared" si="44"/>
        <v>5.6412272751506102E-3</v>
      </c>
      <c r="W78" s="2"/>
      <c r="X78" s="7">
        <f t="shared" si="45"/>
        <v>-1612.62</v>
      </c>
      <c r="Y78" s="2"/>
      <c r="Z78" s="6">
        <f t="shared" si="46"/>
        <v>-0.47626107501476667</v>
      </c>
    </row>
    <row r="79" spans="1:26" s="27" customFormat="1" outlineLevel="1" collapsed="1" x14ac:dyDescent="0.25">
      <c r="A79" s="26"/>
      <c r="B79" s="13" t="str">
        <f>CONCATENATE("     ","Royalty &amp; Commissions                             ")</f>
        <v xml:space="preserve">     Royalty &amp; Commissions                             </v>
      </c>
      <c r="C79" s="13"/>
      <c r="D79" s="1">
        <f>SUM(OSRRefD22_14x_0)</f>
        <v>0</v>
      </c>
      <c r="E79" s="1"/>
      <c r="F79" s="5">
        <f t="shared" ref="F79:F81" si="47">IF(D$12=0,0,D79/D$12)</f>
        <v>0</v>
      </c>
      <c r="G79" s="1"/>
      <c r="H79" s="1">
        <f>SUM(OSRRefH22_14x_0)</f>
        <v>767</v>
      </c>
      <c r="I79" s="1"/>
      <c r="J79" s="5">
        <f t="shared" ref="J79:J81" si="48">IF(H$12=0,0,H79/H$12)</f>
        <v>1.6042668897720141E-2</v>
      </c>
      <c r="K79" s="1"/>
      <c r="L79" s="1">
        <f t="shared" ref="L79:L81" si="49">+D79-H79</f>
        <v>-767</v>
      </c>
      <c r="M79" s="1"/>
      <c r="N79" s="5">
        <f t="shared" ref="N79:N81" si="50">IF(H79=0,0,L79/H79)</f>
        <v>-1</v>
      </c>
      <c r="O79" s="13"/>
      <c r="P79" s="1">
        <f>SUM(OSRRefP22_14x_0)</f>
        <v>185.7</v>
      </c>
      <c r="Q79" s="1"/>
      <c r="R79" s="5">
        <f t="shared" ref="R79:R81" si="51">IF(P$12=0,0,P79/P$12)</f>
        <v>6.4548197377751207E-2</v>
      </c>
      <c r="S79" s="1"/>
      <c r="T79" s="1">
        <f>SUM(OSRRefT22_14x_0)</f>
        <v>10320</v>
      </c>
      <c r="U79" s="1"/>
      <c r="V79" s="5">
        <f t="shared" ref="V79:V81" si="52">IF(T$12=0,0,T79/T$12)</f>
        <v>1.7193581063069788E-2</v>
      </c>
      <c r="W79" s="1"/>
      <c r="X79" s="1">
        <f t="shared" ref="X79:X81" si="53">+P79-T79</f>
        <v>-10134.299999999999</v>
      </c>
      <c r="Y79" s="1"/>
      <c r="Z79" s="5">
        <f t="shared" ref="Z79:Z81" si="54">IF(T79=0,0,X79/T79)</f>
        <v>-0.98200581395348829</v>
      </c>
    </row>
    <row r="80" spans="1:26" s="24" customFormat="1" hidden="1" outlineLevel="2" x14ac:dyDescent="0.25">
      <c r="A80" s="25"/>
      <c r="B80" s="11" t="str">
        <f>CONCATENATE("          ", "6254", " - ", "ROYALTY &amp; COMMISSIONS")</f>
        <v xml:space="preserve">          6254 - ROYALTY &amp; COMMISSIONS</v>
      </c>
      <c r="C80" s="11"/>
      <c r="D80" s="7"/>
      <c r="E80" s="2"/>
      <c r="F80" s="6">
        <f t="shared" si="47"/>
        <v>0</v>
      </c>
      <c r="G80" s="2"/>
      <c r="H80" s="7"/>
      <c r="I80" s="2"/>
      <c r="J80" s="6">
        <f t="shared" si="48"/>
        <v>0</v>
      </c>
      <c r="K80" s="2"/>
      <c r="L80" s="7">
        <f t="shared" si="49"/>
        <v>0</v>
      </c>
      <c r="M80" s="2"/>
      <c r="N80" s="6">
        <f t="shared" si="50"/>
        <v>0</v>
      </c>
      <c r="O80" s="11"/>
      <c r="P80" s="7">
        <v>185.7</v>
      </c>
      <c r="Q80" s="2"/>
      <c r="R80" s="6">
        <f t="shared" si="51"/>
        <v>6.4548197377751207E-2</v>
      </c>
      <c r="S80" s="2"/>
      <c r="T80" s="7"/>
      <c r="U80" s="2"/>
      <c r="V80" s="6">
        <f t="shared" si="52"/>
        <v>0</v>
      </c>
      <c r="W80" s="2"/>
      <c r="X80" s="7">
        <f t="shared" si="53"/>
        <v>185.7</v>
      </c>
      <c r="Y80" s="2"/>
      <c r="Z80" s="6">
        <f t="shared" si="54"/>
        <v>0</v>
      </c>
    </row>
    <row r="81" spans="1:26" s="24" customFormat="1" hidden="1" outlineLevel="2" x14ac:dyDescent="0.25">
      <c r="A81" s="25"/>
      <c r="B81" s="11" t="str">
        <f>CONCATENATE("          ", "6259", " - ", "ROYALTY &amp; COMMISSIONS")</f>
        <v xml:space="preserve">          6259 - ROYALTY &amp; COMMISSIONS</v>
      </c>
      <c r="C81" s="11"/>
      <c r="D81" s="7"/>
      <c r="E81" s="2"/>
      <c r="F81" s="6">
        <f t="shared" si="47"/>
        <v>0</v>
      </c>
      <c r="G81" s="2"/>
      <c r="H81" s="7">
        <v>767</v>
      </c>
      <c r="I81" s="2"/>
      <c r="J81" s="6">
        <f t="shared" si="48"/>
        <v>1.6042668897720141E-2</v>
      </c>
      <c r="K81" s="2"/>
      <c r="L81" s="7">
        <f t="shared" si="49"/>
        <v>-767</v>
      </c>
      <c r="M81" s="2"/>
      <c r="N81" s="6">
        <f t="shared" si="50"/>
        <v>-1</v>
      </c>
      <c r="O81" s="11"/>
      <c r="P81" s="7"/>
      <c r="Q81" s="2"/>
      <c r="R81" s="6">
        <f t="shared" si="51"/>
        <v>0</v>
      </c>
      <c r="S81" s="2"/>
      <c r="T81" s="7">
        <v>10320</v>
      </c>
      <c r="U81" s="2"/>
      <c r="V81" s="6">
        <f t="shared" si="52"/>
        <v>1.7193581063069788E-2</v>
      </c>
      <c r="W81" s="2"/>
      <c r="X81" s="7">
        <f t="shared" si="53"/>
        <v>-10320</v>
      </c>
      <c r="Y81" s="2"/>
      <c r="Z81" s="6">
        <f t="shared" si="54"/>
        <v>-1</v>
      </c>
    </row>
    <row r="82" spans="1:26" s="27" customFormat="1" outlineLevel="1" collapsed="1" x14ac:dyDescent="0.25">
      <c r="A82" s="26"/>
      <c r="B82" s="13" t="str">
        <f>CONCATENATE("     ","Services                                          ")</f>
        <v xml:space="preserve">     Services                                          </v>
      </c>
      <c r="C82" s="13"/>
      <c r="D82" s="1">
        <f>SUM(OSRRefD22_15x_0)</f>
        <v>609.25</v>
      </c>
      <c r="E82" s="1"/>
      <c r="F82" s="5">
        <f t="shared" ref="F82:F86" si="55">IF(D$12=0,0,D82/D$12)</f>
        <v>152.3125</v>
      </c>
      <c r="G82" s="1"/>
      <c r="H82" s="1">
        <f>SUM(OSRRefH22_15x_0)</f>
        <v>991</v>
      </c>
      <c r="I82" s="1"/>
      <c r="J82" s="5">
        <f t="shared" ref="J82:J86" si="56">IF(H$12=0,0,H82/H$12)</f>
        <v>2.0727881196402426E-2</v>
      </c>
      <c r="K82" s="1"/>
      <c r="L82" s="1">
        <f t="shared" ref="L82:L86" si="57">+D82-H82</f>
        <v>-381.75</v>
      </c>
      <c r="M82" s="1"/>
      <c r="N82" s="5">
        <f t="shared" ref="N82:N86" si="58">IF(H82=0,0,L82/H82)</f>
        <v>-0.38521695257315841</v>
      </c>
      <c r="O82" s="13"/>
      <c r="P82" s="1">
        <f>SUM(OSRRefP22_15x_0)</f>
        <v>3055.46</v>
      </c>
      <c r="Q82" s="1"/>
      <c r="R82" s="5">
        <f t="shared" ref="R82:R86" si="59">IF(P$12=0,0,P82/P$12)</f>
        <v>1.0620594246624862</v>
      </c>
      <c r="S82" s="1"/>
      <c r="T82" s="1">
        <f>SUM(OSRRefT22_15x_0)</f>
        <v>10542</v>
      </c>
      <c r="U82" s="1"/>
      <c r="V82" s="5">
        <f t="shared" ref="V82:V86" si="60">IF(T$12=0,0,T82/T$12)</f>
        <v>1.7563442981286988E-2</v>
      </c>
      <c r="W82" s="1"/>
      <c r="X82" s="1">
        <f t="shared" ref="X82:X86" si="61">+P82-T82</f>
        <v>-7486.54</v>
      </c>
      <c r="Y82" s="1"/>
      <c r="Z82" s="5">
        <f t="shared" ref="Z82:Z86" si="62">IF(T82=0,0,X82/T82)</f>
        <v>-0.71016315689622467</v>
      </c>
    </row>
    <row r="83" spans="1:26" s="24" customFormat="1" hidden="1" outlineLevel="2" x14ac:dyDescent="0.25">
      <c r="A83" s="25"/>
      <c r="B83" s="11" t="str">
        <f>CONCATENATE("          ", "6282", " - ", "JANITORIAL/EXTERMINATOR EXPENS")</f>
        <v xml:space="preserve">          6282 - JANITORIAL/EXTERMINATOR EXPENS</v>
      </c>
      <c r="C83" s="11"/>
      <c r="D83" s="7">
        <v>320.25</v>
      </c>
      <c r="E83" s="2"/>
      <c r="F83" s="6">
        <f t="shared" si="55"/>
        <v>80.0625</v>
      </c>
      <c r="G83" s="2"/>
      <c r="H83" s="7">
        <v>200</v>
      </c>
      <c r="I83" s="2"/>
      <c r="J83" s="6">
        <f t="shared" si="56"/>
        <v>4.1832252666806104E-3</v>
      </c>
      <c r="K83" s="2"/>
      <c r="L83" s="7">
        <f t="shared" si="57"/>
        <v>120.25</v>
      </c>
      <c r="M83" s="2"/>
      <c r="N83" s="6">
        <f t="shared" si="58"/>
        <v>0.60124999999999995</v>
      </c>
      <c r="O83" s="11"/>
      <c r="P83" s="7">
        <v>2407.06</v>
      </c>
      <c r="Q83" s="2"/>
      <c r="R83" s="6">
        <f t="shared" si="59"/>
        <v>0.83667950447005823</v>
      </c>
      <c r="S83" s="2"/>
      <c r="T83" s="7">
        <v>1616</v>
      </c>
      <c r="U83" s="2"/>
      <c r="V83" s="6">
        <f t="shared" si="60"/>
        <v>2.6923281974729433E-3</v>
      </c>
      <c r="W83" s="2"/>
      <c r="X83" s="7">
        <f t="shared" si="61"/>
        <v>791.06</v>
      </c>
      <c r="Y83" s="2"/>
      <c r="Z83" s="6">
        <f t="shared" si="62"/>
        <v>0.48951732673267323</v>
      </c>
    </row>
    <row r="84" spans="1:26" s="24" customFormat="1" hidden="1" outlineLevel="2" x14ac:dyDescent="0.25">
      <c r="A84" s="25"/>
      <c r="B84" s="11" t="str">
        <f>CONCATENATE("          ", "6284", " - ", "TRASH REMOVAL EXPENSE")</f>
        <v xml:space="preserve">          6284 - TRASH REMOVAL EXPENSE</v>
      </c>
      <c r="C84" s="11"/>
      <c r="D84" s="7">
        <v>289</v>
      </c>
      <c r="E84" s="2"/>
      <c r="F84" s="6">
        <f t="shared" si="55"/>
        <v>72.25</v>
      </c>
      <c r="G84" s="2"/>
      <c r="H84" s="7">
        <v>237</v>
      </c>
      <c r="I84" s="2"/>
      <c r="J84" s="6">
        <f t="shared" si="56"/>
        <v>4.9571219410165235E-3</v>
      </c>
      <c r="K84" s="2"/>
      <c r="L84" s="7">
        <f t="shared" si="57"/>
        <v>52</v>
      </c>
      <c r="M84" s="2"/>
      <c r="N84" s="6">
        <f t="shared" si="58"/>
        <v>0.21940928270042195</v>
      </c>
      <c r="O84" s="11"/>
      <c r="P84" s="7">
        <v>1453</v>
      </c>
      <c r="Q84" s="2"/>
      <c r="R84" s="6">
        <f t="shared" si="59"/>
        <v>0.50505401610055201</v>
      </c>
      <c r="S84" s="2"/>
      <c r="T84" s="7">
        <v>3126</v>
      </c>
      <c r="U84" s="2"/>
      <c r="V84" s="6">
        <f t="shared" si="60"/>
        <v>5.208055659220558E-3</v>
      </c>
      <c r="W84" s="2"/>
      <c r="X84" s="7">
        <f t="shared" si="61"/>
        <v>-1673</v>
      </c>
      <c r="Y84" s="2"/>
      <c r="Z84" s="6">
        <f t="shared" si="62"/>
        <v>-0.53518873960332691</v>
      </c>
    </row>
    <row r="85" spans="1:26" s="24" customFormat="1" hidden="1" outlineLevel="2" x14ac:dyDescent="0.25">
      <c r="A85" s="25"/>
      <c r="B85" s="11" t="str">
        <f>CONCATENATE("          ", "6285", " - ", "JANITORIAL SERVICES")</f>
        <v xml:space="preserve">          6285 - JANITORIAL SERVICES</v>
      </c>
      <c r="C85" s="11"/>
      <c r="D85" s="7"/>
      <c r="E85" s="2"/>
      <c r="F85" s="6">
        <f t="shared" si="55"/>
        <v>0</v>
      </c>
      <c r="G85" s="2"/>
      <c r="H85" s="7">
        <v>450</v>
      </c>
      <c r="I85" s="2"/>
      <c r="J85" s="6">
        <f t="shared" si="56"/>
        <v>9.4122568500313742E-3</v>
      </c>
      <c r="K85" s="2"/>
      <c r="L85" s="7">
        <f t="shared" si="57"/>
        <v>-450</v>
      </c>
      <c r="M85" s="2"/>
      <c r="N85" s="6">
        <f t="shared" si="58"/>
        <v>-1</v>
      </c>
      <c r="O85" s="11"/>
      <c r="P85" s="7">
        <v>-804.6</v>
      </c>
      <c r="Q85" s="2"/>
      <c r="R85" s="6">
        <f t="shared" si="59"/>
        <v>-0.27967409590812398</v>
      </c>
      <c r="S85" s="2"/>
      <c r="T85" s="7">
        <v>4663</v>
      </c>
      <c r="U85" s="2"/>
      <c r="V85" s="6">
        <f t="shared" si="60"/>
        <v>7.7687663272378313E-3</v>
      </c>
      <c r="W85" s="2"/>
      <c r="X85" s="7">
        <f t="shared" si="61"/>
        <v>-5467.6</v>
      </c>
      <c r="Y85" s="2"/>
      <c r="Z85" s="6">
        <f t="shared" si="62"/>
        <v>-1.1725498606047609</v>
      </c>
    </row>
    <row r="86" spans="1:26" s="24" customFormat="1" hidden="1" outlineLevel="2" x14ac:dyDescent="0.25">
      <c r="A86" s="25"/>
      <c r="B86" s="11" t="str">
        <f>CONCATENATE("          ", "6286", " - ", "LAUNDRY EXPENSE")</f>
        <v xml:space="preserve">          6286 - LAUNDRY EXPENSE</v>
      </c>
      <c r="C86" s="11"/>
      <c r="D86" s="7"/>
      <c r="E86" s="2"/>
      <c r="F86" s="6">
        <f t="shared" si="55"/>
        <v>0</v>
      </c>
      <c r="G86" s="2"/>
      <c r="H86" s="7">
        <v>104</v>
      </c>
      <c r="I86" s="2"/>
      <c r="J86" s="6">
        <f t="shared" si="56"/>
        <v>2.1752771386739176E-3</v>
      </c>
      <c r="K86" s="2"/>
      <c r="L86" s="7">
        <f t="shared" si="57"/>
        <v>-104</v>
      </c>
      <c r="M86" s="2"/>
      <c r="N86" s="6">
        <f t="shared" si="58"/>
        <v>-1</v>
      </c>
      <c r="O86" s="11"/>
      <c r="P86" s="7"/>
      <c r="Q86" s="2"/>
      <c r="R86" s="6">
        <f t="shared" si="59"/>
        <v>0</v>
      </c>
      <c r="S86" s="2"/>
      <c r="T86" s="7">
        <v>1137</v>
      </c>
      <c r="U86" s="2"/>
      <c r="V86" s="6">
        <f t="shared" si="60"/>
        <v>1.8942927973556538E-3</v>
      </c>
      <c r="W86" s="2"/>
      <c r="X86" s="7">
        <f t="shared" si="61"/>
        <v>-1137</v>
      </c>
      <c r="Y86" s="2"/>
      <c r="Z86" s="6">
        <f t="shared" si="62"/>
        <v>-1</v>
      </c>
    </row>
    <row r="87" spans="1:26" s="27" customFormat="1" outlineLevel="1" collapsed="1" x14ac:dyDescent="0.25">
      <c r="A87" s="26"/>
      <c r="B87" s="13" t="str">
        <f>CONCATENATE("     ","Subscriptions &amp; Dues                              ")</f>
        <v xml:space="preserve">     Subscriptions &amp; Dues                              </v>
      </c>
      <c r="C87" s="13"/>
      <c r="D87" s="1">
        <f>SUM(OSRRefD22_16x_0)</f>
        <v>0</v>
      </c>
      <c r="E87" s="1"/>
      <c r="F87" s="5">
        <f t="shared" ref="F87:F96" si="63">IF(D$12=0,0,D87/D$12)</f>
        <v>0</v>
      </c>
      <c r="G87" s="1"/>
      <c r="H87" s="1">
        <f>SUM(OSRRefH22_16x_0)</f>
        <v>176</v>
      </c>
      <c r="I87" s="1"/>
      <c r="J87" s="5">
        <f t="shared" ref="J87:J96" si="64">IF(H$12=0,0,H87/H$12)</f>
        <v>3.6812382346789376E-3</v>
      </c>
      <c r="K87" s="1"/>
      <c r="L87" s="1">
        <f t="shared" ref="L87:L96" si="65">+D87-H87</f>
        <v>-176</v>
      </c>
      <c r="M87" s="1"/>
      <c r="N87" s="5">
        <f t="shared" ref="N87:N96" si="66">IF(H87=0,0,L87/H87)</f>
        <v>-1</v>
      </c>
      <c r="O87" s="13"/>
      <c r="P87" s="1">
        <f>SUM(OSRRefP22_16x_0)</f>
        <v>0</v>
      </c>
      <c r="Q87" s="1"/>
      <c r="R87" s="5">
        <f t="shared" ref="R87:R96" si="67">IF(P$12=0,0,P87/P$12)</f>
        <v>0</v>
      </c>
      <c r="S87" s="1"/>
      <c r="T87" s="1">
        <f>SUM(OSRRefT22_16x_0)</f>
        <v>1936</v>
      </c>
      <c r="U87" s="1"/>
      <c r="V87" s="5">
        <f t="shared" ref="V87:V96" si="68">IF(T$12=0,0,T87/T$12)</f>
        <v>3.225462494002239E-3</v>
      </c>
      <c r="W87" s="1"/>
      <c r="X87" s="1">
        <f t="shared" ref="X87:X96" si="69">+P87-T87</f>
        <v>-1936</v>
      </c>
      <c r="Y87" s="1"/>
      <c r="Z87" s="5">
        <f t="shared" ref="Z87:Z96" si="70">IF(T87=0,0,X87/T87)</f>
        <v>-1</v>
      </c>
    </row>
    <row r="88" spans="1:26" s="24" customFormat="1" hidden="1" outlineLevel="2" x14ac:dyDescent="0.25">
      <c r="A88" s="25"/>
      <c r="B88" s="11" t="str">
        <f>CONCATENATE("          ", "6275", " - ", "SUBSCRIPTIONS")</f>
        <v xml:space="preserve">          6275 - SUBSCRIPTIONS</v>
      </c>
      <c r="C88" s="11"/>
      <c r="D88" s="7"/>
      <c r="E88" s="2"/>
      <c r="F88" s="6">
        <f t="shared" si="63"/>
        <v>0</v>
      </c>
      <c r="G88" s="2"/>
      <c r="H88" s="7">
        <v>176</v>
      </c>
      <c r="I88" s="2"/>
      <c r="J88" s="6">
        <f t="shared" si="64"/>
        <v>3.6812382346789376E-3</v>
      </c>
      <c r="K88" s="2"/>
      <c r="L88" s="7">
        <f t="shared" si="65"/>
        <v>-176</v>
      </c>
      <c r="M88" s="2"/>
      <c r="N88" s="6">
        <f t="shared" si="66"/>
        <v>-1</v>
      </c>
      <c r="O88" s="11"/>
      <c r="P88" s="7"/>
      <c r="Q88" s="2"/>
      <c r="R88" s="6">
        <f t="shared" si="67"/>
        <v>0</v>
      </c>
      <c r="S88" s="2"/>
      <c r="T88" s="7">
        <v>1936</v>
      </c>
      <c r="U88" s="2"/>
      <c r="V88" s="6">
        <f t="shared" si="68"/>
        <v>3.225462494002239E-3</v>
      </c>
      <c r="W88" s="2"/>
      <c r="X88" s="7">
        <f t="shared" si="69"/>
        <v>-1936</v>
      </c>
      <c r="Y88" s="2"/>
      <c r="Z88" s="6">
        <f t="shared" si="70"/>
        <v>-1</v>
      </c>
    </row>
    <row r="89" spans="1:26" s="27" customFormat="1" outlineLevel="1" collapsed="1" x14ac:dyDescent="0.25">
      <c r="A89" s="26"/>
      <c r="B89" s="13" t="str">
        <f>CONCATENATE("     ","Supplies                                          ")</f>
        <v xml:space="preserve">     Supplies                                          </v>
      </c>
      <c r="C89" s="13"/>
      <c r="D89" s="1">
        <f>SUM(OSRRefD22_17x_0)</f>
        <v>0</v>
      </c>
      <c r="E89" s="1"/>
      <c r="F89" s="5">
        <f t="shared" si="63"/>
        <v>0</v>
      </c>
      <c r="G89" s="1"/>
      <c r="H89" s="1">
        <f>SUM(OSRRefH22_17x_0)</f>
        <v>1412</v>
      </c>
      <c r="I89" s="1"/>
      <c r="J89" s="5">
        <f t="shared" si="64"/>
        <v>2.9533570382765113E-2</v>
      </c>
      <c r="K89" s="1"/>
      <c r="L89" s="1">
        <f t="shared" si="65"/>
        <v>-1412</v>
      </c>
      <c r="M89" s="1"/>
      <c r="N89" s="5">
        <f t="shared" si="66"/>
        <v>-1</v>
      </c>
      <c r="O89" s="13"/>
      <c r="P89" s="1">
        <f>SUM(OSRRefP22_17x_0)</f>
        <v>1094.0899999999999</v>
      </c>
      <c r="Q89" s="1"/>
      <c r="R89" s="5">
        <f t="shared" si="67"/>
        <v>0.38029906983857731</v>
      </c>
      <c r="S89" s="1"/>
      <c r="T89" s="1">
        <f>SUM(OSRRefT22_17x_0)</f>
        <v>23483</v>
      </c>
      <c r="U89" s="1"/>
      <c r="V89" s="5">
        <f t="shared" si="68"/>
        <v>3.9123727141867036E-2</v>
      </c>
      <c r="W89" s="1"/>
      <c r="X89" s="1">
        <f t="shared" si="69"/>
        <v>-22388.91</v>
      </c>
      <c r="Y89" s="1"/>
      <c r="Z89" s="5">
        <f t="shared" si="70"/>
        <v>-0.95340927479453219</v>
      </c>
    </row>
    <row r="90" spans="1:26" s="24" customFormat="1" hidden="1" outlineLevel="2" x14ac:dyDescent="0.25">
      <c r="A90" s="25"/>
      <c r="B90" s="11" t="str">
        <f>CONCATENATE("          ", "6234", " - ", "EXPENDABLE SUPPLIES &amp; EQUIPMEN")</f>
        <v xml:space="preserve">          6234 - EXPENDABLE SUPPLIES &amp; EQUIPMEN</v>
      </c>
      <c r="C90" s="11"/>
      <c r="D90" s="7"/>
      <c r="E90" s="2"/>
      <c r="F90" s="6">
        <f t="shared" si="63"/>
        <v>0</v>
      </c>
      <c r="G90" s="2"/>
      <c r="H90" s="7"/>
      <c r="I90" s="2"/>
      <c r="J90" s="6">
        <f t="shared" si="64"/>
        <v>0</v>
      </c>
      <c r="K90" s="2"/>
      <c r="L90" s="7">
        <f t="shared" si="65"/>
        <v>0</v>
      </c>
      <c r="M90" s="2"/>
      <c r="N90" s="6">
        <f t="shared" si="66"/>
        <v>0</v>
      </c>
      <c r="O90" s="11"/>
      <c r="P90" s="7">
        <v>316.67</v>
      </c>
      <c r="Q90" s="2"/>
      <c r="R90" s="6">
        <f t="shared" si="67"/>
        <v>0.11007257761773008</v>
      </c>
      <c r="S90" s="2"/>
      <c r="T90" s="7">
        <v>28</v>
      </c>
      <c r="U90" s="2"/>
      <c r="V90" s="6">
        <f t="shared" si="68"/>
        <v>4.6649250946313378E-5</v>
      </c>
      <c r="W90" s="2"/>
      <c r="X90" s="7">
        <f t="shared" si="69"/>
        <v>288.67</v>
      </c>
      <c r="Y90" s="2"/>
      <c r="Z90" s="6">
        <f t="shared" si="70"/>
        <v>10.309642857142858</v>
      </c>
    </row>
    <row r="91" spans="1:26" s="24" customFormat="1" hidden="1" outlineLevel="2" x14ac:dyDescent="0.25">
      <c r="A91" s="25"/>
      <c r="B91" s="11" t="str">
        <f>CONCATENATE("          ", "6235", " - ", "COVID-19 EXPENSES")</f>
        <v xml:space="preserve">          6235 - COVID-19 EXPENSES</v>
      </c>
      <c r="C91" s="11"/>
      <c r="D91" s="7"/>
      <c r="E91" s="2"/>
      <c r="F91" s="6">
        <f t="shared" si="63"/>
        <v>0</v>
      </c>
      <c r="G91" s="2"/>
      <c r="H91" s="7">
        <v>300</v>
      </c>
      <c r="I91" s="2"/>
      <c r="J91" s="6">
        <f t="shared" si="64"/>
        <v>6.2748379000209164E-3</v>
      </c>
      <c r="K91" s="2"/>
      <c r="L91" s="7">
        <f t="shared" si="65"/>
        <v>-300</v>
      </c>
      <c r="M91" s="2"/>
      <c r="N91" s="6">
        <f t="shared" si="66"/>
        <v>-1</v>
      </c>
      <c r="O91" s="11"/>
      <c r="P91" s="7">
        <v>207.27</v>
      </c>
      <c r="Q91" s="2"/>
      <c r="R91" s="6">
        <f t="shared" si="67"/>
        <v>7.2045798979464157E-2</v>
      </c>
      <c r="S91" s="2"/>
      <c r="T91" s="7">
        <v>4800</v>
      </c>
      <c r="U91" s="2"/>
      <c r="V91" s="6">
        <f t="shared" si="68"/>
        <v>7.9970144479394357E-3</v>
      </c>
      <c r="W91" s="2"/>
      <c r="X91" s="7">
        <f t="shared" si="69"/>
        <v>-4592.7299999999996</v>
      </c>
      <c r="Y91" s="2"/>
      <c r="Z91" s="6">
        <f t="shared" si="70"/>
        <v>-0.95681874999999994</v>
      </c>
    </row>
    <row r="92" spans="1:26" s="24" customFormat="1" hidden="1" outlineLevel="2" x14ac:dyDescent="0.25">
      <c r="A92" s="25"/>
      <c r="B92" s="11" t="str">
        <f>CONCATENATE("          ", "6237", " - ", "JANITORIAL SUPPLIES")</f>
        <v xml:space="preserve">          6237 - JANITORIAL SUPPLIES</v>
      </c>
      <c r="C92" s="11"/>
      <c r="D92" s="7"/>
      <c r="E92" s="2"/>
      <c r="F92" s="6">
        <f t="shared" si="63"/>
        <v>0</v>
      </c>
      <c r="G92" s="2"/>
      <c r="H92" s="7">
        <v>350</v>
      </c>
      <c r="I92" s="2"/>
      <c r="J92" s="6">
        <f t="shared" si="64"/>
        <v>7.320644216691069E-3</v>
      </c>
      <c r="K92" s="2"/>
      <c r="L92" s="7">
        <f t="shared" si="65"/>
        <v>-350</v>
      </c>
      <c r="M92" s="2"/>
      <c r="N92" s="6">
        <f t="shared" si="66"/>
        <v>-1</v>
      </c>
      <c r="O92" s="11"/>
      <c r="P92" s="7">
        <v>317.57</v>
      </c>
      <c r="Q92" s="2"/>
      <c r="R92" s="6">
        <f t="shared" si="67"/>
        <v>0.11038541217691142</v>
      </c>
      <c r="S92" s="2"/>
      <c r="T92" s="7">
        <v>1774</v>
      </c>
      <c r="U92" s="2"/>
      <c r="V92" s="6">
        <f t="shared" si="68"/>
        <v>2.9555632563842832E-3</v>
      </c>
      <c r="W92" s="2"/>
      <c r="X92" s="7">
        <f t="shared" si="69"/>
        <v>-1456.43</v>
      </c>
      <c r="Y92" s="2"/>
      <c r="Z92" s="6">
        <f t="shared" si="70"/>
        <v>-0.82098647125140933</v>
      </c>
    </row>
    <row r="93" spans="1:26" s="24" customFormat="1" hidden="1" outlineLevel="2" x14ac:dyDescent="0.25">
      <c r="A93" s="25"/>
      <c r="B93" s="11" t="str">
        <f>CONCATENATE("          ", "6241", " - ", "OFFICE EXPENSE")</f>
        <v xml:space="preserve">          6241 - OFFICE EXPENSE</v>
      </c>
      <c r="C93" s="11"/>
      <c r="D93" s="7"/>
      <c r="E93" s="2"/>
      <c r="F93" s="6">
        <f t="shared" si="63"/>
        <v>0</v>
      </c>
      <c r="G93" s="2"/>
      <c r="H93" s="7"/>
      <c r="I93" s="2"/>
      <c r="J93" s="6">
        <f t="shared" si="64"/>
        <v>0</v>
      </c>
      <c r="K93" s="2"/>
      <c r="L93" s="7">
        <f t="shared" si="65"/>
        <v>0</v>
      </c>
      <c r="M93" s="2"/>
      <c r="N93" s="6">
        <f t="shared" si="66"/>
        <v>0</v>
      </c>
      <c r="O93" s="11"/>
      <c r="P93" s="7">
        <v>131.30000000000001</v>
      </c>
      <c r="Q93" s="2"/>
      <c r="R93" s="6">
        <f t="shared" si="67"/>
        <v>4.5639086245012027E-2</v>
      </c>
      <c r="S93" s="2"/>
      <c r="T93" s="7"/>
      <c r="U93" s="2"/>
      <c r="V93" s="6">
        <f t="shared" si="68"/>
        <v>0</v>
      </c>
      <c r="W93" s="2"/>
      <c r="X93" s="7">
        <f t="shared" si="69"/>
        <v>131.30000000000001</v>
      </c>
      <c r="Y93" s="2"/>
      <c r="Z93" s="6">
        <f t="shared" si="70"/>
        <v>0</v>
      </c>
    </row>
    <row r="94" spans="1:26" s="24" customFormat="1" hidden="1" outlineLevel="2" x14ac:dyDescent="0.25">
      <c r="A94" s="25"/>
      <c r="B94" s="11" t="str">
        <f>CONCATENATE("          ", "6243", " - ", "PAPER SUPPLIES")</f>
        <v xml:space="preserve">          6243 - PAPER SUPPLIES</v>
      </c>
      <c r="C94" s="11"/>
      <c r="D94" s="7"/>
      <c r="E94" s="2"/>
      <c r="F94" s="6">
        <f t="shared" si="63"/>
        <v>0</v>
      </c>
      <c r="G94" s="2"/>
      <c r="H94" s="7">
        <v>85</v>
      </c>
      <c r="I94" s="2"/>
      <c r="J94" s="6">
        <f t="shared" si="64"/>
        <v>1.7778707383392595E-3</v>
      </c>
      <c r="K94" s="2"/>
      <c r="L94" s="7">
        <f t="shared" si="65"/>
        <v>-85</v>
      </c>
      <c r="M94" s="2"/>
      <c r="N94" s="6">
        <f t="shared" si="66"/>
        <v>-1</v>
      </c>
      <c r="O94" s="11"/>
      <c r="P94" s="7"/>
      <c r="Q94" s="2"/>
      <c r="R94" s="6">
        <f t="shared" si="67"/>
        <v>0</v>
      </c>
      <c r="S94" s="2"/>
      <c r="T94" s="7">
        <v>1507</v>
      </c>
      <c r="U94" s="2"/>
      <c r="V94" s="6">
        <f t="shared" si="68"/>
        <v>2.5107293277176522E-3</v>
      </c>
      <c r="W94" s="2"/>
      <c r="X94" s="7">
        <f t="shared" si="69"/>
        <v>-1507</v>
      </c>
      <c r="Y94" s="2"/>
      <c r="Z94" s="6">
        <f t="shared" si="70"/>
        <v>-1</v>
      </c>
    </row>
    <row r="95" spans="1:26" s="24" customFormat="1" hidden="1" outlineLevel="2" x14ac:dyDescent="0.25">
      <c r="A95" s="25"/>
      <c r="B95" s="11" t="str">
        <f>CONCATENATE("          ", "6247", " - ", "STORE SUPPLIES")</f>
        <v xml:space="preserve">          6247 - STORE SUPPLIES</v>
      </c>
      <c r="C95" s="11"/>
      <c r="D95" s="7"/>
      <c r="E95" s="2"/>
      <c r="F95" s="6">
        <f t="shared" si="63"/>
        <v>0</v>
      </c>
      <c r="G95" s="2"/>
      <c r="H95" s="7">
        <v>677</v>
      </c>
      <c r="I95" s="2"/>
      <c r="J95" s="6">
        <f t="shared" si="64"/>
        <v>1.4160217527713867E-2</v>
      </c>
      <c r="K95" s="2"/>
      <c r="L95" s="7">
        <f t="shared" si="65"/>
        <v>-677</v>
      </c>
      <c r="M95" s="2"/>
      <c r="N95" s="6">
        <f t="shared" si="66"/>
        <v>-1</v>
      </c>
      <c r="O95" s="11"/>
      <c r="P95" s="7">
        <v>121.28</v>
      </c>
      <c r="Q95" s="2"/>
      <c r="R95" s="6">
        <f t="shared" si="67"/>
        <v>4.2156194819459702E-2</v>
      </c>
      <c r="S95" s="2"/>
      <c r="T95" s="7">
        <v>15174</v>
      </c>
      <c r="U95" s="2"/>
      <c r="V95" s="6">
        <f t="shared" si="68"/>
        <v>2.5280561923548543E-2</v>
      </c>
      <c r="W95" s="2"/>
      <c r="X95" s="7">
        <f t="shared" si="69"/>
        <v>-15052.72</v>
      </c>
      <c r="Y95" s="2"/>
      <c r="Z95" s="6">
        <f t="shared" si="70"/>
        <v>-0.99200738104652686</v>
      </c>
    </row>
    <row r="96" spans="1:26" s="24" customFormat="1" hidden="1" outlineLevel="2" x14ac:dyDescent="0.25">
      <c r="A96" s="25"/>
      <c r="B96" s="11" t="str">
        <f>CONCATENATE("          ", "6248", " - ", "UNIFORMS")</f>
        <v xml:space="preserve">          6248 - UNIFORMS</v>
      </c>
      <c r="C96" s="11"/>
      <c r="D96" s="7"/>
      <c r="E96" s="2"/>
      <c r="F96" s="6">
        <f t="shared" si="63"/>
        <v>0</v>
      </c>
      <c r="G96" s="2"/>
      <c r="H96" s="7"/>
      <c r="I96" s="2"/>
      <c r="J96" s="6">
        <f t="shared" si="64"/>
        <v>0</v>
      </c>
      <c r="K96" s="2"/>
      <c r="L96" s="7">
        <f t="shared" si="65"/>
        <v>0</v>
      </c>
      <c r="M96" s="2"/>
      <c r="N96" s="6">
        <f t="shared" si="66"/>
        <v>0</v>
      </c>
      <c r="O96" s="11"/>
      <c r="P96" s="7"/>
      <c r="Q96" s="2"/>
      <c r="R96" s="6">
        <f t="shared" si="67"/>
        <v>0</v>
      </c>
      <c r="S96" s="2"/>
      <c r="T96" s="7">
        <v>200</v>
      </c>
      <c r="U96" s="2"/>
      <c r="V96" s="6">
        <f t="shared" si="68"/>
        <v>3.332089353308098E-4</v>
      </c>
      <c r="W96" s="2"/>
      <c r="X96" s="7">
        <f t="shared" si="69"/>
        <v>-200</v>
      </c>
      <c r="Y96" s="2"/>
      <c r="Z96" s="6">
        <f t="shared" si="70"/>
        <v>-1</v>
      </c>
    </row>
    <row r="97" spans="1:26" s="27" customFormat="1" outlineLevel="1" collapsed="1" x14ac:dyDescent="0.25">
      <c r="A97" s="26"/>
      <c r="B97" s="13" t="str">
        <f>CONCATENATE("     ","Telephone/Data Lines                              ")</f>
        <v xml:space="preserve">     Telephone/Data Lines                              </v>
      </c>
      <c r="C97" s="13"/>
      <c r="D97" s="1">
        <f>SUM(OSRRefD22_18x_0)</f>
        <v>36.700000000000003</v>
      </c>
      <c r="E97" s="1"/>
      <c r="F97" s="5">
        <f t="shared" ref="F97:F99" si="71">IF(D$12=0,0,D97/D$12)</f>
        <v>9.1750000000000007</v>
      </c>
      <c r="G97" s="1"/>
      <c r="H97" s="1">
        <f>SUM(OSRRefH22_18x_0)</f>
        <v>235</v>
      </c>
      <c r="I97" s="1"/>
      <c r="J97" s="5">
        <f t="shared" ref="J97:J99" si="72">IF(H$12=0,0,H97/H$12)</f>
        <v>4.9152896883497173E-3</v>
      </c>
      <c r="K97" s="1"/>
      <c r="L97" s="1">
        <f t="shared" ref="L97:L99" si="73">+D97-H97</f>
        <v>-198.3</v>
      </c>
      <c r="M97" s="1"/>
      <c r="N97" s="5">
        <f t="shared" ref="N97:N99" si="74">IF(H97=0,0,L97/H97)</f>
        <v>-0.84382978723404256</v>
      </c>
      <c r="O97" s="13"/>
      <c r="P97" s="1">
        <f>SUM(OSRRefP22_18x_0)</f>
        <v>3555.09</v>
      </c>
      <c r="Q97" s="1"/>
      <c r="R97" s="5">
        <f t="shared" ref="R97:R99" si="75">IF(P$12=0,0,P97/P$12)</f>
        <v>1.2357277922222376</v>
      </c>
      <c r="S97" s="1"/>
      <c r="T97" s="1">
        <f>SUM(OSRRefT22_18x_0)</f>
        <v>3180</v>
      </c>
      <c r="U97" s="1"/>
      <c r="V97" s="5">
        <f t="shared" ref="V97:V99" si="76">IF(T$12=0,0,T97/T$12)</f>
        <v>5.2980220717598761E-3</v>
      </c>
      <c r="W97" s="1"/>
      <c r="X97" s="1">
        <f t="shared" ref="X97:X99" si="77">+P97-T97</f>
        <v>375.09000000000015</v>
      </c>
      <c r="Y97" s="1"/>
      <c r="Z97" s="5">
        <f t="shared" ref="Z97:Z99" si="78">IF(T97=0,0,X97/T97)</f>
        <v>0.11795283018867929</v>
      </c>
    </row>
    <row r="98" spans="1:26" s="24" customFormat="1" hidden="1" outlineLevel="2" x14ac:dyDescent="0.25">
      <c r="A98" s="25"/>
      <c r="B98" s="11" t="str">
        <f>CONCATENATE("          ", "6303", " - ", "DATA PHONE LINES")</f>
        <v xml:space="preserve">          6303 - DATA PHONE LINES</v>
      </c>
      <c r="C98" s="11"/>
      <c r="D98" s="7"/>
      <c r="E98" s="2"/>
      <c r="F98" s="6">
        <f t="shared" si="71"/>
        <v>0</v>
      </c>
      <c r="G98" s="2"/>
      <c r="H98" s="7">
        <v>235</v>
      </c>
      <c r="I98" s="2"/>
      <c r="J98" s="6">
        <f t="shared" si="72"/>
        <v>4.9152896883497173E-3</v>
      </c>
      <c r="K98" s="2"/>
      <c r="L98" s="7">
        <f t="shared" si="73"/>
        <v>-235</v>
      </c>
      <c r="M98" s="2"/>
      <c r="N98" s="6">
        <f t="shared" si="74"/>
        <v>-1</v>
      </c>
      <c r="O98" s="11"/>
      <c r="P98" s="7"/>
      <c r="Q98" s="2"/>
      <c r="R98" s="6">
        <f t="shared" si="75"/>
        <v>0</v>
      </c>
      <c r="S98" s="2"/>
      <c r="T98" s="7">
        <v>2580</v>
      </c>
      <c r="U98" s="2"/>
      <c r="V98" s="6">
        <f t="shared" si="76"/>
        <v>4.2983952657674471E-3</v>
      </c>
      <c r="W98" s="2"/>
      <c r="X98" s="7">
        <f t="shared" si="77"/>
        <v>-2580</v>
      </c>
      <c r="Y98" s="2"/>
      <c r="Z98" s="6">
        <f t="shared" si="78"/>
        <v>-1</v>
      </c>
    </row>
    <row r="99" spans="1:26" s="24" customFormat="1" hidden="1" outlineLevel="2" x14ac:dyDescent="0.25">
      <c r="A99" s="25"/>
      <c r="B99" s="11" t="str">
        <f>CONCATENATE("          ", "6309", " - ", "TELEPHONE")</f>
        <v xml:space="preserve">          6309 - TELEPHONE</v>
      </c>
      <c r="C99" s="11"/>
      <c r="D99" s="7">
        <v>36.700000000000003</v>
      </c>
      <c r="E99" s="2"/>
      <c r="F99" s="6">
        <f t="shared" si="71"/>
        <v>9.1750000000000007</v>
      </c>
      <c r="G99" s="2"/>
      <c r="H99" s="7"/>
      <c r="I99" s="2"/>
      <c r="J99" s="6">
        <f t="shared" si="72"/>
        <v>0</v>
      </c>
      <c r="K99" s="2"/>
      <c r="L99" s="7">
        <f t="shared" si="73"/>
        <v>36.700000000000003</v>
      </c>
      <c r="M99" s="2"/>
      <c r="N99" s="6">
        <f t="shared" si="74"/>
        <v>0</v>
      </c>
      <c r="O99" s="11"/>
      <c r="P99" s="7">
        <v>3555.09</v>
      </c>
      <c r="Q99" s="2"/>
      <c r="R99" s="6">
        <f t="shared" si="75"/>
        <v>1.2357277922222376</v>
      </c>
      <c r="S99" s="2"/>
      <c r="T99" s="7">
        <v>600</v>
      </c>
      <c r="U99" s="2"/>
      <c r="V99" s="6">
        <f t="shared" si="76"/>
        <v>9.9962680599242947E-4</v>
      </c>
      <c r="W99" s="2"/>
      <c r="X99" s="7">
        <f t="shared" si="77"/>
        <v>2955.09</v>
      </c>
      <c r="Y99" s="2"/>
      <c r="Z99" s="6">
        <f t="shared" si="78"/>
        <v>4.9251500000000004</v>
      </c>
    </row>
    <row r="100" spans="1:26" s="27" customFormat="1" outlineLevel="1" collapsed="1" x14ac:dyDescent="0.25">
      <c r="A100" s="26"/>
      <c r="B100" s="13" t="str">
        <f>CONCATENATE("     ","Training                                          ")</f>
        <v xml:space="preserve">     Training                                          </v>
      </c>
      <c r="C100" s="13"/>
      <c r="D100" s="1">
        <f>SUM(OSRRefD22_19x_0)</f>
        <v>0</v>
      </c>
      <c r="E100" s="1"/>
      <c r="F100" s="5">
        <f t="shared" ref="F100:F105" si="79">IF(D$12=0,0,D100/D$12)</f>
        <v>0</v>
      </c>
      <c r="G100" s="1"/>
      <c r="H100" s="1">
        <f>SUM(OSRRefH22_19x_0)</f>
        <v>0</v>
      </c>
      <c r="I100" s="1"/>
      <c r="J100" s="5">
        <f t="shared" ref="J100:J105" si="80">IF(H$12=0,0,H100/H$12)</f>
        <v>0</v>
      </c>
      <c r="K100" s="1"/>
      <c r="L100" s="1">
        <f t="shared" ref="L100:L105" si="81">+D100-H100</f>
        <v>0</v>
      </c>
      <c r="M100" s="1"/>
      <c r="N100" s="5">
        <f t="shared" ref="N100:N105" si="82">IF(H100=0,0,L100/H100)</f>
        <v>0</v>
      </c>
      <c r="O100" s="13"/>
      <c r="P100" s="1">
        <f>SUM(OSRRefP22_19x_0)</f>
        <v>0</v>
      </c>
      <c r="Q100" s="1"/>
      <c r="R100" s="5">
        <f t="shared" ref="R100:R105" si="83">IF(P$12=0,0,P100/P$12)</f>
        <v>0</v>
      </c>
      <c r="S100" s="1"/>
      <c r="T100" s="1">
        <f>SUM(OSRRefT22_19x_0)</f>
        <v>240</v>
      </c>
      <c r="U100" s="1"/>
      <c r="V100" s="5">
        <f t="shared" ref="V100:V105" si="84">IF(T$12=0,0,T100/T$12)</f>
        <v>3.9985072239697182E-4</v>
      </c>
      <c r="W100" s="1"/>
      <c r="X100" s="1">
        <f t="shared" ref="X100:X105" si="85">+P100-T100</f>
        <v>-240</v>
      </c>
      <c r="Y100" s="1"/>
      <c r="Z100" s="5">
        <f t="shared" ref="Z100:Z105" si="86">IF(T100=0,0,X100/T100)</f>
        <v>-1</v>
      </c>
    </row>
    <row r="101" spans="1:26" s="24" customFormat="1" hidden="1" outlineLevel="2" x14ac:dyDescent="0.25">
      <c r="A101" s="25"/>
      <c r="B101" s="11" t="str">
        <f>CONCATENATE("          ", "6376", " - ", "TRAINING")</f>
        <v xml:space="preserve">          6376 - TRAINING</v>
      </c>
      <c r="C101" s="11"/>
      <c r="D101" s="7"/>
      <c r="E101" s="2"/>
      <c r="F101" s="6">
        <f t="shared" si="79"/>
        <v>0</v>
      </c>
      <c r="G101" s="2"/>
      <c r="H101" s="7"/>
      <c r="I101" s="2"/>
      <c r="J101" s="6">
        <f t="shared" si="80"/>
        <v>0</v>
      </c>
      <c r="K101" s="2"/>
      <c r="L101" s="7">
        <f t="shared" si="81"/>
        <v>0</v>
      </c>
      <c r="M101" s="2"/>
      <c r="N101" s="6">
        <f t="shared" si="82"/>
        <v>0</v>
      </c>
      <c r="O101" s="11"/>
      <c r="P101" s="7"/>
      <c r="Q101" s="2"/>
      <c r="R101" s="6">
        <f t="shared" si="83"/>
        <v>0</v>
      </c>
      <c r="S101" s="2"/>
      <c r="T101" s="7">
        <v>240</v>
      </c>
      <c r="U101" s="2"/>
      <c r="V101" s="6">
        <f t="shared" si="84"/>
        <v>3.9985072239697182E-4</v>
      </c>
      <c r="W101" s="2"/>
      <c r="X101" s="7">
        <f t="shared" si="85"/>
        <v>-240</v>
      </c>
      <c r="Y101" s="2"/>
      <c r="Z101" s="6">
        <f t="shared" si="86"/>
        <v>-1</v>
      </c>
    </row>
    <row r="102" spans="1:26" s="27" customFormat="1" outlineLevel="1" collapsed="1" x14ac:dyDescent="0.25">
      <c r="A102" s="26"/>
      <c r="B102" s="13" t="str">
        <f>CONCATENATE("     ","Travel                                            ")</f>
        <v xml:space="preserve">     Travel                                            </v>
      </c>
      <c r="C102" s="13"/>
      <c r="D102" s="1">
        <f>SUM(OSRRefD22_20x_0)</f>
        <v>0</v>
      </c>
      <c r="E102" s="1"/>
      <c r="F102" s="5">
        <f t="shared" si="79"/>
        <v>0</v>
      </c>
      <c r="G102" s="1"/>
      <c r="H102" s="1">
        <f>SUM(OSRRefH22_20x_0)</f>
        <v>0</v>
      </c>
      <c r="I102" s="1"/>
      <c r="J102" s="5">
        <f t="shared" si="80"/>
        <v>0</v>
      </c>
      <c r="K102" s="1"/>
      <c r="L102" s="1">
        <f t="shared" si="81"/>
        <v>0</v>
      </c>
      <c r="M102" s="1"/>
      <c r="N102" s="5">
        <f t="shared" si="82"/>
        <v>0</v>
      </c>
      <c r="O102" s="13"/>
      <c r="P102" s="1">
        <f>SUM(OSRRefP22_20x_0)</f>
        <v>0</v>
      </c>
      <c r="Q102" s="1"/>
      <c r="R102" s="5">
        <f t="shared" si="83"/>
        <v>0</v>
      </c>
      <c r="S102" s="1"/>
      <c r="T102" s="1">
        <f>SUM(OSRRefT22_20x_0)</f>
        <v>1500</v>
      </c>
      <c r="U102" s="1"/>
      <c r="V102" s="5">
        <f t="shared" si="84"/>
        <v>2.4990670149810739E-3</v>
      </c>
      <c r="W102" s="1"/>
      <c r="X102" s="1">
        <f t="shared" si="85"/>
        <v>-1500</v>
      </c>
      <c r="Y102" s="1"/>
      <c r="Z102" s="5">
        <f t="shared" si="86"/>
        <v>-1</v>
      </c>
    </row>
    <row r="103" spans="1:26" s="24" customFormat="1" hidden="1" outlineLevel="2" x14ac:dyDescent="0.25">
      <c r="A103" s="25"/>
      <c r="B103" s="11" t="str">
        <f>CONCATENATE("          ", "6292", " - ", "TRAVEL/CONFERENCE")</f>
        <v xml:space="preserve">          6292 - TRAVEL/CONFERENCE</v>
      </c>
      <c r="C103" s="11"/>
      <c r="D103" s="7"/>
      <c r="E103" s="2"/>
      <c r="F103" s="6">
        <f t="shared" si="79"/>
        <v>0</v>
      </c>
      <c r="G103" s="2"/>
      <c r="H103" s="7"/>
      <c r="I103" s="2"/>
      <c r="J103" s="6">
        <f t="shared" si="80"/>
        <v>0</v>
      </c>
      <c r="K103" s="2"/>
      <c r="L103" s="7">
        <f t="shared" si="81"/>
        <v>0</v>
      </c>
      <c r="M103" s="2"/>
      <c r="N103" s="6">
        <f t="shared" si="82"/>
        <v>0</v>
      </c>
      <c r="O103" s="11"/>
      <c r="P103" s="7"/>
      <c r="Q103" s="2"/>
      <c r="R103" s="6">
        <f t="shared" si="83"/>
        <v>0</v>
      </c>
      <c r="S103" s="2"/>
      <c r="T103" s="7">
        <v>1500</v>
      </c>
      <c r="U103" s="2"/>
      <c r="V103" s="6">
        <f t="shared" si="84"/>
        <v>2.4990670149810739E-3</v>
      </c>
      <c r="W103" s="2"/>
      <c r="X103" s="7">
        <f t="shared" si="85"/>
        <v>-1500</v>
      </c>
      <c r="Y103" s="2"/>
      <c r="Z103" s="6">
        <f t="shared" si="86"/>
        <v>-1</v>
      </c>
    </row>
    <row r="104" spans="1:26" s="27" customFormat="1" outlineLevel="1" collapsed="1" x14ac:dyDescent="0.25">
      <c r="A104" s="26"/>
      <c r="B104" s="13" t="str">
        <f>CONCATENATE("     ","Utilities                                         ")</f>
        <v xml:space="preserve">     Utilities                                         </v>
      </c>
      <c r="C104" s="13"/>
      <c r="D104" s="1">
        <f>SUM(OSRRefD22_21x_0)</f>
        <v>1136</v>
      </c>
      <c r="E104" s="1"/>
      <c r="F104" s="5">
        <f t="shared" si="79"/>
        <v>284</v>
      </c>
      <c r="G104" s="1"/>
      <c r="H104" s="1">
        <f>SUM(OSRRefH22_21x_0)</f>
        <v>850</v>
      </c>
      <c r="I104" s="1"/>
      <c r="J104" s="5">
        <f t="shared" si="80"/>
        <v>1.7778707383392597E-2</v>
      </c>
      <c r="K104" s="1"/>
      <c r="L104" s="1">
        <f t="shared" si="81"/>
        <v>286</v>
      </c>
      <c r="M104" s="1"/>
      <c r="N104" s="5">
        <f t="shared" si="82"/>
        <v>0.33647058823529413</v>
      </c>
      <c r="O104" s="13"/>
      <c r="P104" s="1">
        <f>SUM(OSRRefP22_21x_0)</f>
        <v>6920</v>
      </c>
      <c r="Q104" s="1"/>
      <c r="R104" s="5">
        <f t="shared" si="83"/>
        <v>2.4053501661499102</v>
      </c>
      <c r="S104" s="1"/>
      <c r="T104" s="1">
        <f>SUM(OSRRefT22_21x_0)</f>
        <v>9644</v>
      </c>
      <c r="U104" s="1"/>
      <c r="V104" s="5">
        <f t="shared" si="84"/>
        <v>1.6067334861651648E-2</v>
      </c>
      <c r="W104" s="1"/>
      <c r="X104" s="1">
        <f t="shared" si="85"/>
        <v>-2724</v>
      </c>
      <c r="Y104" s="1"/>
      <c r="Z104" s="5">
        <f t="shared" si="86"/>
        <v>-0.28245541269182911</v>
      </c>
    </row>
    <row r="105" spans="1:26" s="24" customFormat="1" hidden="1" outlineLevel="2" x14ac:dyDescent="0.25">
      <c r="A105" s="25"/>
      <c r="B105" s="11" t="str">
        <f>CONCATENATE("          ", "6274", " - ", "UTILITIES")</f>
        <v xml:space="preserve">          6274 - UTILITIES</v>
      </c>
      <c r="C105" s="11"/>
      <c r="D105" s="7">
        <v>1136</v>
      </c>
      <c r="E105" s="2"/>
      <c r="F105" s="6">
        <f t="shared" si="79"/>
        <v>284</v>
      </c>
      <c r="G105" s="2"/>
      <c r="H105" s="7">
        <v>850</v>
      </c>
      <c r="I105" s="2"/>
      <c r="J105" s="6">
        <f t="shared" si="80"/>
        <v>1.7778707383392597E-2</v>
      </c>
      <c r="K105" s="2"/>
      <c r="L105" s="7">
        <f t="shared" si="81"/>
        <v>286</v>
      </c>
      <c r="M105" s="2"/>
      <c r="N105" s="6">
        <f t="shared" si="82"/>
        <v>0.33647058823529413</v>
      </c>
      <c r="O105" s="11"/>
      <c r="P105" s="7">
        <v>6920</v>
      </c>
      <c r="Q105" s="2"/>
      <c r="R105" s="6">
        <f t="shared" si="83"/>
        <v>2.4053501661499102</v>
      </c>
      <c r="S105" s="2"/>
      <c r="T105" s="7">
        <v>9644</v>
      </c>
      <c r="U105" s="2"/>
      <c r="V105" s="6">
        <f t="shared" si="84"/>
        <v>1.6067334861651648E-2</v>
      </c>
      <c r="W105" s="2"/>
      <c r="X105" s="7">
        <f t="shared" si="85"/>
        <v>-2724</v>
      </c>
      <c r="Y105" s="2"/>
      <c r="Z105" s="6">
        <f t="shared" si="86"/>
        <v>-0.28245541269182911</v>
      </c>
    </row>
    <row r="106" spans="1:26" s="56" customFormat="1" x14ac:dyDescent="0.25">
      <c r="A106" s="36"/>
      <c r="B106" s="36"/>
      <c r="C106" s="36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6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x14ac:dyDescent="0.25">
      <c r="A107" s="10"/>
      <c r="B107" s="29" t="s">
        <v>293</v>
      </c>
      <c r="C107" s="10"/>
      <c r="D107" s="4">
        <f>SUM(0)</f>
        <v>0</v>
      </c>
      <c r="E107" s="4"/>
      <c r="F107" s="12">
        <f>IF(D$12=0,0,D107/D$12)</f>
        <v>0</v>
      </c>
      <c r="G107" s="4"/>
      <c r="H107" s="4">
        <f>SUM(0)</f>
        <v>0</v>
      </c>
      <c r="I107" s="4"/>
      <c r="J107" s="12">
        <f>IF(H$12=0,0,H107/H$12)</f>
        <v>0</v>
      </c>
      <c r="K107" s="4"/>
      <c r="L107" s="4">
        <f>+D107-H107</f>
        <v>0</v>
      </c>
      <c r="M107" s="4"/>
      <c r="N107" s="12">
        <f>IF(H107=0,0,L107/H107)</f>
        <v>0</v>
      </c>
      <c r="O107" s="10"/>
      <c r="P107" s="4">
        <f>SUM(0)</f>
        <v>0</v>
      </c>
      <c r="Q107" s="4"/>
      <c r="R107" s="12">
        <f>IF(P$12=0,0,P107/P$12)</f>
        <v>0</v>
      </c>
      <c r="S107" s="4"/>
      <c r="T107" s="4">
        <f>SUM(0)</f>
        <v>0</v>
      </c>
      <c r="U107" s="4"/>
      <c r="V107" s="12">
        <f>IF(T$12=0,0,T107/T$12)</f>
        <v>0</v>
      </c>
      <c r="W107" s="4"/>
      <c r="X107" s="4">
        <f>+P107-T107</f>
        <v>0</v>
      </c>
      <c r="Y107" s="4"/>
      <c r="Z107" s="12">
        <f>IF(T107=0,0,X107/T107)</f>
        <v>0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8" t="s">
        <v>277</v>
      </c>
      <c r="C109" s="28"/>
      <c r="D109" s="20">
        <f>+D27-D29+D107</f>
        <v>-14890.33</v>
      </c>
      <c r="E109" s="14"/>
      <c r="F109" s="21">
        <f>IF(D$12=0,0,D109/D$12)</f>
        <v>-3722.5825</v>
      </c>
      <c r="G109" s="14"/>
      <c r="H109" s="20">
        <f>+H27-H29+H107</f>
        <v>-24714.852687899998</v>
      </c>
      <c r="I109" s="14"/>
      <c r="J109" s="21">
        <f>IF(H$12=0,0,H109/H$12)</f>
        <v>-0.51693898113156245</v>
      </c>
      <c r="K109" s="15"/>
      <c r="L109" s="20">
        <f>+D109-H109</f>
        <v>9824.5226878999983</v>
      </c>
      <c r="M109" s="15"/>
      <c r="N109" s="21">
        <f>IF(H109=0,0,L109/H109)</f>
        <v>-0.39751491995377863</v>
      </c>
      <c r="O109" s="29"/>
      <c r="P109" s="20">
        <f>+P27-P29+P107</f>
        <v>-273542.35000000003</v>
      </c>
      <c r="Q109" s="14"/>
      <c r="R109" s="21">
        <f>IF(P$12=0,0,P109/P$12)</f>
        <v>-95.081667199644073</v>
      </c>
      <c r="S109" s="14"/>
      <c r="T109" s="20">
        <f>+T27-T29+T107</f>
        <v>-297869.88512540003</v>
      </c>
      <c r="U109" s="14"/>
      <c r="V109" s="21">
        <f>IF(T$12=0,0,T109/T$12)</f>
        <v>-0.49626453644872587</v>
      </c>
      <c r="W109" s="15"/>
      <c r="X109" s="20">
        <f>+P109-T109</f>
        <v>24327.535125399998</v>
      </c>
      <c r="Y109" s="15"/>
      <c r="Z109" s="21">
        <f>IF(T109=0,0,X109/T109)</f>
        <v>-8.1671683980938076E-2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2"/>
      <c r="B111" s="10" t="s">
        <v>128</v>
      </c>
      <c r="C111" s="10"/>
      <c r="D111" s="4">
        <v>13.74</v>
      </c>
      <c r="E111" s="4"/>
      <c r="F111" s="12">
        <f>IF(D$12=0,0,D111/D$12)</f>
        <v>3.4350000000000001</v>
      </c>
      <c r="G111" s="4"/>
      <c r="H111" s="4">
        <v>10742</v>
      </c>
      <c r="I111" s="4"/>
      <c r="J111" s="12">
        <f>IF(H$12=0,0,H111/H$12)</f>
        <v>0.22468102907341561</v>
      </c>
      <c r="K111" s="4"/>
      <c r="L111" s="4">
        <f>+D111-H111</f>
        <v>-10728.26</v>
      </c>
      <c r="M111" s="4"/>
      <c r="N111" s="12">
        <f>IF(H111=0,0,L111/H111)</f>
        <v>-0.99872090858313167</v>
      </c>
      <c r="O111" s="10"/>
      <c r="P111" s="4">
        <v>614.77</v>
      </c>
      <c r="Q111" s="4"/>
      <c r="R111" s="12">
        <f>IF(P$12=0,0,P111/P$12)</f>
        <v>0.21369033549768501</v>
      </c>
      <c r="S111" s="4"/>
      <c r="T111" s="4">
        <v>110808</v>
      </c>
      <c r="U111" s="4"/>
      <c r="V111" s="12">
        <f>IF(T$12=0,0,T111/T$12)</f>
        <v>0.18461107853068187</v>
      </c>
      <c r="W111" s="4"/>
      <c r="X111" s="4">
        <f>+P111-T111</f>
        <v>-110193.23</v>
      </c>
      <c r="Y111" s="4"/>
      <c r="Z111" s="12">
        <f>IF(T111=0,0,X111/T111)</f>
        <v>-0.99445193487834804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8" t="s">
        <v>126</v>
      </c>
      <c r="C113" s="28"/>
      <c r="D113" s="35">
        <f>+D109-D111</f>
        <v>-14904.07</v>
      </c>
      <c r="E113" s="14"/>
      <c r="F113" s="34">
        <f>IF(D$12=0,0,D113/D$12)</f>
        <v>-3726.0174999999999</v>
      </c>
      <c r="G113" s="14"/>
      <c r="H113" s="35">
        <f>+H109-H111</f>
        <v>-35456.852687899998</v>
      </c>
      <c r="I113" s="14"/>
      <c r="J113" s="34">
        <f>IF(H$12=0,0,H113/H$12)</f>
        <v>-0.74162001020497803</v>
      </c>
      <c r="K113" s="15"/>
      <c r="L113" s="35">
        <f>D113-H113</f>
        <v>20552.782687899999</v>
      </c>
      <c r="M113" s="15"/>
      <c r="N113" s="34">
        <f>IF(H113=0,0,L113/H113)</f>
        <v>-0.57965614908944918</v>
      </c>
      <c r="O113" s="29"/>
      <c r="P113" s="35">
        <f>+P109-P111</f>
        <v>-274157.12000000005</v>
      </c>
      <c r="Q113" s="14"/>
      <c r="R113" s="34">
        <f>IF(P$12=0,0,P113/P$12)</f>
        <v>-95.295357535141761</v>
      </c>
      <c r="S113" s="14"/>
      <c r="T113" s="35">
        <f>+T109-T111</f>
        <v>-408677.88512540003</v>
      </c>
      <c r="U113" s="14"/>
      <c r="V113" s="34">
        <f>IF(T$12=0,0,T113/T$12)</f>
        <v>-0.68087561497940774</v>
      </c>
      <c r="W113" s="15"/>
      <c r="X113" s="35">
        <f>P113-T113</f>
        <v>134520.76512539998</v>
      </c>
      <c r="Y113" s="15"/>
      <c r="Z113" s="34">
        <f>IF(T113=0,0,X113/T113)</f>
        <v>-0.32916086243355985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8" t="s">
        <v>294</v>
      </c>
      <c r="C116" s="28"/>
      <c r="D116" s="33">
        <f>SUM(D113:D115)</f>
        <v>-14904.07</v>
      </c>
      <c r="E116" s="14"/>
      <c r="F116" s="32">
        <f>IF(D$12=0,0,D116/D$12)</f>
        <v>-3726.0174999999999</v>
      </c>
      <c r="G116" s="14"/>
      <c r="H116" s="33">
        <f>SUM(H113:H115)</f>
        <v>-35456.852687899998</v>
      </c>
      <c r="I116" s="14"/>
      <c r="J116" s="32">
        <f>IF(H$12=0,0,H116/H$12)</f>
        <v>-0.74162001020497803</v>
      </c>
      <c r="K116" s="15"/>
      <c r="L116" s="33">
        <f>+D116-H116</f>
        <v>20552.782687899999</v>
      </c>
      <c r="M116" s="15"/>
      <c r="N116" s="32">
        <f>IF(H116=0,0,L116/H116)</f>
        <v>-0.57965614908944918</v>
      </c>
      <c r="O116" s="29"/>
      <c r="P116" s="33">
        <f>SUM(P113:P115)</f>
        <v>-274157.12000000005</v>
      </c>
      <c r="Q116" s="14"/>
      <c r="R116" s="32">
        <f>IF(P$12=0,0,P116/P$12)</f>
        <v>-95.295357535141761</v>
      </c>
      <c r="S116" s="14"/>
      <c r="T116" s="33">
        <f>SUM(T113:T115)</f>
        <v>-408677.88512540003</v>
      </c>
      <c r="U116" s="14"/>
      <c r="V116" s="32">
        <f>IF(T$12=0,0,T116/T$12)</f>
        <v>-0.68087561497940774</v>
      </c>
      <c r="W116" s="15"/>
      <c r="X116" s="33">
        <f>+P116-T116</f>
        <v>134520.76512539998</v>
      </c>
      <c r="Y116" s="15"/>
      <c r="Z116" s="32">
        <f>IF(T116=0,0,X116/T116)</f>
        <v>-0.32916086243355985</v>
      </c>
    </row>
    <row r="117" spans="1:26" ht="15.75" thickTop="1" x14ac:dyDescent="0.25">
      <c r="A117" s="9"/>
      <c r="C117" s="9"/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60">
        <v>44356.891790081019</v>
      </c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A119" s="9"/>
      <c r="B119" s="55" t="s">
        <v>56</v>
      </c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  <row r="120" spans="1:26" x14ac:dyDescent="0.25">
      <c r="A120" s="9"/>
      <c r="B120" s="63"/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  <row r="121" spans="1:26" x14ac:dyDescent="0.25">
      <c r="D121" s="18"/>
      <c r="E121" s="18"/>
      <c r="G121" s="18"/>
      <c r="H121" s="18"/>
      <c r="I121" s="18"/>
      <c r="J121" s="42"/>
      <c r="K121" s="18"/>
      <c r="L121" s="18"/>
      <c r="M121" s="18"/>
      <c r="P121" s="18"/>
      <c r="Q121" s="18"/>
      <c r="R121" s="42"/>
      <c r="S121" s="18"/>
      <c r="T121" s="18"/>
      <c r="U121" s="18"/>
      <c r="V121" s="42"/>
      <c r="W121" s="18"/>
      <c r="X121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","309", " - ", "Carts")</f>
        <v>Department 309 - Carts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</v>
      </c>
      <c r="U12" s="4"/>
      <c r="V12" s="12"/>
      <c r="W12" s="4"/>
      <c r="X12" s="4">
        <f t="shared" ref="X12:X13" si="2">+P12-T12</f>
        <v>-2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</v>
      </c>
      <c r="U13" s="2"/>
      <c r="V13" s="19"/>
      <c r="W13" s="2"/>
      <c r="X13" s="2">
        <f t="shared" si="2"/>
        <v>-2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44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19">
        <f t="shared" si="4"/>
        <v>0</v>
      </c>
      <c r="G16" s="2"/>
      <c r="H16" s="2">
        <v>0</v>
      </c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/>
      <c r="Q16" s="2"/>
      <c r="R16" s="19">
        <f t="shared" si="8"/>
        <v>0</v>
      </c>
      <c r="S16" s="2"/>
      <c r="T16" s="2">
        <v>0</v>
      </c>
      <c r="U16" s="2"/>
      <c r="V16" s="19">
        <f t="shared" si="9"/>
        <v>0</v>
      </c>
      <c r="W16" s="2"/>
      <c r="X16" s="2">
        <f t="shared" si="10"/>
        <v>0</v>
      </c>
      <c r="Y16" s="2"/>
      <c r="Z16" s="19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>
        <f>D12-D15</f>
        <v>0</v>
      </c>
      <c r="E18" s="14"/>
      <c r="F18" s="21">
        <f>IF(D$12=0,0,D18/D$12)</f>
        <v>0</v>
      </c>
      <c r="G18" s="14"/>
      <c r="H18" s="20">
        <f>H12-H15</f>
        <v>0</v>
      </c>
      <c r="I18" s="14"/>
      <c r="J18" s="21">
        <f>IF(H$12=0,0,H18/H$12)</f>
        <v>0</v>
      </c>
      <c r="K18" s="15"/>
      <c r="L18" s="20">
        <f>+D18-H18</f>
        <v>0</v>
      </c>
      <c r="M18" s="15"/>
      <c r="N18" s="21">
        <f>IF(H18=0,0,L18/H18)</f>
        <v>0</v>
      </c>
      <c r="O18" s="29"/>
      <c r="P18" s="20">
        <f>P12-P15</f>
        <v>0</v>
      </c>
      <c r="Q18" s="14"/>
      <c r="R18" s="21">
        <f>IF(P$12=0,0,P18/P$12)</f>
        <v>0</v>
      </c>
      <c r="S18" s="14"/>
      <c r="T18" s="20">
        <f>T12-T15</f>
        <v>2</v>
      </c>
      <c r="U18" s="14"/>
      <c r="V18" s="21">
        <f>IF(T$12=0,0,T18/T$12)</f>
        <v>1</v>
      </c>
      <c r="W18" s="15"/>
      <c r="X18" s="20">
        <f>+P18-T18</f>
        <v>-2</v>
      </c>
      <c r="Y18" s="15"/>
      <c r="Z18" s="21">
        <f>IF(T18=0,0,X18/T18)</f>
        <v>-1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>
        <f>SUM(OSRRefD22x_0)</f>
        <v>770.02</v>
      </c>
      <c r="E20" s="22"/>
      <c r="F20" s="31">
        <f t="shared" ref="F20:F29" si="12">IF(D$12=0,0,D20/D$12)</f>
        <v>0</v>
      </c>
      <c r="G20" s="22"/>
      <c r="H20" s="22">
        <f>SUM(OSRRefH22x_0)</f>
        <v>0</v>
      </c>
      <c r="I20" s="22"/>
      <c r="J20" s="31">
        <f t="shared" ref="J20:J29" si="13">IF(H$12=0,0,H20/H$12)</f>
        <v>0</v>
      </c>
      <c r="K20" s="4"/>
      <c r="L20" s="22">
        <f t="shared" ref="L20:L29" si="14">+D20-H20</f>
        <v>770.02</v>
      </c>
      <c r="M20" s="4"/>
      <c r="N20" s="31">
        <f t="shared" ref="N20:N29" si="15">IF(H20=0,0,L20/H20)</f>
        <v>0</v>
      </c>
      <c r="O20" s="10"/>
      <c r="P20" s="22">
        <f>SUM(OSRRefP22x_0)</f>
        <v>10261.4</v>
      </c>
      <c r="Q20" s="22"/>
      <c r="R20" s="31">
        <f t="shared" ref="R20:R29" si="16">IF(P$12=0,0,P20/P$12)</f>
        <v>0</v>
      </c>
      <c r="S20" s="22"/>
      <c r="T20" s="22">
        <f>SUM(OSRRefT22x_0)</f>
        <v>0</v>
      </c>
      <c r="U20" s="22"/>
      <c r="V20" s="31">
        <f t="shared" ref="V20:V29" si="17">IF(T$12=0,0,T20/T$12)</f>
        <v>0</v>
      </c>
      <c r="W20" s="4"/>
      <c r="X20" s="22">
        <f t="shared" ref="X20:X29" si="18">+P20-T20</f>
        <v>10261.4</v>
      </c>
      <c r="Y20" s="4"/>
      <c r="Z20" s="31">
        <f t="shared" ref="Z20:Z29" si="19">IF(T20=0,0,X20/T20)</f>
        <v>0</v>
      </c>
    </row>
    <row r="21" spans="1:26" s="27" customFormat="1" outlineLevel="1" collapsed="1" x14ac:dyDescent="0.25">
      <c r="A21" s="26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3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5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>
        <v>0</v>
      </c>
      <c r="I22" s="2"/>
      <c r="J22" s="6">
        <f t="shared" si="13"/>
        <v>0</v>
      </c>
      <c r="K22" s="2"/>
      <c r="L22" s="7">
        <f t="shared" si="14"/>
        <v>0</v>
      </c>
      <c r="M22" s="2"/>
      <c r="N22" s="6">
        <f t="shared" si="15"/>
        <v>0</v>
      </c>
      <c r="O22" s="11"/>
      <c r="P22" s="7"/>
      <c r="Q22" s="2"/>
      <c r="R22" s="6">
        <f t="shared" si="16"/>
        <v>0</v>
      </c>
      <c r="S22" s="2"/>
      <c r="T22" s="7">
        <v>0</v>
      </c>
      <c r="U22" s="2"/>
      <c r="V22" s="6">
        <f t="shared" si="17"/>
        <v>0</v>
      </c>
      <c r="W22" s="2"/>
      <c r="X22" s="7">
        <f t="shared" si="18"/>
        <v>0</v>
      </c>
      <c r="Y22" s="2"/>
      <c r="Z22" s="6">
        <f t="shared" si="19"/>
        <v>0</v>
      </c>
    </row>
    <row r="23" spans="1:26" s="24" customFormat="1" hidden="1" outlineLevel="2" x14ac:dyDescent="0.25">
      <c r="A23" s="25"/>
      <c r="B23" s="11" t="str">
        <f>CONCATENATE("          ", "6112", " - ", "COMPENSATION INSURANCE")</f>
        <v xml:space="preserve">          6112 - COMPENSATION INSURANCE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0</v>
      </c>
      <c r="Y23" s="2"/>
      <c r="Z23" s="6">
        <f t="shared" si="19"/>
        <v>0</v>
      </c>
    </row>
    <row r="24" spans="1:26" s="24" customFormat="1" hidden="1" outlineLevel="2" x14ac:dyDescent="0.25">
      <c r="A24" s="25"/>
      <c r="B24" s="11" t="str">
        <f>CONCATENATE("          ", "6113", " - ", "GROUP INSURANCE")</f>
        <v xml:space="preserve">          6113 - GROUP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5"/>
      <c r="B25" s="11" t="str">
        <f>CONCATENATE("          ", "6114", " - ", "STATE UNEMPLOYMENT INSURANCE")</f>
        <v xml:space="preserve">          6114 - STATE UNEMPLOYMENT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0</v>
      </c>
      <c r="Y25" s="2"/>
      <c r="Z25" s="6">
        <f t="shared" si="19"/>
        <v>0</v>
      </c>
    </row>
    <row r="26" spans="1:26" s="24" customFormat="1" hidden="1" outlineLevel="2" x14ac:dyDescent="0.25">
      <c r="A26" s="25"/>
      <c r="B26" s="11" t="str">
        <f>CONCATENATE("          ", "6115", " - ", "P.E.R.S.")</f>
        <v xml:space="preserve">          6115 - P.E.R.S.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5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3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20"/>
        <v>0</v>
      </c>
      <c r="G31" s="2"/>
      <c r="H31" s="7">
        <v>0</v>
      </c>
      <c r="I31" s="2"/>
      <c r="J31" s="6">
        <f t="shared" si="21"/>
        <v>0</v>
      </c>
      <c r="K31" s="2"/>
      <c r="L31" s="7">
        <f t="shared" si="22"/>
        <v>0</v>
      </c>
      <c r="M31" s="2"/>
      <c r="N31" s="6">
        <f t="shared" si="23"/>
        <v>0</v>
      </c>
      <c r="O31" s="11"/>
      <c r="P31" s="7"/>
      <c r="Q31" s="2"/>
      <c r="R31" s="6">
        <f t="shared" si="24"/>
        <v>0</v>
      </c>
      <c r="S31" s="2"/>
      <c r="T31" s="7">
        <v>0</v>
      </c>
      <c r="U31" s="2"/>
      <c r="V31" s="6">
        <f t="shared" si="25"/>
        <v>0</v>
      </c>
      <c r="W31" s="2"/>
      <c r="X31" s="7">
        <f t="shared" si="26"/>
        <v>0</v>
      </c>
      <c r="Y31" s="2"/>
      <c r="Z31" s="6">
        <f t="shared" si="27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3" si="28">IF(D$12=0,0,D41/D$12)</f>
        <v>0</v>
      </c>
      <c r="G41" s="1"/>
      <c r="H41" s="1">
        <f>SUM(OSRRefH22_2x_0)</f>
        <v>0</v>
      </c>
      <c r="I41" s="1"/>
      <c r="J41" s="5">
        <f t="shared" ref="J41:J53" si="29">IF(H$12=0,0,H41/H$12)</f>
        <v>0</v>
      </c>
      <c r="K41" s="1"/>
      <c r="L41" s="1">
        <f t="shared" ref="L41:L53" si="30">+D41-H41</f>
        <v>0</v>
      </c>
      <c r="M41" s="1"/>
      <c r="N41" s="5">
        <f t="shared" ref="N41:N53" si="31">IF(H41=0,0,L41/H41)</f>
        <v>0</v>
      </c>
      <c r="O41" s="13"/>
      <c r="P41" s="1">
        <f>SUM(OSRRefP22_2x_0)</f>
        <v>0</v>
      </c>
      <c r="Q41" s="1"/>
      <c r="R41" s="5">
        <f t="shared" ref="R41:R53" si="32">IF(P$12=0,0,P41/P$12)</f>
        <v>0</v>
      </c>
      <c r="S41" s="1"/>
      <c r="T41" s="1">
        <f>SUM(OSRRefT22_2x_0)</f>
        <v>0</v>
      </c>
      <c r="U41" s="1"/>
      <c r="V41" s="5">
        <f t="shared" ref="V41:V53" si="33">IF(T$12=0,0,T41/T$12)</f>
        <v>0</v>
      </c>
      <c r="W41" s="1"/>
      <c r="X41" s="1">
        <f t="shared" ref="X41:X53" si="34">+P41-T41</f>
        <v>0</v>
      </c>
      <c r="Y41" s="1"/>
      <c r="Z41" s="5">
        <f t="shared" ref="Z41:Z53" si="35">IF(T41=0,0,X41/T41)</f>
        <v>0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0</v>
      </c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/>
      <c r="Q42" s="2"/>
      <c r="R42" s="6">
        <f t="shared" si="32"/>
        <v>0</v>
      </c>
      <c r="S42" s="2"/>
      <c r="T42" s="7">
        <v>0</v>
      </c>
      <c r="U42" s="2"/>
      <c r="V42" s="6">
        <f t="shared" si="33"/>
        <v>0</v>
      </c>
      <c r="W42" s="2"/>
      <c r="X42" s="7">
        <f t="shared" si="34"/>
        <v>0</v>
      </c>
      <c r="Y42" s="2"/>
      <c r="Z42" s="6">
        <f t="shared" si="35"/>
        <v>0</v>
      </c>
    </row>
    <row r="43" spans="1:26" s="27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8"/>
        <v>0</v>
      </c>
      <c r="G44" s="2"/>
      <c r="H44" s="7">
        <v>0</v>
      </c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0</v>
      </c>
      <c r="U44" s="2"/>
      <c r="V44" s="6">
        <f t="shared" si="33"/>
        <v>0</v>
      </c>
      <c r="W44" s="2"/>
      <c r="X44" s="7">
        <f t="shared" si="34"/>
        <v>0</v>
      </c>
      <c r="Y44" s="2"/>
      <c r="Z44" s="6">
        <f t="shared" si="35"/>
        <v>0</v>
      </c>
    </row>
    <row r="45" spans="1:26" s="27" customFormat="1" outlineLevel="1" collapsed="1" x14ac:dyDescent="0.25">
      <c r="A45" s="26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SUM(OSRRefD22_4x_0)</f>
        <v>588.16999999999996</v>
      </c>
      <c r="E45" s="1"/>
      <c r="F45" s="5">
        <f t="shared" si="28"/>
        <v>0</v>
      </c>
      <c r="G45" s="1"/>
      <c r="H45" s="1">
        <f>SUM(OSRRefH22_4x_0)</f>
        <v>0</v>
      </c>
      <c r="I45" s="1"/>
      <c r="J45" s="5">
        <f t="shared" si="29"/>
        <v>0</v>
      </c>
      <c r="K45" s="1"/>
      <c r="L45" s="1">
        <f t="shared" si="30"/>
        <v>588.16999999999996</v>
      </c>
      <c r="M45" s="1"/>
      <c r="N45" s="5">
        <f t="shared" si="31"/>
        <v>0</v>
      </c>
      <c r="O45" s="13"/>
      <c r="P45" s="1">
        <f>SUM(OSRRefP22_4x_0)</f>
        <v>6205.65</v>
      </c>
      <c r="Q45" s="1"/>
      <c r="R45" s="5">
        <f t="shared" si="32"/>
        <v>0</v>
      </c>
      <c r="S45" s="1"/>
      <c r="T45" s="1">
        <f>SUM(OSRRefT22_4x_0)</f>
        <v>0</v>
      </c>
      <c r="U45" s="1"/>
      <c r="V45" s="5">
        <f t="shared" si="33"/>
        <v>0</v>
      </c>
      <c r="W45" s="1"/>
      <c r="X45" s="1">
        <f t="shared" si="34"/>
        <v>6205.65</v>
      </c>
      <c r="Y45" s="1"/>
      <c r="Z45" s="5">
        <f t="shared" si="35"/>
        <v>0</v>
      </c>
    </row>
    <row r="46" spans="1:26" s="24" customFormat="1" hidden="1" outlineLevel="2" x14ac:dyDescent="0.25">
      <c r="A46" s="25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588.16999999999996</v>
      </c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588.16999999999996</v>
      </c>
      <c r="M46" s="2"/>
      <c r="N46" s="6">
        <f t="shared" si="31"/>
        <v>0</v>
      </c>
      <c r="O46" s="11"/>
      <c r="P46" s="7">
        <v>6205.65</v>
      </c>
      <c r="Q46" s="2"/>
      <c r="R46" s="6">
        <f t="shared" si="32"/>
        <v>0</v>
      </c>
      <c r="S46" s="2"/>
      <c r="T46" s="7"/>
      <c r="U46" s="2"/>
      <c r="V46" s="6">
        <f t="shared" si="33"/>
        <v>0</v>
      </c>
      <c r="W46" s="2"/>
      <c r="X46" s="7">
        <f t="shared" si="34"/>
        <v>6205.65</v>
      </c>
      <c r="Y46" s="2"/>
      <c r="Z46" s="6">
        <f t="shared" si="35"/>
        <v>0</v>
      </c>
    </row>
    <row r="47" spans="1:26" s="27" customFormat="1" outlineLevel="1" collapsed="1" x14ac:dyDescent="0.25">
      <c r="A47" s="26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SUM(OSRRefD22_5x_0)</f>
        <v>0</v>
      </c>
      <c r="E47" s="1"/>
      <c r="F47" s="5">
        <f t="shared" si="28"/>
        <v>0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SUM(OSRRefP22_5x_0)</f>
        <v>12</v>
      </c>
      <c r="Q47" s="1"/>
      <c r="R47" s="5">
        <f t="shared" si="32"/>
        <v>0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12</v>
      </c>
      <c r="Y47" s="1"/>
      <c r="Z47" s="5">
        <f t="shared" si="35"/>
        <v>0</v>
      </c>
    </row>
    <row r="48" spans="1:26" s="24" customFormat="1" hidden="1" outlineLevel="2" x14ac:dyDescent="0.25">
      <c r="A48" s="25"/>
      <c r="B48" s="11" t="str">
        <f>CONCATENATE("          ", "6351", " - ", "EQUIPMENT RENTAL")</f>
        <v xml:space="preserve">          6351 - EQUIPMENT RENTAL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12</v>
      </c>
      <c r="Q48" s="2"/>
      <c r="R48" s="6">
        <f t="shared" si="32"/>
        <v>0</v>
      </c>
      <c r="S48" s="2"/>
      <c r="T48" s="7"/>
      <c r="U48" s="2"/>
      <c r="V48" s="6">
        <f t="shared" si="33"/>
        <v>0</v>
      </c>
      <c r="W48" s="2"/>
      <c r="X48" s="7">
        <f t="shared" si="34"/>
        <v>12</v>
      </c>
      <c r="Y48" s="2"/>
      <c r="Z48" s="6">
        <f t="shared" si="35"/>
        <v>0</v>
      </c>
    </row>
    <row r="49" spans="1:26" s="27" customFormat="1" outlineLevel="1" collapsed="1" x14ac:dyDescent="0.25">
      <c r="A49" s="26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SUM(OSRRefP22_6x_0)</f>
        <v>575</v>
      </c>
      <c r="Q49" s="1"/>
      <c r="R49" s="5">
        <f t="shared" si="32"/>
        <v>0</v>
      </c>
      <c r="S49" s="1"/>
      <c r="T49" s="1">
        <f>SUM(OSRRefT22_6x_0)</f>
        <v>0</v>
      </c>
      <c r="U49" s="1"/>
      <c r="V49" s="5">
        <f t="shared" si="33"/>
        <v>0</v>
      </c>
      <c r="W49" s="1"/>
      <c r="X49" s="1">
        <f t="shared" si="34"/>
        <v>575</v>
      </c>
      <c r="Y49" s="1"/>
      <c r="Z49" s="5">
        <f t="shared" si="35"/>
        <v>0</v>
      </c>
    </row>
    <row r="50" spans="1:26" s="24" customFormat="1" hidden="1" outlineLevel="2" x14ac:dyDescent="0.25">
      <c r="A50" s="25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575</v>
      </c>
      <c r="Q50" s="2"/>
      <c r="R50" s="6">
        <f t="shared" si="32"/>
        <v>0</v>
      </c>
      <c r="S50" s="2"/>
      <c r="T50" s="7">
        <v>0</v>
      </c>
      <c r="U50" s="2"/>
      <c r="V50" s="6">
        <f t="shared" si="33"/>
        <v>0</v>
      </c>
      <c r="W50" s="2"/>
      <c r="X50" s="7">
        <f t="shared" si="34"/>
        <v>575</v>
      </c>
      <c r="Y50" s="2"/>
      <c r="Z50" s="6">
        <f t="shared" si="35"/>
        <v>0</v>
      </c>
    </row>
    <row r="51" spans="1:26" s="27" customFormat="1" outlineLevel="1" collapsed="1" x14ac:dyDescent="0.25">
      <c r="A51" s="26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SUM(OSRRefP22_7x_0)</f>
        <v>1280.28</v>
      </c>
      <c r="Q51" s="1"/>
      <c r="R51" s="5">
        <f t="shared" si="32"/>
        <v>0</v>
      </c>
      <c r="S51" s="1"/>
      <c r="T51" s="1">
        <f>SUM(OSRRefT22_7x_0)</f>
        <v>0</v>
      </c>
      <c r="U51" s="1"/>
      <c r="V51" s="5">
        <f t="shared" si="33"/>
        <v>0</v>
      </c>
      <c r="W51" s="1"/>
      <c r="X51" s="1">
        <f t="shared" si="34"/>
        <v>1280.28</v>
      </c>
      <c r="Y51" s="1"/>
      <c r="Z51" s="5">
        <f t="shared" si="35"/>
        <v>0</v>
      </c>
    </row>
    <row r="52" spans="1:26" s="24" customFormat="1" hidden="1" outlineLevel="2" x14ac:dyDescent="0.25">
      <c r="A52" s="25"/>
      <c r="B52" s="11" t="str">
        <f>CONCATENATE("          ", "6373", " - ", "MAINTENANCE CONTRACTS")</f>
        <v xml:space="preserve">          6373 - MAINTENANCE CONTRACTS</v>
      </c>
      <c r="C52" s="11"/>
      <c r="D52" s="7"/>
      <c r="E52" s="2"/>
      <c r="F52" s="6">
        <f t="shared" si="28"/>
        <v>0</v>
      </c>
      <c r="G52" s="2"/>
      <c r="H52" s="7"/>
      <c r="I52" s="2"/>
      <c r="J52" s="6">
        <f t="shared" si="29"/>
        <v>0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262.58999999999997</v>
      </c>
      <c r="Q52" s="2"/>
      <c r="R52" s="6">
        <f t="shared" si="32"/>
        <v>0</v>
      </c>
      <c r="S52" s="2"/>
      <c r="T52" s="7"/>
      <c r="U52" s="2"/>
      <c r="V52" s="6">
        <f t="shared" si="33"/>
        <v>0</v>
      </c>
      <c r="W52" s="2"/>
      <c r="X52" s="7">
        <f t="shared" si="34"/>
        <v>262.58999999999997</v>
      </c>
      <c r="Y52" s="2"/>
      <c r="Z52" s="6">
        <f t="shared" si="35"/>
        <v>0</v>
      </c>
    </row>
    <row r="53" spans="1:26" s="24" customFormat="1" hidden="1" outlineLevel="2" x14ac:dyDescent="0.25">
      <c r="A53" s="25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28"/>
        <v>0</v>
      </c>
      <c r="G53" s="2"/>
      <c r="H53" s="7">
        <v>0</v>
      </c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1017.69</v>
      </c>
      <c r="Q53" s="2"/>
      <c r="R53" s="6">
        <f t="shared" si="32"/>
        <v>0</v>
      </c>
      <c r="S53" s="2"/>
      <c r="T53" s="7">
        <v>0</v>
      </c>
      <c r="U53" s="2"/>
      <c r="V53" s="6">
        <f t="shared" si="33"/>
        <v>0</v>
      </c>
      <c r="W53" s="2"/>
      <c r="X53" s="7">
        <f t="shared" si="34"/>
        <v>1017.69</v>
      </c>
      <c r="Y53" s="2"/>
      <c r="Z53" s="6">
        <f t="shared" si="35"/>
        <v>0</v>
      </c>
    </row>
    <row r="54" spans="1:26" s="27" customFormat="1" outlineLevel="1" collapsed="1" x14ac:dyDescent="0.25">
      <c r="A54" s="26"/>
      <c r="B54" s="13" t="str">
        <f>CONCATENATE("     ","Services                                          ")</f>
        <v xml:space="preserve">     Services                                          </v>
      </c>
      <c r="C54" s="13"/>
      <c r="D54" s="1">
        <f>SUM(OSRRefD22_8x_0)</f>
        <v>151.85</v>
      </c>
      <c r="E54" s="1"/>
      <c r="F54" s="5">
        <f t="shared" ref="F54:F56" si="36">IF(D$12=0,0,D54/D$12)</f>
        <v>0</v>
      </c>
      <c r="G54" s="1"/>
      <c r="H54" s="1">
        <f>SUM(OSRRefH22_8x_0)</f>
        <v>0</v>
      </c>
      <c r="I54" s="1"/>
      <c r="J54" s="5">
        <f t="shared" ref="J54:J56" si="37">IF(H$12=0,0,H54/H$12)</f>
        <v>0</v>
      </c>
      <c r="K54" s="1"/>
      <c r="L54" s="1">
        <f t="shared" ref="L54:L56" si="38">+D54-H54</f>
        <v>151.85</v>
      </c>
      <c r="M54" s="1"/>
      <c r="N54" s="5">
        <f t="shared" ref="N54:N56" si="39">IF(H54=0,0,L54/H54)</f>
        <v>0</v>
      </c>
      <c r="O54" s="13"/>
      <c r="P54" s="1">
        <f>SUM(OSRRefP22_8x_0)</f>
        <v>1764.15</v>
      </c>
      <c r="Q54" s="1"/>
      <c r="R54" s="5">
        <f t="shared" ref="R54:R56" si="40">IF(P$12=0,0,P54/P$12)</f>
        <v>0</v>
      </c>
      <c r="S54" s="1"/>
      <c r="T54" s="1">
        <f>SUM(OSRRefT22_8x_0)</f>
        <v>0</v>
      </c>
      <c r="U54" s="1"/>
      <c r="V54" s="5">
        <f t="shared" ref="V54:V56" si="41">IF(T$12=0,0,T54/T$12)</f>
        <v>0</v>
      </c>
      <c r="W54" s="1"/>
      <c r="X54" s="1">
        <f t="shared" ref="X54:X56" si="42">+P54-T54</f>
        <v>1764.15</v>
      </c>
      <c r="Y54" s="1"/>
      <c r="Z54" s="5">
        <f t="shared" ref="Z54:Z56" si="43">IF(T54=0,0,X54/T54)</f>
        <v>0</v>
      </c>
    </row>
    <row r="55" spans="1:26" s="24" customFormat="1" hidden="1" outlineLevel="2" x14ac:dyDescent="0.25">
      <c r="A55" s="25"/>
      <c r="B55" s="11" t="str">
        <f>CONCATENATE("          ", "6282", " - ", "JANITORIAL/EXTERMINATOR EXPENS")</f>
        <v xml:space="preserve">          6282 - JANITORIAL/EXTERMINATOR EXPENS</v>
      </c>
      <c r="C55" s="11"/>
      <c r="D55" s="7">
        <v>151.85</v>
      </c>
      <c r="E55" s="2"/>
      <c r="F55" s="6">
        <f t="shared" si="36"/>
        <v>0</v>
      </c>
      <c r="G55" s="2"/>
      <c r="H55" s="7"/>
      <c r="I55" s="2"/>
      <c r="J55" s="6">
        <f t="shared" si="37"/>
        <v>0</v>
      </c>
      <c r="K55" s="2"/>
      <c r="L55" s="7">
        <f t="shared" si="38"/>
        <v>151.85</v>
      </c>
      <c r="M55" s="2"/>
      <c r="N55" s="6">
        <f t="shared" si="39"/>
        <v>0</v>
      </c>
      <c r="O55" s="11"/>
      <c r="P55" s="7">
        <v>1937.19</v>
      </c>
      <c r="Q55" s="2"/>
      <c r="R55" s="6">
        <f t="shared" si="40"/>
        <v>0</v>
      </c>
      <c r="S55" s="2"/>
      <c r="T55" s="7"/>
      <c r="U55" s="2"/>
      <c r="V55" s="6">
        <f t="shared" si="41"/>
        <v>0</v>
      </c>
      <c r="W55" s="2"/>
      <c r="X55" s="7">
        <f t="shared" si="42"/>
        <v>1937.19</v>
      </c>
      <c r="Y55" s="2"/>
      <c r="Z55" s="6">
        <f t="shared" si="43"/>
        <v>0</v>
      </c>
    </row>
    <row r="56" spans="1:26" s="24" customFormat="1" hidden="1" outlineLevel="2" x14ac:dyDescent="0.25">
      <c r="A56" s="25"/>
      <c r="B56" s="11" t="str">
        <f>CONCATENATE("          ", "6285", " - ", "JANITORIAL SERVICES")</f>
        <v xml:space="preserve">          6285 - JANITORIAL SERVICES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-173.04</v>
      </c>
      <c r="Q56" s="2"/>
      <c r="R56" s="6">
        <f t="shared" si="40"/>
        <v>0</v>
      </c>
      <c r="S56" s="2"/>
      <c r="T56" s="7">
        <v>0</v>
      </c>
      <c r="U56" s="2"/>
      <c r="V56" s="6">
        <f t="shared" si="41"/>
        <v>0</v>
      </c>
      <c r="W56" s="2"/>
      <c r="X56" s="7">
        <f t="shared" si="42"/>
        <v>-173.04</v>
      </c>
      <c r="Y56" s="2"/>
      <c r="Z56" s="6">
        <f t="shared" si="43"/>
        <v>0</v>
      </c>
    </row>
    <row r="57" spans="1:26" s="27" customFormat="1" outlineLevel="1" collapsed="1" x14ac:dyDescent="0.25">
      <c r="A57" s="26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SUM(OSRRefD22_9x_0)</f>
        <v>0</v>
      </c>
      <c r="E57" s="1"/>
      <c r="F57" s="5">
        <f t="shared" ref="F57:F60" si="44">IF(D$12=0,0,D57/D$12)</f>
        <v>0</v>
      </c>
      <c r="G57" s="1"/>
      <c r="H57" s="1">
        <f>SUM(OSRRefH22_9x_0)</f>
        <v>0</v>
      </c>
      <c r="I57" s="1"/>
      <c r="J57" s="5">
        <f t="shared" ref="J57:J60" si="45">IF(H$12=0,0,H57/H$12)</f>
        <v>0</v>
      </c>
      <c r="K57" s="1"/>
      <c r="L57" s="1">
        <f t="shared" ref="L57:L60" si="46">+D57-H57</f>
        <v>0</v>
      </c>
      <c r="M57" s="1"/>
      <c r="N57" s="5">
        <f t="shared" ref="N57:N60" si="47">IF(H57=0,0,L57/H57)</f>
        <v>0</v>
      </c>
      <c r="O57" s="13"/>
      <c r="P57" s="1">
        <f>SUM(OSRRefP22_9x_0)</f>
        <v>0</v>
      </c>
      <c r="Q57" s="1"/>
      <c r="R57" s="5">
        <f t="shared" ref="R57:R60" si="48">IF(P$12=0,0,P57/P$12)</f>
        <v>0</v>
      </c>
      <c r="S57" s="1"/>
      <c r="T57" s="1">
        <f>SUM(OSRRefT22_9x_0)</f>
        <v>0</v>
      </c>
      <c r="U57" s="1"/>
      <c r="V57" s="5">
        <f t="shared" ref="V57:V60" si="49">IF(T$12=0,0,T57/T$12)</f>
        <v>0</v>
      </c>
      <c r="W57" s="1"/>
      <c r="X57" s="1">
        <f t="shared" ref="X57:X60" si="50">+P57-T57</f>
        <v>0</v>
      </c>
      <c r="Y57" s="1"/>
      <c r="Z57" s="5">
        <f t="shared" ref="Z57:Z60" si="51">IF(T57=0,0,X57/T57)</f>
        <v>0</v>
      </c>
    </row>
    <row r="58" spans="1:26" s="24" customFormat="1" hidden="1" outlineLevel="2" x14ac:dyDescent="0.25">
      <c r="A58" s="25"/>
      <c r="B58" s="11" t="str">
        <f>CONCATENATE("          ", "6235", " - ", "COVID-19 EXPENSES")</f>
        <v xml:space="preserve">          6235 - COVID-19 EXPENSES</v>
      </c>
      <c r="C58" s="11"/>
      <c r="D58" s="7"/>
      <c r="E58" s="2"/>
      <c r="F58" s="6">
        <f t="shared" si="44"/>
        <v>0</v>
      </c>
      <c r="G58" s="2"/>
      <c r="H58" s="7">
        <v>0</v>
      </c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/>
      <c r="Q58" s="2"/>
      <c r="R58" s="6">
        <f t="shared" si="48"/>
        <v>0</v>
      </c>
      <c r="S58" s="2"/>
      <c r="T58" s="7">
        <v>0</v>
      </c>
      <c r="U58" s="2"/>
      <c r="V58" s="6">
        <f t="shared" si="49"/>
        <v>0</v>
      </c>
      <c r="W58" s="2"/>
      <c r="X58" s="7">
        <f t="shared" si="50"/>
        <v>0</v>
      </c>
      <c r="Y58" s="2"/>
      <c r="Z58" s="6">
        <f t="shared" si="51"/>
        <v>0</v>
      </c>
    </row>
    <row r="59" spans="1:26" s="24" customFormat="1" hidden="1" outlineLevel="2" x14ac:dyDescent="0.25">
      <c r="A59" s="25"/>
      <c r="B59" s="11" t="str">
        <f>CONCATENATE("          ", "6247", " - ", "STORE SUPPLIES")</f>
        <v xml:space="preserve">          6247 - STORE SUPPLIES</v>
      </c>
      <c r="C59" s="11"/>
      <c r="D59" s="7"/>
      <c r="E59" s="2"/>
      <c r="F59" s="6">
        <f t="shared" si="44"/>
        <v>0</v>
      </c>
      <c r="G59" s="2"/>
      <c r="H59" s="7">
        <v>0</v>
      </c>
      <c r="I59" s="2"/>
      <c r="J59" s="6">
        <f t="shared" si="45"/>
        <v>0</v>
      </c>
      <c r="K59" s="2"/>
      <c r="L59" s="7">
        <f t="shared" si="46"/>
        <v>0</v>
      </c>
      <c r="M59" s="2"/>
      <c r="N59" s="6">
        <f t="shared" si="47"/>
        <v>0</v>
      </c>
      <c r="O59" s="11"/>
      <c r="P59" s="7"/>
      <c r="Q59" s="2"/>
      <c r="R59" s="6">
        <f t="shared" si="48"/>
        <v>0</v>
      </c>
      <c r="S59" s="2"/>
      <c r="T59" s="7">
        <v>0</v>
      </c>
      <c r="U59" s="2"/>
      <c r="V59" s="6">
        <f t="shared" si="49"/>
        <v>0</v>
      </c>
      <c r="W59" s="2"/>
      <c r="X59" s="7">
        <f t="shared" si="50"/>
        <v>0</v>
      </c>
      <c r="Y59" s="2"/>
      <c r="Z59" s="6">
        <f t="shared" si="51"/>
        <v>0</v>
      </c>
    </row>
    <row r="60" spans="1:26" s="24" customFormat="1" hidden="1" outlineLevel="2" x14ac:dyDescent="0.25">
      <c r="A60" s="25"/>
      <c r="B60" s="11" t="str">
        <f>CONCATENATE("          ", "6248", " - ", "UNIFORMS")</f>
        <v xml:space="preserve">          6248 - UNIFORMS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/>
      <c r="Q60" s="2"/>
      <c r="R60" s="6">
        <f t="shared" si="48"/>
        <v>0</v>
      </c>
      <c r="S60" s="2"/>
      <c r="T60" s="7">
        <v>0</v>
      </c>
      <c r="U60" s="2"/>
      <c r="V60" s="6">
        <f t="shared" si="49"/>
        <v>0</v>
      </c>
      <c r="W60" s="2"/>
      <c r="X60" s="7">
        <f t="shared" si="50"/>
        <v>0</v>
      </c>
      <c r="Y60" s="2"/>
      <c r="Z60" s="6">
        <f t="shared" si="51"/>
        <v>0</v>
      </c>
    </row>
    <row r="61" spans="1:26" s="27" customFormat="1" outlineLevel="1" collapsed="1" x14ac:dyDescent="0.25">
      <c r="A61" s="26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30</v>
      </c>
      <c r="E61" s="1"/>
      <c r="F61" s="5">
        <f t="shared" ref="F61:F62" si="52">IF(D$12=0,0,D61/D$12)</f>
        <v>0</v>
      </c>
      <c r="G61" s="1"/>
      <c r="H61" s="1">
        <f>SUM(OSRRefH22_10x_0)</f>
        <v>0</v>
      </c>
      <c r="I61" s="1"/>
      <c r="J61" s="5">
        <f t="shared" ref="J61:J62" si="53">IF(H$12=0,0,H61/H$12)</f>
        <v>0</v>
      </c>
      <c r="K61" s="1"/>
      <c r="L61" s="1">
        <f t="shared" ref="L61:L62" si="54">+D61-H61</f>
        <v>30</v>
      </c>
      <c r="M61" s="1"/>
      <c r="N61" s="5">
        <f t="shared" ref="N61:N62" si="55">IF(H61=0,0,L61/H61)</f>
        <v>0</v>
      </c>
      <c r="O61" s="13"/>
      <c r="P61" s="1">
        <f>SUM(OSRRefP22_10x_0)</f>
        <v>424.32</v>
      </c>
      <c r="Q61" s="1"/>
      <c r="R61" s="5">
        <f t="shared" ref="R61:R62" si="56">IF(P$12=0,0,P61/P$12)</f>
        <v>0</v>
      </c>
      <c r="S61" s="1"/>
      <c r="T61" s="1">
        <f>SUM(OSRRefT22_10x_0)</f>
        <v>0</v>
      </c>
      <c r="U61" s="1"/>
      <c r="V61" s="5">
        <f t="shared" ref="V61:V62" si="57">IF(T$12=0,0,T61/T$12)</f>
        <v>0</v>
      </c>
      <c r="W61" s="1"/>
      <c r="X61" s="1">
        <f t="shared" ref="X61:X62" si="58">+P61-T61</f>
        <v>424.32</v>
      </c>
      <c r="Y61" s="1"/>
      <c r="Z61" s="5">
        <f t="shared" ref="Z61:Z62" si="59">IF(T61=0,0,X61/T61)</f>
        <v>0</v>
      </c>
    </row>
    <row r="62" spans="1:26" s="24" customFormat="1" hidden="1" outlineLevel="2" x14ac:dyDescent="0.25">
      <c r="A62" s="25"/>
      <c r="B62" s="11" t="str">
        <f>CONCATENATE("          ", "6309", " - ", "TELEPHONE")</f>
        <v xml:space="preserve">          6309 - TELEPHONE</v>
      </c>
      <c r="C62" s="11"/>
      <c r="D62" s="7">
        <v>30</v>
      </c>
      <c r="E62" s="2"/>
      <c r="F62" s="6">
        <f t="shared" si="52"/>
        <v>0</v>
      </c>
      <c r="G62" s="2"/>
      <c r="H62" s="7"/>
      <c r="I62" s="2"/>
      <c r="J62" s="6">
        <f t="shared" si="53"/>
        <v>0</v>
      </c>
      <c r="K62" s="2"/>
      <c r="L62" s="7">
        <f t="shared" si="54"/>
        <v>30</v>
      </c>
      <c r="M62" s="2"/>
      <c r="N62" s="6">
        <f t="shared" si="55"/>
        <v>0</v>
      </c>
      <c r="O62" s="11"/>
      <c r="P62" s="7">
        <v>424.32</v>
      </c>
      <c r="Q62" s="2"/>
      <c r="R62" s="6">
        <f t="shared" si="56"/>
        <v>0</v>
      </c>
      <c r="S62" s="2"/>
      <c r="T62" s="7"/>
      <c r="U62" s="2"/>
      <c r="V62" s="6">
        <f t="shared" si="57"/>
        <v>0</v>
      </c>
      <c r="W62" s="2"/>
      <c r="X62" s="7">
        <f t="shared" si="58"/>
        <v>424.32</v>
      </c>
      <c r="Y62" s="2"/>
      <c r="Z62" s="6">
        <f t="shared" si="59"/>
        <v>0</v>
      </c>
    </row>
    <row r="63" spans="1:26" s="56" customFormat="1" x14ac:dyDescent="0.25">
      <c r="A63" s="36"/>
      <c r="B63" s="36"/>
      <c r="C63" s="36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25">
      <c r="A64" s="10"/>
      <c r="B64" s="29" t="s">
        <v>293</v>
      </c>
      <c r="C64" s="10"/>
      <c r="D64" s="4">
        <f>SUM(0)</f>
        <v>0</v>
      </c>
      <c r="E64" s="4"/>
      <c r="F64" s="12">
        <f>IF(D$12=0,0,D64/D$12)</f>
        <v>0</v>
      </c>
      <c r="G64" s="4"/>
      <c r="H64" s="4">
        <f>SUM(0)</f>
        <v>0</v>
      </c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>
        <f>SUM(0)</f>
        <v>0</v>
      </c>
      <c r="Q64" s="4"/>
      <c r="R64" s="12">
        <f>IF(P$12=0,0,P64/P$12)</f>
        <v>0</v>
      </c>
      <c r="S64" s="4"/>
      <c r="T64" s="4">
        <f>SUM(0)</f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8" t="s">
        <v>277</v>
      </c>
      <c r="C66" s="28"/>
      <c r="D66" s="20">
        <f>+D18-D20+D64</f>
        <v>-770.02</v>
      </c>
      <c r="E66" s="14"/>
      <c r="F66" s="21">
        <f>IF(D$12=0,0,D66/D$12)</f>
        <v>0</v>
      </c>
      <c r="G66" s="14"/>
      <c r="H66" s="20">
        <f>+H18-H20+H64</f>
        <v>0</v>
      </c>
      <c r="I66" s="14"/>
      <c r="J66" s="21">
        <f>IF(H$12=0,0,H66/H$12)</f>
        <v>0</v>
      </c>
      <c r="K66" s="15"/>
      <c r="L66" s="20">
        <f>+D66-H66</f>
        <v>-770.02</v>
      </c>
      <c r="M66" s="15"/>
      <c r="N66" s="21">
        <f>IF(H66=0,0,L66/H66)</f>
        <v>0</v>
      </c>
      <c r="O66" s="29"/>
      <c r="P66" s="20">
        <f>+P18-P20+P64</f>
        <v>-10261.4</v>
      </c>
      <c r="Q66" s="14"/>
      <c r="R66" s="21">
        <f>IF(P$12=0,0,P66/P$12)</f>
        <v>0</v>
      </c>
      <c r="S66" s="14"/>
      <c r="T66" s="20">
        <f>+T18-T20+T64</f>
        <v>2</v>
      </c>
      <c r="U66" s="14"/>
      <c r="V66" s="21">
        <f>IF(T$12=0,0,T66/T$12)</f>
        <v>1</v>
      </c>
      <c r="W66" s="15"/>
      <c r="X66" s="20">
        <f>+P66-T66</f>
        <v>-10263.4</v>
      </c>
      <c r="Y66" s="15"/>
      <c r="Z66" s="21">
        <f>IF(T66=0,0,X66/T66)</f>
        <v>-5131.7</v>
      </c>
    </row>
    <row r="67" spans="1:26" x14ac:dyDescent="0.25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52"/>
      <c r="B68" s="10" t="s">
        <v>128</v>
      </c>
      <c r="C68" s="10"/>
      <c r="D68" s="4"/>
      <c r="E68" s="4"/>
      <c r="F68" s="12">
        <f>IF(D$12=0,0,D68/D$12)</f>
        <v>0</v>
      </c>
      <c r="G68" s="4"/>
      <c r="H68" s="4"/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/>
      <c r="Q68" s="4"/>
      <c r="R68" s="12">
        <f>IF(P$12=0,0,P68/P$12)</f>
        <v>0</v>
      </c>
      <c r="S68" s="4"/>
      <c r="T68" s="4"/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126</v>
      </c>
      <c r="C70" s="28"/>
      <c r="D70" s="35">
        <f>+D66-D68</f>
        <v>-770.02</v>
      </c>
      <c r="E70" s="14"/>
      <c r="F70" s="34">
        <f>IF(D$12=0,0,D70/D$12)</f>
        <v>0</v>
      </c>
      <c r="G70" s="14"/>
      <c r="H70" s="35">
        <f>+H66-H68</f>
        <v>0</v>
      </c>
      <c r="I70" s="14"/>
      <c r="J70" s="34">
        <f>IF(H$12=0,0,H70/H$12)</f>
        <v>0</v>
      </c>
      <c r="K70" s="15"/>
      <c r="L70" s="35">
        <f>D70-H70</f>
        <v>-770.02</v>
      </c>
      <c r="M70" s="15"/>
      <c r="N70" s="34">
        <f>IF(H70=0,0,L70/H70)</f>
        <v>0</v>
      </c>
      <c r="O70" s="29"/>
      <c r="P70" s="35">
        <f>+P66-P68</f>
        <v>-10261.4</v>
      </c>
      <c r="Q70" s="14"/>
      <c r="R70" s="34">
        <f>IF(P$12=0,0,P70/P$12)</f>
        <v>0</v>
      </c>
      <c r="S70" s="14"/>
      <c r="T70" s="35">
        <f>+T66-T68</f>
        <v>2</v>
      </c>
      <c r="U70" s="14"/>
      <c r="V70" s="34">
        <f>IF(T$12=0,0,T70/T$12)</f>
        <v>1</v>
      </c>
      <c r="W70" s="15"/>
      <c r="X70" s="35">
        <f>P70-T70</f>
        <v>-10263.4</v>
      </c>
      <c r="Y70" s="15"/>
      <c r="Z70" s="34">
        <f>IF(T70=0,0,X70/T70)</f>
        <v>-5131.7</v>
      </c>
    </row>
    <row r="71" spans="1:26" ht="15.75" thickTop="1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8" t="s">
        <v>294</v>
      </c>
      <c r="C73" s="28"/>
      <c r="D73" s="33">
        <f>SUM(D70:D72)</f>
        <v>-770.02</v>
      </c>
      <c r="E73" s="14"/>
      <c r="F73" s="32">
        <f>IF(D$12=0,0,D73/D$12)</f>
        <v>0</v>
      </c>
      <c r="G73" s="14"/>
      <c r="H73" s="33">
        <f>SUM(H70:H72)</f>
        <v>0</v>
      </c>
      <c r="I73" s="14"/>
      <c r="J73" s="32">
        <f>IF(H$12=0,0,H73/H$12)</f>
        <v>0</v>
      </c>
      <c r="K73" s="15"/>
      <c r="L73" s="33">
        <f>+D73-H73</f>
        <v>-770.02</v>
      </c>
      <c r="M73" s="15"/>
      <c r="N73" s="32">
        <f>IF(H73=0,0,L73/H73)</f>
        <v>0</v>
      </c>
      <c r="O73" s="29"/>
      <c r="P73" s="33">
        <f>SUM(P70:P72)</f>
        <v>-10261.4</v>
      </c>
      <c r="Q73" s="14"/>
      <c r="R73" s="32">
        <f>IF(P$12=0,0,P73/P$12)</f>
        <v>0</v>
      </c>
      <c r="S73" s="14"/>
      <c r="T73" s="33">
        <f>SUM(T70:T72)</f>
        <v>2</v>
      </c>
      <c r="U73" s="14"/>
      <c r="V73" s="32">
        <f>IF(T$12=0,0,T73/T$12)</f>
        <v>1</v>
      </c>
      <c r="W73" s="15"/>
      <c r="X73" s="33">
        <f>+P73-T73</f>
        <v>-10263.4</v>
      </c>
      <c r="Y73" s="15"/>
      <c r="Z73" s="32">
        <f>IF(T73=0,0,X73/T73)</f>
        <v>-5131.7</v>
      </c>
    </row>
    <row r="74" spans="1:26" ht="15.75" thickTop="1" x14ac:dyDescent="0.25">
      <c r="A74" s="9"/>
      <c r="C74" s="9"/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60">
        <v>44356.891834571761</v>
      </c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55" t="s">
        <v>56</v>
      </c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63"/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","313", " - ", "Convenience Store")</f>
        <v>Department 313 - Convenience 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16991</v>
      </c>
      <c r="I12" s="4"/>
      <c r="J12" s="12"/>
      <c r="K12" s="4"/>
      <c r="L12" s="4">
        <f t="shared" ref="L12:L17" si="0">+D12-H12</f>
        <v>-16991</v>
      </c>
      <c r="M12" s="4"/>
      <c r="N12" s="12">
        <f t="shared" ref="N12:N17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207629</v>
      </c>
      <c r="U12" s="4"/>
      <c r="V12" s="12"/>
      <c r="W12" s="4"/>
      <c r="X12" s="4">
        <f t="shared" ref="X12:X17" si="2">+P12-T12</f>
        <v>-207629</v>
      </c>
      <c r="Y12" s="4"/>
      <c r="Z12" s="12">
        <f t="shared" ref="Z12:Z17" si="3">IF(T12=0,0,X12/T12)</f>
        <v>-1</v>
      </c>
    </row>
    <row r="13" spans="1:26" s="24" customFormat="1" hidden="1" outlineLevel="1" x14ac:dyDescent="0.25">
      <c r="A13" s="44"/>
      <c r="B13" s="11" t="str">
        <f>CONCATENATE("          ", "4034", " - ", "TAXABLE SALES-SODA")</f>
        <v xml:space="preserve">          4034 - TAXABLE SALES-SODA</v>
      </c>
      <c r="C13" s="11"/>
      <c r="D13" s="2">
        <f t="shared" ref="D13:D17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7" si="5">0</f>
        <v>0</v>
      </c>
      <c r="Q13" s="2"/>
      <c r="R13" s="19"/>
      <c r="S13" s="2"/>
      <c r="T13" s="2"/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16991</v>
      </c>
      <c r="I14" s="2"/>
      <c r="J14" s="19"/>
      <c r="K14" s="2"/>
      <c r="L14" s="2">
        <f t="shared" si="0"/>
        <v>-16991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207629</v>
      </c>
      <c r="U14" s="2"/>
      <c r="V14" s="19"/>
      <c r="W14" s="2"/>
      <c r="X14" s="2">
        <f t="shared" si="2"/>
        <v>-207629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5"/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"4134", " - ", "NON-TAXABLE SALES-SODA")</f>
        <v xml:space="preserve">          4134 - NON-TAXABLE SALES-SODA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"4137", " - ", "NON-TAXABLE SALES-WATER")</f>
        <v xml:space="preserve">          4137 - NON-TAXABLE SALES-WATER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/>
      <c r="U17" s="2"/>
      <c r="V17" s="19"/>
      <c r="W17" s="2"/>
      <c r="X17" s="2">
        <f t="shared" si="2"/>
        <v>0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9" t="s">
        <v>257</v>
      </c>
      <c r="C19" s="10"/>
      <c r="D19" s="4">
        <f>SUM(OSRRefD16x_0)</f>
        <v>0</v>
      </c>
      <c r="E19" s="4"/>
      <c r="F19" s="12">
        <f t="shared" ref="F19:F21" si="6">IF(D$12=0,0,D19/D$12)</f>
        <v>0</v>
      </c>
      <c r="G19" s="4"/>
      <c r="H19" s="4">
        <f>SUM(OSRRefH16x_0)</f>
        <v>8053</v>
      </c>
      <c r="I19" s="4"/>
      <c r="J19" s="12">
        <f t="shared" ref="J19:J21" si="7">IF(H$12=0,0,H19/H$12)</f>
        <v>0.47395680065917251</v>
      </c>
      <c r="K19" s="4"/>
      <c r="L19" s="4">
        <f t="shared" ref="L19:L21" si="8">+D19-H19</f>
        <v>-8053</v>
      </c>
      <c r="M19" s="4"/>
      <c r="N19" s="12">
        <f t="shared" ref="N19:N21" si="9">IF(H19=0,0,L19/H19)</f>
        <v>-1</v>
      </c>
      <c r="O19" s="10"/>
      <c r="P19" s="4">
        <f>SUM(OSRRefP16x_0)</f>
        <v>-613.59</v>
      </c>
      <c r="Q19" s="4"/>
      <c r="R19" s="12">
        <f t="shared" ref="R19:R21" si="10">IF(P$12=0,0,P19/P$12)</f>
        <v>0</v>
      </c>
      <c r="S19" s="4"/>
      <c r="T19" s="4">
        <f>SUM(OSRRefT16x_0)</f>
        <v>98416</v>
      </c>
      <c r="U19" s="4"/>
      <c r="V19" s="12">
        <f t="shared" ref="V19:V21" si="11">IF(T$12=0,0,T19/T$12)</f>
        <v>0.4739992968226982</v>
      </c>
      <c r="W19" s="4"/>
      <c r="X19" s="4">
        <f t="shared" ref="X19:X21" si="12">+P19-T19</f>
        <v>-99029.59</v>
      </c>
      <c r="Y19" s="4"/>
      <c r="Z19" s="12">
        <f t="shared" ref="Z19:Z21" si="13">IF(T19=0,0,X19/T19)</f>
        <v>-1.006234656966347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6"/>
        <v>0</v>
      </c>
      <c r="G20" s="2"/>
      <c r="H20" s="2">
        <v>8053</v>
      </c>
      <c r="I20" s="2"/>
      <c r="J20" s="19">
        <f t="shared" si="7"/>
        <v>0.47395680065917251</v>
      </c>
      <c r="K20" s="2"/>
      <c r="L20" s="2">
        <f t="shared" si="8"/>
        <v>-8053</v>
      </c>
      <c r="M20" s="2"/>
      <c r="N20" s="19">
        <f t="shared" si="9"/>
        <v>-1</v>
      </c>
      <c r="O20" s="11"/>
      <c r="P20" s="2"/>
      <c r="Q20" s="2"/>
      <c r="R20" s="19">
        <f t="shared" si="10"/>
        <v>0</v>
      </c>
      <c r="S20" s="2"/>
      <c r="T20" s="2">
        <v>98416</v>
      </c>
      <c r="U20" s="2"/>
      <c r="V20" s="19">
        <f t="shared" si="11"/>
        <v>0.4739992968226982</v>
      </c>
      <c r="W20" s="2"/>
      <c r="X20" s="2">
        <f t="shared" si="12"/>
        <v>-98416</v>
      </c>
      <c r="Y20" s="2"/>
      <c r="Z20" s="19">
        <f t="shared" si="13"/>
        <v>-1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/>
      <c r="E21" s="2"/>
      <c r="F21" s="19">
        <f t="shared" si="6"/>
        <v>0</v>
      </c>
      <c r="G21" s="2"/>
      <c r="H21" s="2"/>
      <c r="I21" s="2"/>
      <c r="J21" s="19">
        <f t="shared" si="7"/>
        <v>0</v>
      </c>
      <c r="K21" s="2"/>
      <c r="L21" s="2">
        <f t="shared" si="8"/>
        <v>0</v>
      </c>
      <c r="M21" s="2"/>
      <c r="N21" s="19">
        <f t="shared" si="9"/>
        <v>0</v>
      </c>
      <c r="O21" s="11"/>
      <c r="P21" s="2">
        <v>-613.59</v>
      </c>
      <c r="Q21" s="2"/>
      <c r="R21" s="19">
        <f t="shared" si="10"/>
        <v>0</v>
      </c>
      <c r="S21" s="2"/>
      <c r="T21" s="2"/>
      <c r="U21" s="2"/>
      <c r="V21" s="19">
        <f t="shared" si="11"/>
        <v>0</v>
      </c>
      <c r="W21" s="2"/>
      <c r="X21" s="2">
        <f t="shared" si="12"/>
        <v>-613.59</v>
      </c>
      <c r="Y21" s="2"/>
      <c r="Z21" s="19">
        <f t="shared" si="13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0">
        <f>D12-D19</f>
        <v>0</v>
      </c>
      <c r="E23" s="14"/>
      <c r="F23" s="21">
        <f>IF(D$12=0,0,D23/D$12)</f>
        <v>0</v>
      </c>
      <c r="G23" s="14"/>
      <c r="H23" s="20">
        <f>H12-H19</f>
        <v>8938</v>
      </c>
      <c r="I23" s="14"/>
      <c r="J23" s="21">
        <f>IF(H$12=0,0,H23/H$12)</f>
        <v>0.52604319934082755</v>
      </c>
      <c r="K23" s="15"/>
      <c r="L23" s="20">
        <f>+D23-H23</f>
        <v>-8938</v>
      </c>
      <c r="M23" s="15"/>
      <c r="N23" s="21">
        <f>IF(H23=0,0,L23/H23)</f>
        <v>-1</v>
      </c>
      <c r="O23" s="29"/>
      <c r="P23" s="20">
        <f>P12-P19</f>
        <v>613.59</v>
      </c>
      <c r="Q23" s="14"/>
      <c r="R23" s="21">
        <f>IF(P$12=0,0,P23/P$12)</f>
        <v>0</v>
      </c>
      <c r="S23" s="14"/>
      <c r="T23" s="20">
        <f>T12-T19</f>
        <v>109213</v>
      </c>
      <c r="U23" s="14"/>
      <c r="V23" s="21">
        <f>IF(T$12=0,0,T23/T$12)</f>
        <v>0.52600070317730185</v>
      </c>
      <c r="W23" s="15"/>
      <c r="X23" s="20">
        <f>+P23-T23</f>
        <v>-108599.41</v>
      </c>
      <c r="Y23" s="15"/>
      <c r="Z23" s="21">
        <f>IF(T23=0,0,X23/T23)</f>
        <v>-0.99438171279975829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2">
        <f>SUM(OSRRefD22x_0)</f>
        <v>83.2</v>
      </c>
      <c r="E25" s="22"/>
      <c r="F25" s="31">
        <f t="shared" ref="F25:F35" si="14">IF(D$12=0,0,D25/D$12)</f>
        <v>0</v>
      </c>
      <c r="G25" s="22"/>
      <c r="H25" s="22">
        <f>SUM(OSRRefH22x_0)</f>
        <v>17108.682393399999</v>
      </c>
      <c r="I25" s="22"/>
      <c r="J25" s="31">
        <f t="shared" ref="J25:J35" si="15">IF(H$12=0,0,H25/H$12)</f>
        <v>1.0069261605202753</v>
      </c>
      <c r="K25" s="4"/>
      <c r="L25" s="22">
        <f t="shared" ref="L25:L35" si="16">+D25-H25</f>
        <v>-17025.482393399998</v>
      </c>
      <c r="M25" s="4"/>
      <c r="N25" s="31">
        <f t="shared" ref="N25:N35" si="17">IF(H25=0,0,L25/H25)</f>
        <v>-0.995136972088973</v>
      </c>
      <c r="O25" s="10"/>
      <c r="P25" s="22">
        <f>SUM(OSRRefP22x_0)</f>
        <v>46834.159999999996</v>
      </c>
      <c r="Q25" s="22"/>
      <c r="R25" s="31">
        <f t="shared" ref="R25:R35" si="18">IF(P$12=0,0,P25/P$12)</f>
        <v>0</v>
      </c>
      <c r="S25" s="22"/>
      <c r="T25" s="22">
        <f>SUM(OSRRefT22x_0)</f>
        <v>188798.0837056</v>
      </c>
      <c r="U25" s="22"/>
      <c r="V25" s="31">
        <f t="shared" ref="V25:V35" si="19">IF(T$12=0,0,T25/T$12)</f>
        <v>0.9093049800634786</v>
      </c>
      <c r="W25" s="4"/>
      <c r="X25" s="22">
        <f t="shared" ref="X25:X35" si="20">+P25-T25</f>
        <v>-141963.9237056</v>
      </c>
      <c r="Y25" s="4"/>
      <c r="Z25" s="31">
        <f t="shared" ref="Z25:Z35" si="21">IF(T25=0,0,X25/T25)</f>
        <v>-0.75193519404026221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0</v>
      </c>
      <c r="E26" s="1"/>
      <c r="F26" s="5">
        <f t="shared" si="14"/>
        <v>0</v>
      </c>
      <c r="G26" s="1"/>
      <c r="H26" s="1">
        <f>SUM(OSRRefH22_0x_0)</f>
        <v>3792.1623933999999</v>
      </c>
      <c r="I26" s="1"/>
      <c r="J26" s="5">
        <f t="shared" si="15"/>
        <v>0.22318653365899593</v>
      </c>
      <c r="K26" s="1"/>
      <c r="L26" s="1">
        <f t="shared" si="16"/>
        <v>-3792.1623933999999</v>
      </c>
      <c r="M26" s="1"/>
      <c r="N26" s="5">
        <f t="shared" si="17"/>
        <v>-1</v>
      </c>
      <c r="O26" s="13"/>
      <c r="P26" s="1">
        <f>SUM(OSRRefP22_0x_0)</f>
        <v>21787.579999999998</v>
      </c>
      <c r="Q26" s="1"/>
      <c r="R26" s="5">
        <f t="shared" si="18"/>
        <v>0</v>
      </c>
      <c r="S26" s="1"/>
      <c r="T26" s="1">
        <f>SUM(OSRRefT22_0x_0)</f>
        <v>42119.203705599997</v>
      </c>
      <c r="U26" s="1"/>
      <c r="V26" s="5">
        <f t="shared" si="19"/>
        <v>0.20285800011366426</v>
      </c>
      <c r="W26" s="1"/>
      <c r="X26" s="1">
        <f t="shared" si="20"/>
        <v>-20331.623705599999</v>
      </c>
      <c r="Y26" s="1"/>
      <c r="Z26" s="5">
        <f t="shared" si="21"/>
        <v>-0.48271624144918934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/>
      <c r="E27" s="2"/>
      <c r="F27" s="6">
        <f t="shared" si="14"/>
        <v>0</v>
      </c>
      <c r="G27" s="2"/>
      <c r="H27" s="7">
        <v>633.46789139999998</v>
      </c>
      <c r="I27" s="2"/>
      <c r="J27" s="6">
        <f t="shared" si="15"/>
        <v>3.7282554964392915E-2</v>
      </c>
      <c r="K27" s="2"/>
      <c r="L27" s="7">
        <f t="shared" si="16"/>
        <v>-633.46789139999998</v>
      </c>
      <c r="M27" s="2"/>
      <c r="N27" s="6">
        <f t="shared" si="17"/>
        <v>-1</v>
      </c>
      <c r="O27" s="11"/>
      <c r="P27" s="7">
        <v>1924.35</v>
      </c>
      <c r="Q27" s="2"/>
      <c r="R27" s="6">
        <f t="shared" si="18"/>
        <v>0</v>
      </c>
      <c r="S27" s="2"/>
      <c r="T27" s="7">
        <v>6666.5221775999998</v>
      </c>
      <c r="U27" s="2"/>
      <c r="V27" s="6">
        <f t="shared" si="19"/>
        <v>3.2107856694392402E-2</v>
      </c>
      <c r="W27" s="2"/>
      <c r="X27" s="7">
        <f t="shared" si="20"/>
        <v>-4742.1721775999995</v>
      </c>
      <c r="Y27" s="2"/>
      <c r="Z27" s="6">
        <f t="shared" si="21"/>
        <v>-0.71134124379485952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/>
      <c r="E28" s="2"/>
      <c r="F28" s="6">
        <f t="shared" si="14"/>
        <v>0</v>
      </c>
      <c r="G28" s="2"/>
      <c r="H28" s="7">
        <v>216.31717</v>
      </c>
      <c r="I28" s="2"/>
      <c r="J28" s="6">
        <f t="shared" si="15"/>
        <v>1.2731279500912247E-2</v>
      </c>
      <c r="K28" s="2"/>
      <c r="L28" s="7">
        <f t="shared" si="16"/>
        <v>-216.31717</v>
      </c>
      <c r="M28" s="2"/>
      <c r="N28" s="6">
        <f t="shared" si="17"/>
        <v>-1</v>
      </c>
      <c r="O28" s="11"/>
      <c r="P28" s="7">
        <v>499.06</v>
      </c>
      <c r="Q28" s="2"/>
      <c r="R28" s="6">
        <f t="shared" si="18"/>
        <v>0</v>
      </c>
      <c r="S28" s="2"/>
      <c r="T28" s="7">
        <v>2335.7078799999999</v>
      </c>
      <c r="U28" s="2"/>
      <c r="V28" s="6">
        <f t="shared" si="19"/>
        <v>1.1249429896594406E-2</v>
      </c>
      <c r="W28" s="2"/>
      <c r="X28" s="7">
        <f t="shared" si="20"/>
        <v>-1836.64788</v>
      </c>
      <c r="Y28" s="2"/>
      <c r="Z28" s="6">
        <f t="shared" si="21"/>
        <v>-0.78633458221667685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4"/>
        <v>0</v>
      </c>
      <c r="G29" s="2"/>
      <c r="H29" s="7">
        <v>1980</v>
      </c>
      <c r="I29" s="2"/>
      <c r="J29" s="6">
        <f t="shared" si="15"/>
        <v>0.11653228179624507</v>
      </c>
      <c r="K29" s="2"/>
      <c r="L29" s="7">
        <f t="shared" si="16"/>
        <v>-1980</v>
      </c>
      <c r="M29" s="2"/>
      <c r="N29" s="6">
        <f t="shared" si="17"/>
        <v>-1</v>
      </c>
      <c r="O29" s="11"/>
      <c r="P29" s="7">
        <v>12083.19</v>
      </c>
      <c r="Q29" s="2"/>
      <c r="R29" s="6">
        <f t="shared" si="18"/>
        <v>0</v>
      </c>
      <c r="S29" s="2"/>
      <c r="T29" s="7">
        <v>21780</v>
      </c>
      <c r="U29" s="2"/>
      <c r="V29" s="6">
        <f t="shared" si="19"/>
        <v>0.10489864132659696</v>
      </c>
      <c r="W29" s="2"/>
      <c r="X29" s="7">
        <f t="shared" si="20"/>
        <v>-9696.81</v>
      </c>
      <c r="Y29" s="2"/>
      <c r="Z29" s="6">
        <f t="shared" si="21"/>
        <v>-0.44521625344352617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4"/>
        <v>0</v>
      </c>
      <c r="G30" s="2"/>
      <c r="H30" s="7">
        <v>30.401332</v>
      </c>
      <c r="I30" s="2"/>
      <c r="J30" s="6">
        <f t="shared" si="15"/>
        <v>1.7892609028309105E-3</v>
      </c>
      <c r="K30" s="2"/>
      <c r="L30" s="7">
        <f t="shared" si="16"/>
        <v>-30.401332</v>
      </c>
      <c r="M30" s="2"/>
      <c r="N30" s="6">
        <f t="shared" si="17"/>
        <v>-1</v>
      </c>
      <c r="O30" s="11"/>
      <c r="P30" s="7">
        <v>70.14</v>
      </c>
      <c r="Q30" s="2"/>
      <c r="R30" s="6">
        <f t="shared" si="18"/>
        <v>0</v>
      </c>
      <c r="S30" s="2"/>
      <c r="T30" s="7">
        <v>328.26164799999998</v>
      </c>
      <c r="U30" s="2"/>
      <c r="V30" s="6">
        <f t="shared" si="19"/>
        <v>1.581000958440295E-3</v>
      </c>
      <c r="W30" s="2"/>
      <c r="X30" s="7">
        <f t="shared" si="20"/>
        <v>-258.12164799999999</v>
      </c>
      <c r="Y30" s="2"/>
      <c r="Z30" s="6">
        <f t="shared" si="21"/>
        <v>-0.78632898351865954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4"/>
        <v>0</v>
      </c>
      <c r="G31" s="2"/>
      <c r="H31" s="7">
        <v>478.67599999999999</v>
      </c>
      <c r="I31" s="2"/>
      <c r="J31" s="6">
        <f t="shared" si="15"/>
        <v>2.817232652580778E-2</v>
      </c>
      <c r="K31" s="2"/>
      <c r="L31" s="7">
        <f t="shared" si="16"/>
        <v>-478.67599999999999</v>
      </c>
      <c r="M31" s="2"/>
      <c r="N31" s="6">
        <f t="shared" si="17"/>
        <v>-1</v>
      </c>
      <c r="O31" s="11"/>
      <c r="P31" s="7">
        <v>3490.92</v>
      </c>
      <c r="Q31" s="2"/>
      <c r="R31" s="6">
        <f t="shared" si="18"/>
        <v>0</v>
      </c>
      <c r="S31" s="2"/>
      <c r="T31" s="7">
        <v>5744.1120000000001</v>
      </c>
      <c r="U31" s="2"/>
      <c r="V31" s="6">
        <f t="shared" si="19"/>
        <v>2.766526833920117E-2</v>
      </c>
      <c r="W31" s="2"/>
      <c r="X31" s="7">
        <f t="shared" si="20"/>
        <v>-2253.192</v>
      </c>
      <c r="Y31" s="2"/>
      <c r="Z31" s="6">
        <f t="shared" si="21"/>
        <v>-0.39226115368224018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4"/>
        <v>0</v>
      </c>
      <c r="G32" s="2"/>
      <c r="H32" s="7">
        <v>0</v>
      </c>
      <c r="I32" s="2"/>
      <c r="J32" s="6">
        <f t="shared" si="15"/>
        <v>0</v>
      </c>
      <c r="K32" s="2"/>
      <c r="L32" s="7">
        <f t="shared" si="16"/>
        <v>0</v>
      </c>
      <c r="M32" s="2"/>
      <c r="N32" s="6">
        <f t="shared" si="17"/>
        <v>0</v>
      </c>
      <c r="O32" s="11"/>
      <c r="P32" s="7"/>
      <c r="Q32" s="2"/>
      <c r="R32" s="6">
        <f t="shared" si="18"/>
        <v>0</v>
      </c>
      <c r="S32" s="2"/>
      <c r="T32" s="7">
        <v>0</v>
      </c>
      <c r="U32" s="2"/>
      <c r="V32" s="6">
        <f t="shared" si="19"/>
        <v>0</v>
      </c>
      <c r="W32" s="2"/>
      <c r="X32" s="7">
        <f t="shared" si="20"/>
        <v>0</v>
      </c>
      <c r="Y32" s="2"/>
      <c r="Z32" s="6">
        <f t="shared" si="21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4"/>
        <v>0</v>
      </c>
      <c r="G33" s="2"/>
      <c r="H33" s="7">
        <v>166.98</v>
      </c>
      <c r="I33" s="2"/>
      <c r="J33" s="6">
        <f t="shared" si="15"/>
        <v>9.8275557648166666E-3</v>
      </c>
      <c r="K33" s="2"/>
      <c r="L33" s="7">
        <f t="shared" si="16"/>
        <v>-166.98</v>
      </c>
      <c r="M33" s="2"/>
      <c r="N33" s="6">
        <f t="shared" si="17"/>
        <v>-1</v>
      </c>
      <c r="O33" s="11"/>
      <c r="P33" s="7">
        <v>2035.3</v>
      </c>
      <c r="Q33" s="2"/>
      <c r="R33" s="6">
        <f t="shared" si="18"/>
        <v>0</v>
      </c>
      <c r="S33" s="2"/>
      <c r="T33" s="7">
        <v>2003.76</v>
      </c>
      <c r="U33" s="2"/>
      <c r="V33" s="6">
        <f t="shared" si="19"/>
        <v>9.6506750020469208E-3</v>
      </c>
      <c r="W33" s="2"/>
      <c r="X33" s="7">
        <f t="shared" si="20"/>
        <v>31.539999999999964</v>
      </c>
      <c r="Y33" s="2"/>
      <c r="Z33" s="6">
        <f t="shared" si="21"/>
        <v>1.5740408032898133E-2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4"/>
        <v>0</v>
      </c>
      <c r="G34" s="2"/>
      <c r="H34" s="7">
        <v>111.32</v>
      </c>
      <c r="I34" s="2"/>
      <c r="J34" s="6">
        <f t="shared" si="15"/>
        <v>6.551703843211111E-3</v>
      </c>
      <c r="K34" s="2"/>
      <c r="L34" s="7">
        <f t="shared" si="16"/>
        <v>-111.32</v>
      </c>
      <c r="M34" s="2"/>
      <c r="N34" s="6">
        <f t="shared" si="17"/>
        <v>-1</v>
      </c>
      <c r="O34" s="11"/>
      <c r="P34" s="7">
        <v>1283.8</v>
      </c>
      <c r="Q34" s="2"/>
      <c r="R34" s="6">
        <f t="shared" si="18"/>
        <v>0</v>
      </c>
      <c r="S34" s="2"/>
      <c r="T34" s="7">
        <v>1335.84</v>
      </c>
      <c r="U34" s="2"/>
      <c r="V34" s="6">
        <f t="shared" si="19"/>
        <v>6.4337833346979467E-3</v>
      </c>
      <c r="W34" s="2"/>
      <c r="X34" s="7">
        <f t="shared" si="20"/>
        <v>-52.039999999999964</v>
      </c>
      <c r="Y34" s="2"/>
      <c r="Z34" s="6">
        <f t="shared" si="21"/>
        <v>-3.8956761288777071E-2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7"/>
      <c r="E35" s="2"/>
      <c r="F35" s="6">
        <f t="shared" si="14"/>
        <v>0</v>
      </c>
      <c r="G35" s="2"/>
      <c r="H35" s="7">
        <v>175</v>
      </c>
      <c r="I35" s="2"/>
      <c r="J35" s="6">
        <f t="shared" si="15"/>
        <v>1.0299570360779236E-2</v>
      </c>
      <c r="K35" s="2"/>
      <c r="L35" s="7">
        <f t="shared" si="16"/>
        <v>-175</v>
      </c>
      <c r="M35" s="2"/>
      <c r="N35" s="6">
        <f t="shared" si="17"/>
        <v>-1</v>
      </c>
      <c r="O35" s="11"/>
      <c r="P35" s="7">
        <v>400.82</v>
      </c>
      <c r="Q35" s="2"/>
      <c r="R35" s="6">
        <f t="shared" si="18"/>
        <v>0</v>
      </c>
      <c r="S35" s="2"/>
      <c r="T35" s="7">
        <v>1925</v>
      </c>
      <c r="U35" s="2"/>
      <c r="V35" s="6">
        <f t="shared" si="19"/>
        <v>9.2713445616941764E-3</v>
      </c>
      <c r="W35" s="2"/>
      <c r="X35" s="7">
        <f t="shared" si="20"/>
        <v>-1524.18</v>
      </c>
      <c r="Y35" s="2"/>
      <c r="Z35" s="6">
        <f t="shared" si="21"/>
        <v>-0.79178181818181825</v>
      </c>
    </row>
    <row r="36" spans="1:26" s="27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0</v>
      </c>
      <c r="E36" s="1"/>
      <c r="F36" s="5">
        <f t="shared" ref="F36:F46" si="22">IF(D$12=0,0,D36/D$12)</f>
        <v>0</v>
      </c>
      <c r="G36" s="1"/>
      <c r="H36" s="1">
        <f>SUM(OSRRefH22_1x_0)</f>
        <v>11414.52</v>
      </c>
      <c r="I36" s="1"/>
      <c r="J36" s="5">
        <f t="shared" ref="J36:J46" si="23">IF(H$12=0,0,H36/H$12)</f>
        <v>0.67179801071155321</v>
      </c>
      <c r="K36" s="1"/>
      <c r="L36" s="1">
        <f t="shared" ref="L36:L46" si="24">+D36-H36</f>
        <v>-11414.52</v>
      </c>
      <c r="M36" s="1"/>
      <c r="N36" s="5">
        <f t="shared" ref="N36:N46" si="25">IF(H36=0,0,L36/H36)</f>
        <v>-1</v>
      </c>
      <c r="O36" s="13"/>
      <c r="P36" s="1">
        <f>SUM(OSRRefP22_1x_0)</f>
        <v>23136.42</v>
      </c>
      <c r="Q36" s="1"/>
      <c r="R36" s="5">
        <f t="shared" ref="R36:R46" si="26">IF(P$12=0,0,P36/P$12)</f>
        <v>0</v>
      </c>
      <c r="S36" s="1"/>
      <c r="T36" s="1">
        <f>SUM(OSRRefT22_1x_0)</f>
        <v>122914.88</v>
      </c>
      <c r="U36" s="1"/>
      <c r="V36" s="5">
        <f t="shared" ref="V36:V46" si="27">IF(T$12=0,0,T36/T$12)</f>
        <v>0.5919928333710609</v>
      </c>
      <c r="W36" s="1"/>
      <c r="X36" s="1">
        <f t="shared" ref="X36:X46" si="28">+P36-T36</f>
        <v>-99778.46</v>
      </c>
      <c r="Y36" s="1"/>
      <c r="Z36" s="5">
        <f t="shared" ref="Z36:Z46" si="29">IF(T36=0,0,X36/T36)</f>
        <v>-0.81176876225238148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2"/>
        <v>0</v>
      </c>
      <c r="G37" s="2"/>
      <c r="H37" s="7">
        <v>5287.7</v>
      </c>
      <c r="I37" s="2"/>
      <c r="J37" s="6">
        <f t="shared" si="23"/>
        <v>0.31120593255252782</v>
      </c>
      <c r="K37" s="2"/>
      <c r="L37" s="7">
        <f t="shared" si="24"/>
        <v>-5287.7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63452.4</v>
      </c>
      <c r="U37" s="2"/>
      <c r="V37" s="6">
        <f t="shared" si="27"/>
        <v>0.30560470839815246</v>
      </c>
      <c r="W37" s="2"/>
      <c r="X37" s="7">
        <f t="shared" si="28"/>
        <v>-63452.4</v>
      </c>
      <c r="Y37" s="2"/>
      <c r="Z37" s="6">
        <f t="shared" si="29"/>
        <v>-1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>
        <v>23136.42</v>
      </c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23136.42</v>
      </c>
      <c r="Y38" s="2"/>
      <c r="Z38" s="6">
        <f t="shared" si="29"/>
        <v>0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2"/>
        <v>0</v>
      </c>
      <c r="G40" s="2"/>
      <c r="H40" s="7">
        <v>2711.38</v>
      </c>
      <c r="I40" s="2"/>
      <c r="J40" s="6">
        <f t="shared" si="23"/>
        <v>0.15957742334176916</v>
      </c>
      <c r="K40" s="2"/>
      <c r="L40" s="7">
        <f t="shared" si="24"/>
        <v>-2711.38</v>
      </c>
      <c r="M40" s="2"/>
      <c r="N40" s="6">
        <f t="shared" si="25"/>
        <v>-1</v>
      </c>
      <c r="O40" s="11"/>
      <c r="P40" s="7"/>
      <c r="Q40" s="2"/>
      <c r="R40" s="6">
        <f t="shared" si="26"/>
        <v>0</v>
      </c>
      <c r="S40" s="2"/>
      <c r="T40" s="7">
        <v>20317.919999999998</v>
      </c>
      <c r="U40" s="2"/>
      <c r="V40" s="6">
        <f t="shared" si="27"/>
        <v>9.7856850439967433E-2</v>
      </c>
      <c r="W40" s="2"/>
      <c r="X40" s="7">
        <f t="shared" si="28"/>
        <v>-20317.919999999998</v>
      </c>
      <c r="Y40" s="2"/>
      <c r="Z40" s="6">
        <f t="shared" si="29"/>
        <v>-1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2"/>
        <v>0</v>
      </c>
      <c r="G41" s="2"/>
      <c r="H41" s="7">
        <v>734.02</v>
      </c>
      <c r="I41" s="2"/>
      <c r="J41" s="6">
        <f t="shared" si="23"/>
        <v>4.3200517921252429E-2</v>
      </c>
      <c r="K41" s="2"/>
      <c r="L41" s="7">
        <f t="shared" si="24"/>
        <v>-734.02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24164.560000000001</v>
      </c>
      <c r="U41" s="2"/>
      <c r="V41" s="6">
        <f t="shared" si="27"/>
        <v>0.11638335685284812</v>
      </c>
      <c r="W41" s="2"/>
      <c r="X41" s="7">
        <f t="shared" si="28"/>
        <v>-24164.560000000001</v>
      </c>
      <c r="Y41" s="2"/>
      <c r="Z41" s="6">
        <f t="shared" si="29"/>
        <v>-1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2"/>
        <v>0</v>
      </c>
      <c r="G44" s="2"/>
      <c r="H44" s="7">
        <v>2681.42</v>
      </c>
      <c r="I44" s="2"/>
      <c r="J44" s="6">
        <f t="shared" si="23"/>
        <v>0.15781413689600376</v>
      </c>
      <c r="K44" s="2"/>
      <c r="L44" s="7">
        <f t="shared" si="24"/>
        <v>-2681.42</v>
      </c>
      <c r="M44" s="2"/>
      <c r="N44" s="6">
        <f t="shared" si="25"/>
        <v>-1</v>
      </c>
      <c r="O44" s="11"/>
      <c r="P44" s="7"/>
      <c r="Q44" s="2"/>
      <c r="R44" s="6">
        <f t="shared" si="26"/>
        <v>0</v>
      </c>
      <c r="S44" s="2"/>
      <c r="T44" s="7">
        <v>14980</v>
      </c>
      <c r="U44" s="2"/>
      <c r="V44" s="6">
        <f t="shared" si="27"/>
        <v>7.2147917680092863E-2</v>
      </c>
      <c r="W44" s="2"/>
      <c r="X44" s="7">
        <f t="shared" si="28"/>
        <v>-14980</v>
      </c>
      <c r="Y44" s="2"/>
      <c r="Z44" s="6">
        <f t="shared" si="29"/>
        <v>-1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2"/>
        <v>0</v>
      </c>
      <c r="G45" s="2"/>
      <c r="H45" s="7">
        <v>0</v>
      </c>
      <c r="I45" s="2"/>
      <c r="J45" s="6">
        <f t="shared" si="23"/>
        <v>0</v>
      </c>
      <c r="K45" s="2"/>
      <c r="L45" s="7">
        <f t="shared" si="24"/>
        <v>0</v>
      </c>
      <c r="M45" s="2"/>
      <c r="N45" s="6">
        <f t="shared" si="25"/>
        <v>0</v>
      </c>
      <c r="O45" s="11"/>
      <c r="P45" s="7"/>
      <c r="Q45" s="2"/>
      <c r="R45" s="6">
        <f t="shared" si="26"/>
        <v>0</v>
      </c>
      <c r="S45" s="2"/>
      <c r="T45" s="7">
        <v>0</v>
      </c>
      <c r="U45" s="2"/>
      <c r="V45" s="6">
        <f t="shared" si="27"/>
        <v>0</v>
      </c>
      <c r="W45" s="2"/>
      <c r="X45" s="7">
        <f t="shared" si="28"/>
        <v>0</v>
      </c>
      <c r="Y45" s="2"/>
      <c r="Z45" s="6">
        <f t="shared" si="29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2"/>
        <v>0</v>
      </c>
      <c r="G46" s="2"/>
      <c r="H46" s="7">
        <v>0</v>
      </c>
      <c r="I46" s="2"/>
      <c r="J46" s="6">
        <f t="shared" si="23"/>
        <v>0</v>
      </c>
      <c r="K46" s="2"/>
      <c r="L46" s="7">
        <f t="shared" si="24"/>
        <v>0</v>
      </c>
      <c r="M46" s="2"/>
      <c r="N46" s="6">
        <f t="shared" si="25"/>
        <v>0</v>
      </c>
      <c r="O46" s="11"/>
      <c r="P46" s="7"/>
      <c r="Q46" s="2"/>
      <c r="R46" s="6">
        <f t="shared" si="26"/>
        <v>0</v>
      </c>
      <c r="S46" s="2"/>
      <c r="T46" s="7">
        <v>0</v>
      </c>
      <c r="U46" s="2"/>
      <c r="V46" s="6">
        <f t="shared" si="27"/>
        <v>0</v>
      </c>
      <c r="W46" s="2"/>
      <c r="X46" s="7">
        <f t="shared" si="28"/>
        <v>0</v>
      </c>
      <c r="Y46" s="2"/>
      <c r="Z46" s="6">
        <f t="shared" si="29"/>
        <v>0</v>
      </c>
    </row>
    <row r="47" spans="1:26" s="27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57" si="30">IF(D$12=0,0,D47/D$12)</f>
        <v>0</v>
      </c>
      <c r="G47" s="1"/>
      <c r="H47" s="1">
        <f>SUM(OSRRefH22_2x_0)</f>
        <v>100</v>
      </c>
      <c r="I47" s="1"/>
      <c r="J47" s="5">
        <f t="shared" ref="J47:J57" si="31">IF(H$12=0,0,H47/H$12)</f>
        <v>5.885468777588135E-3</v>
      </c>
      <c r="K47" s="1"/>
      <c r="L47" s="1">
        <f t="shared" ref="L47:L57" si="32">+D47-H47</f>
        <v>-100</v>
      </c>
      <c r="M47" s="1"/>
      <c r="N47" s="5">
        <f t="shared" ref="N47:N57" si="33">IF(H47=0,0,L47/H47)</f>
        <v>-1</v>
      </c>
      <c r="O47" s="13"/>
      <c r="P47" s="1">
        <f>SUM(OSRRefP22_2x_0)</f>
        <v>0</v>
      </c>
      <c r="Q47" s="1"/>
      <c r="R47" s="5">
        <f t="shared" ref="R47:R57" si="34">IF(P$12=0,0,P47/P$12)</f>
        <v>0</v>
      </c>
      <c r="S47" s="1"/>
      <c r="T47" s="1">
        <f>SUM(OSRRefT22_2x_0)</f>
        <v>1100</v>
      </c>
      <c r="U47" s="1"/>
      <c r="V47" s="5">
        <f t="shared" ref="V47:V57" si="35">IF(T$12=0,0,T47/T$12)</f>
        <v>5.2979111781109572E-3</v>
      </c>
      <c r="W47" s="1"/>
      <c r="X47" s="1">
        <f t="shared" ref="X47:X57" si="36">+P47-T47</f>
        <v>-1100</v>
      </c>
      <c r="Y47" s="1"/>
      <c r="Z47" s="5">
        <f t="shared" ref="Z47:Z57" si="37">IF(T47=0,0,X47/T47)</f>
        <v>-1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7"/>
      <c r="E48" s="2"/>
      <c r="F48" s="6">
        <f t="shared" si="30"/>
        <v>0</v>
      </c>
      <c r="G48" s="2"/>
      <c r="H48" s="7">
        <v>100</v>
      </c>
      <c r="I48" s="2"/>
      <c r="J48" s="6">
        <f t="shared" si="31"/>
        <v>5.885468777588135E-3</v>
      </c>
      <c r="K48" s="2"/>
      <c r="L48" s="7">
        <f t="shared" si="32"/>
        <v>-100</v>
      </c>
      <c r="M48" s="2"/>
      <c r="N48" s="6">
        <f t="shared" si="33"/>
        <v>-1</v>
      </c>
      <c r="O48" s="11"/>
      <c r="P48" s="7"/>
      <c r="Q48" s="2"/>
      <c r="R48" s="6">
        <f t="shared" si="34"/>
        <v>0</v>
      </c>
      <c r="S48" s="2"/>
      <c r="T48" s="7">
        <v>1100</v>
      </c>
      <c r="U48" s="2"/>
      <c r="V48" s="6">
        <f t="shared" si="35"/>
        <v>5.2979111781109572E-3</v>
      </c>
      <c r="W48" s="2"/>
      <c r="X48" s="7">
        <f t="shared" si="36"/>
        <v>-1100</v>
      </c>
      <c r="Y48" s="2"/>
      <c r="Z48" s="6">
        <f t="shared" si="37"/>
        <v>-1</v>
      </c>
    </row>
    <row r="49" spans="1:26" s="27" customFormat="1" outlineLevel="1" collapsed="1" x14ac:dyDescent="0.25">
      <c r="A49" s="26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SUM(OSRRefD22_3x_0)</f>
        <v>0</v>
      </c>
      <c r="E49" s="1"/>
      <c r="F49" s="5">
        <f t="shared" si="30"/>
        <v>0</v>
      </c>
      <c r="G49" s="1"/>
      <c r="H49" s="1">
        <f>SUM(OSRRefH22_3x_0)</f>
        <v>1074</v>
      </c>
      <c r="I49" s="1"/>
      <c r="J49" s="5">
        <f t="shared" si="31"/>
        <v>6.3209934671296569E-2</v>
      </c>
      <c r="K49" s="1"/>
      <c r="L49" s="1">
        <f t="shared" si="32"/>
        <v>-1074</v>
      </c>
      <c r="M49" s="1"/>
      <c r="N49" s="5">
        <f t="shared" si="33"/>
        <v>-1</v>
      </c>
      <c r="O49" s="13"/>
      <c r="P49" s="1">
        <f>SUM(OSRRefP22_3x_0)</f>
        <v>240</v>
      </c>
      <c r="Q49" s="1"/>
      <c r="R49" s="5">
        <f t="shared" si="34"/>
        <v>0</v>
      </c>
      <c r="S49" s="1"/>
      <c r="T49" s="1">
        <f>SUM(OSRRefT22_3x_0)</f>
        <v>13021</v>
      </c>
      <c r="U49" s="1"/>
      <c r="V49" s="5">
        <f t="shared" si="35"/>
        <v>6.2712819500166161E-2</v>
      </c>
      <c r="W49" s="1"/>
      <c r="X49" s="1">
        <f t="shared" si="36"/>
        <v>-12781</v>
      </c>
      <c r="Y49" s="1"/>
      <c r="Z49" s="5">
        <f t="shared" si="37"/>
        <v>-0.98156823592658016</v>
      </c>
    </row>
    <row r="50" spans="1:26" s="24" customFormat="1" hidden="1" outlineLevel="2" x14ac:dyDescent="0.25">
      <c r="A50" s="25"/>
      <c r="B50" s="11" t="str">
        <f>CONCATENATE("          ", "6381", " - ", "BANK/CREDIT CARD FEES")</f>
        <v xml:space="preserve">          6381 - BANK/CREDIT CARD FEES</v>
      </c>
      <c r="C50" s="11"/>
      <c r="D50" s="7"/>
      <c r="E50" s="2"/>
      <c r="F50" s="6">
        <f t="shared" si="30"/>
        <v>0</v>
      </c>
      <c r="G50" s="2"/>
      <c r="H50" s="7">
        <v>1074</v>
      </c>
      <c r="I50" s="2"/>
      <c r="J50" s="6">
        <f t="shared" si="31"/>
        <v>6.3209934671296569E-2</v>
      </c>
      <c r="K50" s="2"/>
      <c r="L50" s="7">
        <f t="shared" si="32"/>
        <v>-1074</v>
      </c>
      <c r="M50" s="2"/>
      <c r="N50" s="6">
        <f t="shared" si="33"/>
        <v>-1</v>
      </c>
      <c r="O50" s="11"/>
      <c r="P50" s="7">
        <v>240</v>
      </c>
      <c r="Q50" s="2"/>
      <c r="R50" s="6">
        <f t="shared" si="34"/>
        <v>0</v>
      </c>
      <c r="S50" s="2"/>
      <c r="T50" s="7">
        <v>13021</v>
      </c>
      <c r="U50" s="2"/>
      <c r="V50" s="6">
        <f t="shared" si="35"/>
        <v>6.2712819500166161E-2</v>
      </c>
      <c r="W50" s="2"/>
      <c r="X50" s="7">
        <f t="shared" si="36"/>
        <v>-12781</v>
      </c>
      <c r="Y50" s="2"/>
      <c r="Z50" s="6">
        <f t="shared" si="37"/>
        <v>-0.98156823592658016</v>
      </c>
    </row>
    <row r="51" spans="1:26" s="27" customFormat="1" outlineLevel="1" collapsed="1" x14ac:dyDescent="0.25">
      <c r="A51" s="26"/>
      <c r="B51" s="13" t="str">
        <f>CONCATENATE("     ","Freight out/Postage                               ")</f>
        <v xml:space="preserve">     Freight out/Postage                               </v>
      </c>
      <c r="C51" s="13"/>
      <c r="D51" s="1">
        <f>SUM(OSRRefD22_4x_0)</f>
        <v>0</v>
      </c>
      <c r="E51" s="1"/>
      <c r="F51" s="5">
        <f t="shared" si="30"/>
        <v>0</v>
      </c>
      <c r="G51" s="1"/>
      <c r="H51" s="1">
        <f>SUM(OSRRefH22_4x_0)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3"/>
      <c r="P51" s="1">
        <f>SUM(OSRRefP22_4x_0)</f>
        <v>280.10000000000002</v>
      </c>
      <c r="Q51" s="1"/>
      <c r="R51" s="5">
        <f t="shared" si="34"/>
        <v>0</v>
      </c>
      <c r="S51" s="1"/>
      <c r="T51" s="1">
        <f>SUM(OSRRefT22_4x_0)</f>
        <v>0</v>
      </c>
      <c r="U51" s="1"/>
      <c r="V51" s="5">
        <f t="shared" si="35"/>
        <v>0</v>
      </c>
      <c r="W51" s="1"/>
      <c r="X51" s="1">
        <f t="shared" si="36"/>
        <v>280.10000000000002</v>
      </c>
      <c r="Y51" s="1"/>
      <c r="Z51" s="5">
        <f t="shared" si="37"/>
        <v>0</v>
      </c>
    </row>
    <row r="52" spans="1:26" s="24" customFormat="1" hidden="1" outlineLevel="2" x14ac:dyDescent="0.25">
      <c r="A52" s="25"/>
      <c r="B52" s="11" t="str">
        <f>CONCATENATE("          ", "6305", " - ", "FREIGHT OUT")</f>
        <v xml:space="preserve">          6305 - FREIGHT OUT</v>
      </c>
      <c r="C52" s="11"/>
      <c r="D52" s="7"/>
      <c r="E52" s="2"/>
      <c r="F52" s="6">
        <f t="shared" si="30"/>
        <v>0</v>
      </c>
      <c r="G52" s="2"/>
      <c r="H52" s="7"/>
      <c r="I52" s="2"/>
      <c r="J52" s="6">
        <f t="shared" si="31"/>
        <v>0</v>
      </c>
      <c r="K52" s="2"/>
      <c r="L52" s="7">
        <f t="shared" si="32"/>
        <v>0</v>
      </c>
      <c r="M52" s="2"/>
      <c r="N52" s="6">
        <f t="shared" si="33"/>
        <v>0</v>
      </c>
      <c r="O52" s="11"/>
      <c r="P52" s="7">
        <v>280.10000000000002</v>
      </c>
      <c r="Q52" s="2"/>
      <c r="R52" s="6">
        <f t="shared" si="34"/>
        <v>0</v>
      </c>
      <c r="S52" s="2"/>
      <c r="T52" s="7"/>
      <c r="U52" s="2"/>
      <c r="V52" s="6">
        <f t="shared" si="35"/>
        <v>0</v>
      </c>
      <c r="W52" s="2"/>
      <c r="X52" s="7">
        <f t="shared" si="36"/>
        <v>280.10000000000002</v>
      </c>
      <c r="Y52" s="2"/>
      <c r="Z52" s="6">
        <f t="shared" si="37"/>
        <v>0</v>
      </c>
    </row>
    <row r="53" spans="1:26" s="27" customFormat="1" outlineLevel="1" collapsed="1" x14ac:dyDescent="0.25">
      <c r="A53" s="26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SUM(OSRRefD22_5x_0)</f>
        <v>0</v>
      </c>
      <c r="E53" s="1"/>
      <c r="F53" s="5">
        <f t="shared" si="30"/>
        <v>0</v>
      </c>
      <c r="G53" s="1"/>
      <c r="H53" s="1">
        <f>SUM(OSRRefH22_5x_0)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3"/>
      <c r="P53" s="1">
        <f>SUM(OSRRefP22_5x_0)</f>
        <v>160</v>
      </c>
      <c r="Q53" s="1"/>
      <c r="R53" s="5">
        <f t="shared" si="34"/>
        <v>0</v>
      </c>
      <c r="S53" s="1"/>
      <c r="T53" s="1">
        <f>SUM(OSRRefT22_5x_0)</f>
        <v>1350</v>
      </c>
      <c r="U53" s="1"/>
      <c r="V53" s="5">
        <f t="shared" si="35"/>
        <v>6.5019819004089024E-3</v>
      </c>
      <c r="W53" s="1"/>
      <c r="X53" s="1">
        <f t="shared" si="36"/>
        <v>-1190</v>
      </c>
      <c r="Y53" s="1"/>
      <c r="Z53" s="5">
        <f t="shared" si="37"/>
        <v>-0.88148148148148153</v>
      </c>
    </row>
    <row r="54" spans="1:26" s="24" customFormat="1" hidden="1" outlineLevel="2" x14ac:dyDescent="0.25">
      <c r="A54" s="25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0"/>
        <v>0</v>
      </c>
      <c r="G54" s="2"/>
      <c r="H54" s="7"/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>
        <v>160</v>
      </c>
      <c r="Q54" s="2"/>
      <c r="R54" s="6">
        <f t="shared" si="34"/>
        <v>0</v>
      </c>
      <c r="S54" s="2"/>
      <c r="T54" s="7">
        <v>1350</v>
      </c>
      <c r="U54" s="2"/>
      <c r="V54" s="6">
        <f t="shared" si="35"/>
        <v>6.5019819004089024E-3</v>
      </c>
      <c r="W54" s="2"/>
      <c r="X54" s="7">
        <f t="shared" si="36"/>
        <v>-1190</v>
      </c>
      <c r="Y54" s="2"/>
      <c r="Z54" s="6">
        <f t="shared" si="37"/>
        <v>-0.88148148148148153</v>
      </c>
    </row>
    <row r="55" spans="1:26" s="27" customFormat="1" outlineLevel="1" collapsed="1" x14ac:dyDescent="0.25">
      <c r="A55" s="26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SUM(OSRRefD22_6x_0)</f>
        <v>0</v>
      </c>
      <c r="E55" s="1"/>
      <c r="F55" s="5">
        <f t="shared" si="30"/>
        <v>0</v>
      </c>
      <c r="G55" s="1"/>
      <c r="H55" s="1">
        <f>SUM(OSRRefH22_6x_0)</f>
        <v>35</v>
      </c>
      <c r="I55" s="1"/>
      <c r="J55" s="5">
        <f t="shared" si="31"/>
        <v>2.0599140721558472E-3</v>
      </c>
      <c r="K55" s="1"/>
      <c r="L55" s="1">
        <f t="shared" si="32"/>
        <v>-35</v>
      </c>
      <c r="M55" s="1"/>
      <c r="N55" s="5">
        <f t="shared" si="33"/>
        <v>-1</v>
      </c>
      <c r="O55" s="13"/>
      <c r="P55" s="1">
        <f>SUM(OSRRefP22_6x_0)</f>
        <v>72.36</v>
      </c>
      <c r="Q55" s="1"/>
      <c r="R55" s="5">
        <f t="shared" si="34"/>
        <v>0</v>
      </c>
      <c r="S55" s="1"/>
      <c r="T55" s="1">
        <f>SUM(OSRRefT22_6x_0)</f>
        <v>350</v>
      </c>
      <c r="U55" s="1"/>
      <c r="V55" s="5">
        <f t="shared" si="35"/>
        <v>1.6856990112171229E-3</v>
      </c>
      <c r="W55" s="1"/>
      <c r="X55" s="1">
        <f t="shared" si="36"/>
        <v>-277.64</v>
      </c>
      <c r="Y55" s="1"/>
      <c r="Z55" s="5">
        <f t="shared" si="37"/>
        <v>-0.79325714285714277</v>
      </c>
    </row>
    <row r="56" spans="1:26" s="24" customFormat="1" hidden="1" outlineLevel="2" x14ac:dyDescent="0.25">
      <c r="A56" s="25"/>
      <c r="B56" s="11" t="str">
        <f>CONCATENATE("          ", "6373", " - ", "MAINTENANCE CONTRACTS")</f>
        <v xml:space="preserve">          6373 - MAINTENANCE CONTRACTS</v>
      </c>
      <c r="C56" s="11"/>
      <c r="D56" s="7"/>
      <c r="E56" s="2"/>
      <c r="F56" s="6">
        <f t="shared" si="30"/>
        <v>0</v>
      </c>
      <c r="G56" s="2"/>
      <c r="H56" s="7"/>
      <c r="I56" s="2"/>
      <c r="J56" s="6">
        <f t="shared" si="31"/>
        <v>0</v>
      </c>
      <c r="K56" s="2"/>
      <c r="L56" s="7">
        <f t="shared" si="32"/>
        <v>0</v>
      </c>
      <c r="M56" s="2"/>
      <c r="N56" s="6">
        <f t="shared" si="33"/>
        <v>0</v>
      </c>
      <c r="O56" s="11"/>
      <c r="P56" s="7">
        <v>72.36</v>
      </c>
      <c r="Q56" s="2"/>
      <c r="R56" s="6">
        <f t="shared" si="34"/>
        <v>0</v>
      </c>
      <c r="S56" s="2"/>
      <c r="T56" s="7"/>
      <c r="U56" s="2"/>
      <c r="V56" s="6">
        <f t="shared" si="35"/>
        <v>0</v>
      </c>
      <c r="W56" s="2"/>
      <c r="X56" s="7">
        <f t="shared" si="36"/>
        <v>72.36</v>
      </c>
      <c r="Y56" s="2"/>
      <c r="Z56" s="6">
        <f t="shared" si="37"/>
        <v>0</v>
      </c>
    </row>
    <row r="57" spans="1:26" s="24" customFormat="1" hidden="1" outlineLevel="2" x14ac:dyDescent="0.25">
      <c r="A57" s="25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30"/>
        <v>0</v>
      </c>
      <c r="G57" s="2"/>
      <c r="H57" s="7">
        <v>35</v>
      </c>
      <c r="I57" s="2"/>
      <c r="J57" s="6">
        <f t="shared" si="31"/>
        <v>2.0599140721558472E-3</v>
      </c>
      <c r="K57" s="2"/>
      <c r="L57" s="7">
        <f t="shared" si="32"/>
        <v>-35</v>
      </c>
      <c r="M57" s="2"/>
      <c r="N57" s="6">
        <f t="shared" si="33"/>
        <v>-1</v>
      </c>
      <c r="O57" s="11"/>
      <c r="P57" s="7"/>
      <c r="Q57" s="2"/>
      <c r="R57" s="6">
        <f t="shared" si="34"/>
        <v>0</v>
      </c>
      <c r="S57" s="2"/>
      <c r="T57" s="7">
        <v>350</v>
      </c>
      <c r="U57" s="2"/>
      <c r="V57" s="6">
        <f t="shared" si="35"/>
        <v>1.6856990112171229E-3</v>
      </c>
      <c r="W57" s="2"/>
      <c r="X57" s="7">
        <f t="shared" si="36"/>
        <v>-350</v>
      </c>
      <c r="Y57" s="2"/>
      <c r="Z57" s="6">
        <f t="shared" si="37"/>
        <v>-1</v>
      </c>
    </row>
    <row r="58" spans="1:26" s="27" customFormat="1" outlineLevel="1" collapsed="1" x14ac:dyDescent="0.25">
      <c r="A58" s="26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SUM(OSRRefD22_7x_0)</f>
        <v>0</v>
      </c>
      <c r="E58" s="1"/>
      <c r="F58" s="5">
        <f t="shared" ref="F58:F63" si="38">IF(D$12=0,0,D58/D$12)</f>
        <v>0</v>
      </c>
      <c r="G58" s="1"/>
      <c r="H58" s="1">
        <f>SUM(OSRRefH22_7x_0)</f>
        <v>163</v>
      </c>
      <c r="I58" s="1"/>
      <c r="J58" s="5">
        <f t="shared" ref="J58:J63" si="39">IF(H$12=0,0,H58/H$12)</f>
        <v>9.5933141074686593E-3</v>
      </c>
      <c r="K58" s="1"/>
      <c r="L58" s="1">
        <f t="shared" ref="L58:L63" si="40">+D58-H58</f>
        <v>-163</v>
      </c>
      <c r="M58" s="1"/>
      <c r="N58" s="5">
        <f t="shared" ref="N58:N63" si="41">IF(H58=0,0,L58/H58)</f>
        <v>-1</v>
      </c>
      <c r="O58" s="13"/>
      <c r="P58" s="1">
        <f>SUM(OSRRefP22_7x_0)</f>
        <v>0</v>
      </c>
      <c r="Q58" s="1"/>
      <c r="R58" s="5">
        <f t="shared" ref="R58:R63" si="42">IF(P$12=0,0,P58/P$12)</f>
        <v>0</v>
      </c>
      <c r="S58" s="1"/>
      <c r="T58" s="1">
        <f>SUM(OSRRefT22_7x_0)</f>
        <v>1793</v>
      </c>
      <c r="U58" s="1"/>
      <c r="V58" s="5">
        <f t="shared" ref="V58:V63" si="43">IF(T$12=0,0,T58/T$12)</f>
        <v>8.6355952203208616E-3</v>
      </c>
      <c r="W58" s="1"/>
      <c r="X58" s="1">
        <f t="shared" ref="X58:X63" si="44">+P58-T58</f>
        <v>-1793</v>
      </c>
      <c r="Y58" s="1"/>
      <c r="Z58" s="5">
        <f t="shared" ref="Z58:Z63" si="45">IF(T58=0,0,X58/T58)</f>
        <v>-1</v>
      </c>
    </row>
    <row r="59" spans="1:26" s="24" customFormat="1" hidden="1" outlineLevel="2" x14ac:dyDescent="0.25">
      <c r="A59" s="25"/>
      <c r="B59" s="11" t="str">
        <f>CONCATENATE("          ", "6285", " - ", "JANITORIAL SERVICES")</f>
        <v xml:space="preserve">          6285 - JANITORIAL SERVICES</v>
      </c>
      <c r="C59" s="11"/>
      <c r="D59" s="7"/>
      <c r="E59" s="2"/>
      <c r="F59" s="6">
        <f t="shared" si="38"/>
        <v>0</v>
      </c>
      <c r="G59" s="2"/>
      <c r="H59" s="7">
        <v>163</v>
      </c>
      <c r="I59" s="2"/>
      <c r="J59" s="6">
        <f t="shared" si="39"/>
        <v>9.5933141074686593E-3</v>
      </c>
      <c r="K59" s="2"/>
      <c r="L59" s="7">
        <f t="shared" si="40"/>
        <v>-163</v>
      </c>
      <c r="M59" s="2"/>
      <c r="N59" s="6">
        <f t="shared" si="41"/>
        <v>-1</v>
      </c>
      <c r="O59" s="11"/>
      <c r="P59" s="7"/>
      <c r="Q59" s="2"/>
      <c r="R59" s="6">
        <f t="shared" si="42"/>
        <v>0</v>
      </c>
      <c r="S59" s="2"/>
      <c r="T59" s="7">
        <v>1793</v>
      </c>
      <c r="U59" s="2"/>
      <c r="V59" s="6">
        <f t="shared" si="43"/>
        <v>8.6355952203208616E-3</v>
      </c>
      <c r="W59" s="2"/>
      <c r="X59" s="7">
        <f t="shared" si="44"/>
        <v>-1793</v>
      </c>
      <c r="Y59" s="2"/>
      <c r="Z59" s="6">
        <f t="shared" si="45"/>
        <v>-1</v>
      </c>
    </row>
    <row r="60" spans="1:26" s="27" customFormat="1" outlineLevel="1" collapsed="1" x14ac:dyDescent="0.25">
      <c r="A60" s="26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SUM(OSRRefD22_8x_0)</f>
        <v>0</v>
      </c>
      <c r="E60" s="1"/>
      <c r="F60" s="5">
        <f t="shared" si="38"/>
        <v>0</v>
      </c>
      <c r="G60" s="1"/>
      <c r="H60" s="1">
        <f>SUM(OSRRefH22_8x_0)</f>
        <v>410</v>
      </c>
      <c r="I60" s="1"/>
      <c r="J60" s="5">
        <f t="shared" si="39"/>
        <v>2.4130421988111352E-2</v>
      </c>
      <c r="K60" s="1"/>
      <c r="L60" s="1">
        <f t="shared" si="40"/>
        <v>-410</v>
      </c>
      <c r="M60" s="1"/>
      <c r="N60" s="5">
        <f t="shared" si="41"/>
        <v>-1</v>
      </c>
      <c r="O60" s="13"/>
      <c r="P60" s="1">
        <f>SUM(OSRRefP22_8x_0)</f>
        <v>0</v>
      </c>
      <c r="Q60" s="1"/>
      <c r="R60" s="5">
        <f t="shared" si="42"/>
        <v>0</v>
      </c>
      <c r="S60" s="1"/>
      <c r="T60" s="1">
        <f>SUM(OSRRefT22_8x_0)</f>
        <v>4710</v>
      </c>
      <c r="U60" s="1"/>
      <c r="V60" s="5">
        <f t="shared" si="43"/>
        <v>2.2684692408093281E-2</v>
      </c>
      <c r="W60" s="1"/>
      <c r="X60" s="1">
        <f t="shared" si="44"/>
        <v>-4710</v>
      </c>
      <c r="Y60" s="1"/>
      <c r="Z60" s="5">
        <f t="shared" si="45"/>
        <v>-1</v>
      </c>
    </row>
    <row r="61" spans="1:26" s="24" customFormat="1" hidden="1" outlineLevel="2" x14ac:dyDescent="0.25">
      <c r="A61" s="25"/>
      <c r="B61" s="11" t="str">
        <f>CONCATENATE("          ", "6235", " - ", "COVID-19 EXPENSES")</f>
        <v xml:space="preserve">          6235 - COVID-19 EXPENSES</v>
      </c>
      <c r="C61" s="11"/>
      <c r="D61" s="7"/>
      <c r="E61" s="2"/>
      <c r="F61" s="6">
        <f t="shared" si="38"/>
        <v>0</v>
      </c>
      <c r="G61" s="2"/>
      <c r="H61" s="7">
        <v>0</v>
      </c>
      <c r="I61" s="2"/>
      <c r="J61" s="6">
        <f t="shared" si="39"/>
        <v>0</v>
      </c>
      <c r="K61" s="2"/>
      <c r="L61" s="7">
        <f t="shared" si="40"/>
        <v>0</v>
      </c>
      <c r="M61" s="2"/>
      <c r="N61" s="6">
        <f t="shared" si="41"/>
        <v>0</v>
      </c>
      <c r="O61" s="11"/>
      <c r="P61" s="7"/>
      <c r="Q61" s="2"/>
      <c r="R61" s="6">
        <f t="shared" si="42"/>
        <v>0</v>
      </c>
      <c r="S61" s="2"/>
      <c r="T61" s="7">
        <v>0</v>
      </c>
      <c r="U61" s="2"/>
      <c r="V61" s="6">
        <f t="shared" si="43"/>
        <v>0</v>
      </c>
      <c r="W61" s="2"/>
      <c r="X61" s="7">
        <f t="shared" si="44"/>
        <v>0</v>
      </c>
      <c r="Y61" s="2"/>
      <c r="Z61" s="6">
        <f t="shared" si="45"/>
        <v>0</v>
      </c>
    </row>
    <row r="62" spans="1:26" s="24" customFormat="1" hidden="1" outlineLevel="2" x14ac:dyDescent="0.25">
      <c r="A62" s="25"/>
      <c r="B62" s="11" t="str">
        <f>CONCATENATE("          ", "6247", " - ", "STORE SUPPLIES")</f>
        <v xml:space="preserve">          6247 - STORE SUPPLIES</v>
      </c>
      <c r="C62" s="11"/>
      <c r="D62" s="7"/>
      <c r="E62" s="2"/>
      <c r="F62" s="6">
        <f t="shared" si="38"/>
        <v>0</v>
      </c>
      <c r="G62" s="2"/>
      <c r="H62" s="7">
        <v>410</v>
      </c>
      <c r="I62" s="2"/>
      <c r="J62" s="6">
        <f t="shared" si="39"/>
        <v>2.4130421988111352E-2</v>
      </c>
      <c r="K62" s="2"/>
      <c r="L62" s="7">
        <f t="shared" si="40"/>
        <v>-410</v>
      </c>
      <c r="M62" s="2"/>
      <c r="N62" s="6">
        <f t="shared" si="41"/>
        <v>-1</v>
      </c>
      <c r="O62" s="11"/>
      <c r="P62" s="7"/>
      <c r="Q62" s="2"/>
      <c r="R62" s="6">
        <f t="shared" si="42"/>
        <v>0</v>
      </c>
      <c r="S62" s="2"/>
      <c r="T62" s="7">
        <v>4710</v>
      </c>
      <c r="U62" s="2"/>
      <c r="V62" s="6">
        <f t="shared" si="43"/>
        <v>2.2684692408093281E-2</v>
      </c>
      <c r="W62" s="2"/>
      <c r="X62" s="7">
        <f t="shared" si="44"/>
        <v>-4710</v>
      </c>
      <c r="Y62" s="2"/>
      <c r="Z62" s="6">
        <f t="shared" si="45"/>
        <v>-1</v>
      </c>
    </row>
    <row r="63" spans="1:26" s="24" customFormat="1" hidden="1" outlineLevel="2" x14ac:dyDescent="0.25">
      <c r="A63" s="25"/>
      <c r="B63" s="11" t="str">
        <f>CONCATENATE("          ", "6248", " - ", "UNIFORMS")</f>
        <v xml:space="preserve">          6248 - UNIFORMS</v>
      </c>
      <c r="C63" s="11"/>
      <c r="D63" s="7"/>
      <c r="E63" s="2"/>
      <c r="F63" s="6">
        <f t="shared" si="38"/>
        <v>0</v>
      </c>
      <c r="G63" s="2"/>
      <c r="H63" s="7"/>
      <c r="I63" s="2"/>
      <c r="J63" s="6">
        <f t="shared" si="39"/>
        <v>0</v>
      </c>
      <c r="K63" s="2"/>
      <c r="L63" s="7">
        <f t="shared" si="40"/>
        <v>0</v>
      </c>
      <c r="M63" s="2"/>
      <c r="N63" s="6">
        <f t="shared" si="41"/>
        <v>0</v>
      </c>
      <c r="O63" s="11"/>
      <c r="P63" s="7"/>
      <c r="Q63" s="2"/>
      <c r="R63" s="6">
        <f t="shared" si="42"/>
        <v>0</v>
      </c>
      <c r="S63" s="2"/>
      <c r="T63" s="7">
        <v>0</v>
      </c>
      <c r="U63" s="2"/>
      <c r="V63" s="6">
        <f t="shared" si="43"/>
        <v>0</v>
      </c>
      <c r="W63" s="2"/>
      <c r="X63" s="7">
        <f t="shared" si="44"/>
        <v>0</v>
      </c>
      <c r="Y63" s="2"/>
      <c r="Z63" s="6">
        <f t="shared" si="45"/>
        <v>0</v>
      </c>
    </row>
    <row r="64" spans="1:26" s="27" customFormat="1" outlineLevel="1" collapsed="1" x14ac:dyDescent="0.25">
      <c r="A64" s="26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SUM(OSRRefD22_9x_0)</f>
        <v>83.2</v>
      </c>
      <c r="E64" s="1"/>
      <c r="F64" s="5">
        <f t="shared" ref="F64:F66" si="46">IF(D$12=0,0,D64/D$12)</f>
        <v>0</v>
      </c>
      <c r="G64" s="1"/>
      <c r="H64" s="1">
        <f>SUM(OSRRefH22_9x_0)</f>
        <v>120</v>
      </c>
      <c r="I64" s="1"/>
      <c r="J64" s="5">
        <f t="shared" ref="J64:J66" si="47">IF(H$12=0,0,H64/H$12)</f>
        <v>7.0625625331057615E-3</v>
      </c>
      <c r="K64" s="1"/>
      <c r="L64" s="1">
        <f t="shared" ref="L64:L66" si="48">+D64-H64</f>
        <v>-36.799999999999997</v>
      </c>
      <c r="M64" s="1"/>
      <c r="N64" s="5">
        <f t="shared" ref="N64:N66" si="49">IF(H64=0,0,L64/H64)</f>
        <v>-0.30666666666666664</v>
      </c>
      <c r="O64" s="13"/>
      <c r="P64" s="1">
        <f>SUM(OSRRefP22_9x_0)</f>
        <v>1157.7</v>
      </c>
      <c r="Q64" s="1"/>
      <c r="R64" s="5">
        <f t="shared" ref="R64:R66" si="50">IF(P$12=0,0,P64/P$12)</f>
        <v>0</v>
      </c>
      <c r="S64" s="1"/>
      <c r="T64" s="1">
        <f>SUM(OSRRefT22_9x_0)</f>
        <v>1320</v>
      </c>
      <c r="U64" s="1"/>
      <c r="V64" s="5">
        <f t="shared" ref="V64:V66" si="51">IF(T$12=0,0,T64/T$12)</f>
        <v>6.357493413733149E-3</v>
      </c>
      <c r="W64" s="1"/>
      <c r="X64" s="1">
        <f t="shared" ref="X64:X66" si="52">+P64-T64</f>
        <v>-162.29999999999995</v>
      </c>
      <c r="Y64" s="1"/>
      <c r="Z64" s="5">
        <f t="shared" ref="Z64:Z66" si="53">IF(T64=0,0,X64/T64)</f>
        <v>-0.12295454545454541</v>
      </c>
    </row>
    <row r="65" spans="1:26" s="24" customFormat="1" hidden="1" outlineLevel="2" x14ac:dyDescent="0.25">
      <c r="A65" s="25"/>
      <c r="B65" s="11" t="str">
        <f>CONCATENATE("          ", "6303", " - ", "DATA PHONE LINES")</f>
        <v xml:space="preserve">          6303 - DATA PHONE LINES</v>
      </c>
      <c r="C65" s="11"/>
      <c r="D65" s="7"/>
      <c r="E65" s="2"/>
      <c r="F65" s="6">
        <f t="shared" si="46"/>
        <v>0</v>
      </c>
      <c r="G65" s="2"/>
      <c r="H65" s="7">
        <v>120</v>
      </c>
      <c r="I65" s="2"/>
      <c r="J65" s="6">
        <f t="shared" si="47"/>
        <v>7.0625625331057615E-3</v>
      </c>
      <c r="K65" s="2"/>
      <c r="L65" s="7">
        <f t="shared" si="48"/>
        <v>-120</v>
      </c>
      <c r="M65" s="2"/>
      <c r="N65" s="6">
        <f t="shared" si="49"/>
        <v>-1</v>
      </c>
      <c r="O65" s="11"/>
      <c r="P65" s="7"/>
      <c r="Q65" s="2"/>
      <c r="R65" s="6">
        <f t="shared" si="50"/>
        <v>0</v>
      </c>
      <c r="S65" s="2"/>
      <c r="T65" s="7">
        <v>1320</v>
      </c>
      <c r="U65" s="2"/>
      <c r="V65" s="6">
        <f t="shared" si="51"/>
        <v>6.357493413733149E-3</v>
      </c>
      <c r="W65" s="2"/>
      <c r="X65" s="7">
        <f t="shared" si="52"/>
        <v>-1320</v>
      </c>
      <c r="Y65" s="2"/>
      <c r="Z65" s="6">
        <f t="shared" si="53"/>
        <v>-1</v>
      </c>
    </row>
    <row r="66" spans="1:26" s="24" customFormat="1" hidden="1" outlineLevel="2" x14ac:dyDescent="0.25">
      <c r="A66" s="25"/>
      <c r="B66" s="11" t="str">
        <f>CONCATENATE("          ", "6309", " - ", "TELEPHONE")</f>
        <v xml:space="preserve">          6309 - TELEPHONE</v>
      </c>
      <c r="C66" s="11"/>
      <c r="D66" s="7">
        <v>83.2</v>
      </c>
      <c r="E66" s="2"/>
      <c r="F66" s="6">
        <f t="shared" si="46"/>
        <v>0</v>
      </c>
      <c r="G66" s="2"/>
      <c r="H66" s="7"/>
      <c r="I66" s="2"/>
      <c r="J66" s="6">
        <f t="shared" si="47"/>
        <v>0</v>
      </c>
      <c r="K66" s="2"/>
      <c r="L66" s="7">
        <f t="shared" si="48"/>
        <v>83.2</v>
      </c>
      <c r="M66" s="2"/>
      <c r="N66" s="6">
        <f t="shared" si="49"/>
        <v>0</v>
      </c>
      <c r="O66" s="11"/>
      <c r="P66" s="7">
        <v>1157.7</v>
      </c>
      <c r="Q66" s="2"/>
      <c r="R66" s="6">
        <f t="shared" si="50"/>
        <v>0</v>
      </c>
      <c r="S66" s="2"/>
      <c r="T66" s="7"/>
      <c r="U66" s="2"/>
      <c r="V66" s="6">
        <f t="shared" si="51"/>
        <v>0</v>
      </c>
      <c r="W66" s="2"/>
      <c r="X66" s="7">
        <f t="shared" si="52"/>
        <v>1157.7</v>
      </c>
      <c r="Y66" s="2"/>
      <c r="Z66" s="6">
        <f t="shared" si="53"/>
        <v>0</v>
      </c>
    </row>
    <row r="67" spans="1:26" s="27" customFormat="1" outlineLevel="1" collapsed="1" x14ac:dyDescent="0.25">
      <c r="A67" s="26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SUM(OSRRefD22_10x_0)</f>
        <v>0</v>
      </c>
      <c r="E67" s="1"/>
      <c r="F67" s="5">
        <f t="shared" ref="F67:F70" si="54">IF(D$12=0,0,D67/D$12)</f>
        <v>0</v>
      </c>
      <c r="G67" s="1"/>
      <c r="H67" s="1">
        <f>SUM(OSRRefH22_10x_0)</f>
        <v>0</v>
      </c>
      <c r="I67" s="1"/>
      <c r="J67" s="5">
        <f t="shared" ref="J67:J70" si="55">IF(H$12=0,0,H67/H$12)</f>
        <v>0</v>
      </c>
      <c r="K67" s="1"/>
      <c r="L67" s="1">
        <f t="shared" ref="L67:L70" si="56">+D67-H67</f>
        <v>0</v>
      </c>
      <c r="M67" s="1"/>
      <c r="N67" s="5">
        <f t="shared" ref="N67:N70" si="57">IF(H67=0,0,L67/H67)</f>
        <v>0</v>
      </c>
      <c r="O67" s="13"/>
      <c r="P67" s="1">
        <f>SUM(OSRRefP22_10x_0)</f>
        <v>0</v>
      </c>
      <c r="Q67" s="1"/>
      <c r="R67" s="5">
        <f t="shared" ref="R67:R70" si="58">IF(P$12=0,0,P67/P$12)</f>
        <v>0</v>
      </c>
      <c r="S67" s="1"/>
      <c r="T67" s="1">
        <f>SUM(OSRRefT22_10x_0)</f>
        <v>120</v>
      </c>
      <c r="U67" s="1"/>
      <c r="V67" s="5">
        <f t="shared" ref="V67:V70" si="59">IF(T$12=0,0,T67/T$12)</f>
        <v>5.7795394670301359E-4</v>
      </c>
      <c r="W67" s="1"/>
      <c r="X67" s="1">
        <f t="shared" ref="X67:X70" si="60">+P67-T67</f>
        <v>-120</v>
      </c>
      <c r="Y67" s="1"/>
      <c r="Z67" s="5">
        <f t="shared" ref="Z67:Z70" si="61">IF(T67=0,0,X67/T67)</f>
        <v>-1</v>
      </c>
    </row>
    <row r="68" spans="1:26" s="24" customFormat="1" hidden="1" outlineLevel="2" x14ac:dyDescent="0.25">
      <c r="A68" s="25"/>
      <c r="B68" s="11" t="str">
        <f>CONCATENATE("          ", "6376", " - ", "TRAINING")</f>
        <v xml:space="preserve">          6376 - TRAINING</v>
      </c>
      <c r="C68" s="11"/>
      <c r="D68" s="7"/>
      <c r="E68" s="2"/>
      <c r="F68" s="6">
        <f t="shared" si="54"/>
        <v>0</v>
      </c>
      <c r="G68" s="2"/>
      <c r="H68" s="7"/>
      <c r="I68" s="2"/>
      <c r="J68" s="6">
        <f t="shared" si="55"/>
        <v>0</v>
      </c>
      <c r="K68" s="2"/>
      <c r="L68" s="7">
        <f t="shared" si="56"/>
        <v>0</v>
      </c>
      <c r="M68" s="2"/>
      <c r="N68" s="6">
        <f t="shared" si="57"/>
        <v>0</v>
      </c>
      <c r="O68" s="11"/>
      <c r="P68" s="7"/>
      <c r="Q68" s="2"/>
      <c r="R68" s="6">
        <f t="shared" si="58"/>
        <v>0</v>
      </c>
      <c r="S68" s="2"/>
      <c r="T68" s="7">
        <v>120</v>
      </c>
      <c r="U68" s="2"/>
      <c r="V68" s="6">
        <f t="shared" si="59"/>
        <v>5.7795394670301359E-4</v>
      </c>
      <c r="W68" s="2"/>
      <c r="X68" s="7">
        <f t="shared" si="60"/>
        <v>-120</v>
      </c>
      <c r="Y68" s="2"/>
      <c r="Z68" s="6">
        <f t="shared" si="61"/>
        <v>-1</v>
      </c>
    </row>
    <row r="69" spans="1:26" s="27" customFormat="1" outlineLevel="1" collapsed="1" x14ac:dyDescent="0.25">
      <c r="A69" s="26"/>
      <c r="B69" s="13" t="str">
        <f>CONCATENATE("     ","Travel                                            ")</f>
        <v xml:space="preserve">     Travel                                            </v>
      </c>
      <c r="C69" s="13"/>
      <c r="D69" s="1">
        <f>SUM(OSRRefD22_11x_0)</f>
        <v>0</v>
      </c>
      <c r="E69" s="1"/>
      <c r="F69" s="5">
        <f t="shared" si="54"/>
        <v>0</v>
      </c>
      <c r="G69" s="1"/>
      <c r="H69" s="1">
        <f>SUM(OSRRefH22_11x_0)</f>
        <v>0</v>
      </c>
      <c r="I69" s="1"/>
      <c r="J69" s="5">
        <f t="shared" si="55"/>
        <v>0</v>
      </c>
      <c r="K69" s="1"/>
      <c r="L69" s="1">
        <f t="shared" si="56"/>
        <v>0</v>
      </c>
      <c r="M69" s="1"/>
      <c r="N69" s="5">
        <f t="shared" si="57"/>
        <v>0</v>
      </c>
      <c r="O69" s="13"/>
      <c r="P69" s="1">
        <f>SUM(OSRRefP22_11x_0)</f>
        <v>0</v>
      </c>
      <c r="Q69" s="1"/>
      <c r="R69" s="5">
        <f t="shared" si="58"/>
        <v>0</v>
      </c>
      <c r="S69" s="1"/>
      <c r="T69" s="1">
        <f>SUM(OSRRefT22_11x_0)</f>
        <v>0</v>
      </c>
      <c r="U69" s="1"/>
      <c r="V69" s="5">
        <f t="shared" si="59"/>
        <v>0</v>
      </c>
      <c r="W69" s="1"/>
      <c r="X69" s="1">
        <f t="shared" si="60"/>
        <v>0</v>
      </c>
      <c r="Y69" s="1"/>
      <c r="Z69" s="5">
        <f t="shared" si="61"/>
        <v>0</v>
      </c>
    </row>
    <row r="70" spans="1:26" s="24" customFormat="1" hidden="1" outlineLevel="2" x14ac:dyDescent="0.25">
      <c r="A70" s="25"/>
      <c r="B70" s="11" t="str">
        <f>CONCATENATE("          ", "6292", " - ", "TRAVEL/CONFERENCE")</f>
        <v xml:space="preserve">          6292 - TRAVEL/CONFERENCE</v>
      </c>
      <c r="C70" s="11"/>
      <c r="D70" s="7"/>
      <c r="E70" s="2"/>
      <c r="F70" s="6">
        <f t="shared" si="54"/>
        <v>0</v>
      </c>
      <c r="G70" s="2"/>
      <c r="H70" s="7"/>
      <c r="I70" s="2"/>
      <c r="J70" s="6">
        <f t="shared" si="55"/>
        <v>0</v>
      </c>
      <c r="K70" s="2"/>
      <c r="L70" s="7">
        <f t="shared" si="56"/>
        <v>0</v>
      </c>
      <c r="M70" s="2"/>
      <c r="N70" s="6">
        <f t="shared" si="57"/>
        <v>0</v>
      </c>
      <c r="O70" s="11"/>
      <c r="P70" s="7"/>
      <c r="Q70" s="2"/>
      <c r="R70" s="6">
        <f t="shared" si="58"/>
        <v>0</v>
      </c>
      <c r="S70" s="2"/>
      <c r="T70" s="7">
        <v>0</v>
      </c>
      <c r="U70" s="2"/>
      <c r="V70" s="6">
        <f t="shared" si="59"/>
        <v>0</v>
      </c>
      <c r="W70" s="2"/>
      <c r="X70" s="7">
        <f t="shared" si="60"/>
        <v>0</v>
      </c>
      <c r="Y70" s="2"/>
      <c r="Z70" s="6">
        <f t="shared" si="61"/>
        <v>0</v>
      </c>
    </row>
    <row r="71" spans="1:26" s="56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9" t="s">
        <v>293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277</v>
      </c>
      <c r="C74" s="28"/>
      <c r="D74" s="20">
        <f>+D23-D25+D72</f>
        <v>-83.2</v>
      </c>
      <c r="E74" s="14"/>
      <c r="F74" s="21">
        <f>IF(D$12=0,0,D74/D$12)</f>
        <v>0</v>
      </c>
      <c r="G74" s="14"/>
      <c r="H74" s="20">
        <f>+H23-H25+H72</f>
        <v>-8170.6823933999985</v>
      </c>
      <c r="I74" s="14"/>
      <c r="J74" s="21">
        <f>IF(H$12=0,0,H74/H$12)</f>
        <v>-0.48088296117944784</v>
      </c>
      <c r="K74" s="15"/>
      <c r="L74" s="20">
        <f>+D74-H74</f>
        <v>8087.4823933999987</v>
      </c>
      <c r="M74" s="15"/>
      <c r="N74" s="21">
        <f>IF(H74=0,0,L74/H74)</f>
        <v>-0.98981725197552584</v>
      </c>
      <c r="O74" s="29"/>
      <c r="P74" s="20">
        <f>+P23-P25+P72</f>
        <v>-46220.57</v>
      </c>
      <c r="Q74" s="14"/>
      <c r="R74" s="21">
        <f>IF(P$12=0,0,P74/P$12)</f>
        <v>0</v>
      </c>
      <c r="S74" s="14"/>
      <c r="T74" s="20">
        <f>+T23-T25+T72</f>
        <v>-79585.083705600002</v>
      </c>
      <c r="U74" s="14"/>
      <c r="V74" s="21">
        <f>IF(T$12=0,0,T74/T$12)</f>
        <v>-0.3833042768861768</v>
      </c>
      <c r="W74" s="15"/>
      <c r="X74" s="20">
        <f>+P74-T74</f>
        <v>33364.513705600002</v>
      </c>
      <c r="Y74" s="15"/>
      <c r="Z74" s="21">
        <f>IF(T74=0,0,X74/T74)</f>
        <v>-0.41923074214536898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128</v>
      </c>
      <c r="C76" s="10"/>
      <c r="D76" s="4"/>
      <c r="E76" s="4"/>
      <c r="F76" s="12">
        <f>IF(D$12=0,0,D76/D$12)</f>
        <v>0</v>
      </c>
      <c r="G76" s="4"/>
      <c r="H76" s="4">
        <v>3798</v>
      </c>
      <c r="I76" s="4"/>
      <c r="J76" s="12">
        <f>IF(H$12=0,0,H76/H$12)</f>
        <v>0.22353010417279737</v>
      </c>
      <c r="K76" s="4"/>
      <c r="L76" s="4">
        <f>+D76-H76</f>
        <v>-3798</v>
      </c>
      <c r="M76" s="4"/>
      <c r="N76" s="12">
        <f>IF(H76=0,0,L76/H76)</f>
        <v>-1</v>
      </c>
      <c r="O76" s="10"/>
      <c r="P76" s="4"/>
      <c r="Q76" s="4"/>
      <c r="R76" s="12">
        <f>IF(P$12=0,0,P76/P$12)</f>
        <v>0</v>
      </c>
      <c r="S76" s="4"/>
      <c r="T76" s="4">
        <v>38332</v>
      </c>
      <c r="U76" s="4"/>
      <c r="V76" s="12">
        <f>IF(T$12=0,0,T76/T$12)</f>
        <v>0.18461775570849928</v>
      </c>
      <c r="W76" s="4"/>
      <c r="X76" s="4">
        <f>+P76-T76</f>
        <v>-38332</v>
      </c>
      <c r="Y76" s="4"/>
      <c r="Z76" s="12">
        <f>IF(T76=0,0,X76/T76)</f>
        <v>-1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126</v>
      </c>
      <c r="C78" s="28"/>
      <c r="D78" s="35">
        <f>+D74-D76</f>
        <v>-83.2</v>
      </c>
      <c r="E78" s="14"/>
      <c r="F78" s="34">
        <f>IF(D$12=0,0,D78/D$12)</f>
        <v>0</v>
      </c>
      <c r="G78" s="14"/>
      <c r="H78" s="35">
        <f>+H74-H76</f>
        <v>-11968.682393399999</v>
      </c>
      <c r="I78" s="14"/>
      <c r="J78" s="34">
        <f>IF(H$12=0,0,H78/H$12)</f>
        <v>-0.70441306535224524</v>
      </c>
      <c r="K78" s="15"/>
      <c r="L78" s="35">
        <f>D78-H78</f>
        <v>11885.482393399998</v>
      </c>
      <c r="M78" s="15"/>
      <c r="N78" s="34">
        <f>IF(H78=0,0,L78/H78)</f>
        <v>-0.99304852470261218</v>
      </c>
      <c r="O78" s="29"/>
      <c r="P78" s="35">
        <f>+P74-P76</f>
        <v>-46220.57</v>
      </c>
      <c r="Q78" s="14"/>
      <c r="R78" s="34">
        <f>IF(P$12=0,0,P78/P$12)</f>
        <v>0</v>
      </c>
      <c r="S78" s="14"/>
      <c r="T78" s="35">
        <f>+T74-T76</f>
        <v>-117917.0837056</v>
      </c>
      <c r="U78" s="14"/>
      <c r="V78" s="34">
        <f>IF(T$12=0,0,T78/T$12)</f>
        <v>-0.56792203259467611</v>
      </c>
      <c r="W78" s="15"/>
      <c r="X78" s="35">
        <f>P78-T78</f>
        <v>71696.513705599995</v>
      </c>
      <c r="Y78" s="15"/>
      <c r="Z78" s="34">
        <f>IF(T78=0,0,X78/T78)</f>
        <v>-0.60802482093775745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294</v>
      </c>
      <c r="C81" s="28"/>
      <c r="D81" s="33">
        <f>SUM(D78:D80)</f>
        <v>-83.2</v>
      </c>
      <c r="E81" s="14"/>
      <c r="F81" s="32">
        <f>IF(D$12=0,0,D81/D$12)</f>
        <v>0</v>
      </c>
      <c r="G81" s="14"/>
      <c r="H81" s="33">
        <f>SUM(H78:H80)</f>
        <v>-11968.682393399999</v>
      </c>
      <c r="I81" s="14"/>
      <c r="J81" s="32">
        <f>IF(H$12=0,0,H81/H$12)</f>
        <v>-0.70441306535224524</v>
      </c>
      <c r="K81" s="15"/>
      <c r="L81" s="33">
        <f>+D81-H81</f>
        <v>11885.482393399998</v>
      </c>
      <c r="M81" s="15"/>
      <c r="N81" s="32">
        <f>IF(H81=0,0,L81/H81)</f>
        <v>-0.99304852470261218</v>
      </c>
      <c r="O81" s="29"/>
      <c r="P81" s="33">
        <f>SUM(P78:P80)</f>
        <v>-46220.57</v>
      </c>
      <c r="Q81" s="14"/>
      <c r="R81" s="32">
        <f>IF(P$12=0,0,P81/P$12)</f>
        <v>0</v>
      </c>
      <c r="S81" s="14"/>
      <c r="T81" s="33">
        <f>SUM(T78:T80)</f>
        <v>-117917.0837056</v>
      </c>
      <c r="U81" s="14"/>
      <c r="V81" s="32">
        <f>IF(T$12=0,0,T81/T$12)</f>
        <v>-0.56792203259467611</v>
      </c>
      <c r="W81" s="15"/>
      <c r="X81" s="33">
        <f>+P81-T81</f>
        <v>71696.513705599995</v>
      </c>
      <c r="Y81" s="15"/>
      <c r="Z81" s="32">
        <f>IF(T81=0,0,X81/T81)</f>
        <v>-0.60802482093775745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6" x14ac:dyDescent="0.25">
      <c r="A83" s="9"/>
      <c r="B83" s="60">
        <v>44356.891834571761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55" t="s">
        <v>56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63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","321", " - ", "Corner Market")</f>
        <v>Department 321 - Corner Market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8623</v>
      </c>
      <c r="I12" s="4"/>
      <c r="J12" s="12"/>
      <c r="K12" s="4"/>
      <c r="L12" s="4">
        <f t="shared" ref="L12:L15" si="0">+D12-H12</f>
        <v>-8623</v>
      </c>
      <c r="M12" s="4"/>
      <c r="N12" s="12">
        <f t="shared" ref="N12:N15" si="1">IF(H12=0,0,L12/H12)</f>
        <v>-1</v>
      </c>
      <c r="O12" s="10"/>
      <c r="P12" s="4">
        <f>SUM(OSRRefP13x_0)</f>
        <v>2476.4700000000003</v>
      </c>
      <c r="Q12" s="4"/>
      <c r="R12" s="12"/>
      <c r="S12" s="4"/>
      <c r="T12" s="4">
        <f>SUM(OSRRefT13x_0)</f>
        <v>115155</v>
      </c>
      <c r="U12" s="4"/>
      <c r="V12" s="12"/>
      <c r="W12" s="4"/>
      <c r="X12" s="4">
        <f t="shared" ref="X12:X15" si="2">+P12-T12</f>
        <v>-112678.53</v>
      </c>
      <c r="Y12" s="4"/>
      <c r="Z12" s="12">
        <f t="shared" ref="Z12:Z15" si="3">IF(T12=0,0,X12/T12)</f>
        <v>-0.97849446398332685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--444.59</f>
        <v>444.59</v>
      </c>
      <c r="Q13" s="2"/>
      <c r="R13" s="19"/>
      <c r="S13" s="2"/>
      <c r="T13" s="2"/>
      <c r="U13" s="2"/>
      <c r="V13" s="19"/>
      <c r="W13" s="2"/>
      <c r="X13" s="2">
        <f t="shared" si="2"/>
        <v>444.59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8623</v>
      </c>
      <c r="I14" s="2"/>
      <c r="J14" s="19"/>
      <c r="K14" s="2"/>
      <c r="L14" s="2">
        <f t="shared" si="0"/>
        <v>-8623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115155</v>
      </c>
      <c r="U14" s="2"/>
      <c r="V14" s="19"/>
      <c r="W14" s="2"/>
      <c r="X14" s="2">
        <f t="shared" si="2"/>
        <v>-115155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--2031.88</f>
        <v>2031.88</v>
      </c>
      <c r="Q15" s="2"/>
      <c r="R15" s="19"/>
      <c r="S15" s="2"/>
      <c r="T15" s="2"/>
      <c r="U15" s="2"/>
      <c r="V15" s="19"/>
      <c r="W15" s="2"/>
      <c r="X15" s="2">
        <f t="shared" si="2"/>
        <v>2031.88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257</v>
      </c>
      <c r="C17" s="10"/>
      <c r="D17" s="4">
        <f>SUM(OSRRefD16x_0)</f>
        <v>0</v>
      </c>
      <c r="E17" s="4"/>
      <c r="F17" s="12">
        <f t="shared" ref="F17:F20" si="5">IF(D$12=0,0,D17/D$12)</f>
        <v>0</v>
      </c>
      <c r="G17" s="4"/>
      <c r="H17" s="4">
        <f>SUM(OSRRefH16x_0)</f>
        <v>4484</v>
      </c>
      <c r="I17" s="4"/>
      <c r="J17" s="12">
        <f t="shared" ref="J17:J20" si="6">IF(H$12=0,0,H17/H$12)</f>
        <v>0.52000463875681313</v>
      </c>
      <c r="K17" s="4"/>
      <c r="L17" s="4">
        <f t="shared" ref="L17:L20" si="7">+D17-H17</f>
        <v>-4484</v>
      </c>
      <c r="M17" s="4"/>
      <c r="N17" s="12">
        <f t="shared" ref="N17:N20" si="8">IF(H17=0,0,L17/H17)</f>
        <v>-1</v>
      </c>
      <c r="O17" s="10"/>
      <c r="P17" s="4">
        <f>SUM(OSRRefP16x_0)</f>
        <v>19579.73</v>
      </c>
      <c r="Q17" s="4"/>
      <c r="R17" s="12">
        <f t="shared" ref="R17:R20" si="9">IF(P$12=0,0,P17/P$12)</f>
        <v>7.9063061535169004</v>
      </c>
      <c r="S17" s="4"/>
      <c r="T17" s="4">
        <f>SUM(OSRRefT16x_0)</f>
        <v>60295</v>
      </c>
      <c r="U17" s="4"/>
      <c r="V17" s="12">
        <f t="shared" ref="V17:V20" si="10">IF(T$12=0,0,T17/T$12)</f>
        <v>0.52359862793625978</v>
      </c>
      <c r="W17" s="4"/>
      <c r="X17" s="4">
        <f t="shared" ref="X17:X20" si="11">+P17-T17</f>
        <v>-40715.270000000004</v>
      </c>
      <c r="Y17" s="4"/>
      <c r="Z17" s="12">
        <f t="shared" ref="Z17:Z20" si="12">IF(T17=0,0,X17/T17)</f>
        <v>-0.67526776681316869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4484</v>
      </c>
      <c r="I18" s="2"/>
      <c r="J18" s="19">
        <f t="shared" si="6"/>
        <v>0.52000463875681313</v>
      </c>
      <c r="K18" s="2"/>
      <c r="L18" s="2">
        <f t="shared" si="7"/>
        <v>-4484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60295</v>
      </c>
      <c r="U18" s="2"/>
      <c r="V18" s="19">
        <f t="shared" si="10"/>
        <v>0.52359862793625978</v>
      </c>
      <c r="W18" s="2"/>
      <c r="X18" s="2">
        <f t="shared" si="11"/>
        <v>-60295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0.73</v>
      </c>
      <c r="Q19" s="2"/>
      <c r="R19" s="19">
        <f t="shared" si="9"/>
        <v>2.9477441681102534E-4</v>
      </c>
      <c r="S19" s="2"/>
      <c r="T19" s="2"/>
      <c r="U19" s="2"/>
      <c r="V19" s="19">
        <f t="shared" si="10"/>
        <v>0</v>
      </c>
      <c r="W19" s="2"/>
      <c r="X19" s="2">
        <f t="shared" si="11"/>
        <v>0.73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19579</v>
      </c>
      <c r="Q20" s="2"/>
      <c r="R20" s="19">
        <f t="shared" si="9"/>
        <v>7.9060113791000894</v>
      </c>
      <c r="S20" s="2"/>
      <c r="T20" s="2"/>
      <c r="U20" s="2"/>
      <c r="V20" s="19">
        <f t="shared" si="10"/>
        <v>0</v>
      </c>
      <c r="W20" s="2"/>
      <c r="X20" s="2">
        <f t="shared" si="11"/>
        <v>19579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108</v>
      </c>
      <c r="C22" s="28"/>
      <c r="D22" s="20">
        <f>D12-D17</f>
        <v>0</v>
      </c>
      <c r="E22" s="14"/>
      <c r="F22" s="21">
        <f>IF(D$12=0,0,D22/D$12)</f>
        <v>0</v>
      </c>
      <c r="G22" s="14"/>
      <c r="H22" s="20">
        <f>H12-H17</f>
        <v>4139</v>
      </c>
      <c r="I22" s="14"/>
      <c r="J22" s="21">
        <f>IF(H$12=0,0,H22/H$12)</f>
        <v>0.47999536124318681</v>
      </c>
      <c r="K22" s="15"/>
      <c r="L22" s="20">
        <f>+D22-H22</f>
        <v>-4139</v>
      </c>
      <c r="M22" s="15"/>
      <c r="N22" s="21">
        <f>IF(H22=0,0,L22/H22)</f>
        <v>-1</v>
      </c>
      <c r="O22" s="29"/>
      <c r="P22" s="20">
        <f>P12-P17</f>
        <v>-17103.259999999998</v>
      </c>
      <c r="Q22" s="14"/>
      <c r="R22" s="21">
        <f>IF(P$12=0,0,P22/P$12)</f>
        <v>-6.9063061535168995</v>
      </c>
      <c r="S22" s="14"/>
      <c r="T22" s="20">
        <f>T12-T17</f>
        <v>54860</v>
      </c>
      <c r="U22" s="14"/>
      <c r="V22" s="21">
        <f>IF(T$12=0,0,T22/T$12)</f>
        <v>0.47640137206374017</v>
      </c>
      <c r="W22" s="15"/>
      <c r="X22" s="20">
        <f>+P22-T22</f>
        <v>-71963.259999999995</v>
      </c>
      <c r="Y22" s="15"/>
      <c r="Z22" s="21">
        <f>IF(T22=0,0,X22/T22)</f>
        <v>-1.3117619394823186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295</v>
      </c>
      <c r="C24" s="10"/>
      <c r="D24" s="22">
        <f>SUM(OSRRefD22x_0)</f>
        <v>630.44999999999993</v>
      </c>
      <c r="E24" s="22"/>
      <c r="F24" s="31">
        <f t="shared" ref="F24:F34" si="13">IF(D$12=0,0,D24/D$12)</f>
        <v>0</v>
      </c>
      <c r="G24" s="22"/>
      <c r="H24" s="22">
        <f>SUM(OSRRefH22x_0)</f>
        <v>5675.4216305</v>
      </c>
      <c r="I24" s="22"/>
      <c r="J24" s="31">
        <f t="shared" ref="J24:J34" si="14">IF(H$12=0,0,H24/H$12)</f>
        <v>0.65817251890293405</v>
      </c>
      <c r="K24" s="4"/>
      <c r="L24" s="22">
        <f t="shared" ref="L24:L34" si="15">+D24-H24</f>
        <v>-5044.9716305000002</v>
      </c>
      <c r="M24" s="4"/>
      <c r="N24" s="31">
        <f t="shared" ref="N24:N34" si="16">IF(H24=0,0,L24/H24)</f>
        <v>-0.88891574211650992</v>
      </c>
      <c r="O24" s="10"/>
      <c r="P24" s="22">
        <f>SUM(OSRRefP22x_0)</f>
        <v>41688.12999999999</v>
      </c>
      <c r="Q24" s="22"/>
      <c r="R24" s="31">
        <f t="shared" ref="R24:R34" si="17">IF(P$12=0,0,P24/P$12)</f>
        <v>16.833690696838641</v>
      </c>
      <c r="S24" s="22"/>
      <c r="T24" s="22">
        <f>SUM(OSRRefT22x_0)</f>
        <v>99654.3217878</v>
      </c>
      <c r="U24" s="22"/>
      <c r="V24" s="31">
        <f t="shared" ref="V24:V34" si="18">IF(T$12=0,0,T24/T$12)</f>
        <v>0.8653929207398724</v>
      </c>
      <c r="W24" s="4"/>
      <c r="X24" s="22">
        <f t="shared" ref="X24:X34" si="19">+P24-T24</f>
        <v>-57966.191787800009</v>
      </c>
      <c r="Y24" s="4"/>
      <c r="Z24" s="31">
        <f t="shared" ref="Z24:Z34" si="20">IF(T24=0,0,X24/T24)</f>
        <v>-0.5816726334381257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0</v>
      </c>
      <c r="E25" s="1"/>
      <c r="F25" s="5">
        <f t="shared" si="13"/>
        <v>0</v>
      </c>
      <c r="G25" s="1"/>
      <c r="H25" s="1">
        <f>SUM(OSRRefH22_0x_0)</f>
        <v>149.9716305</v>
      </c>
      <c r="I25" s="1"/>
      <c r="J25" s="5">
        <f t="shared" si="14"/>
        <v>1.7392048069117476E-2</v>
      </c>
      <c r="K25" s="1"/>
      <c r="L25" s="1">
        <f t="shared" si="15"/>
        <v>-149.9716305</v>
      </c>
      <c r="M25" s="1"/>
      <c r="N25" s="5">
        <f t="shared" si="16"/>
        <v>-1</v>
      </c>
      <c r="O25" s="13"/>
      <c r="P25" s="1">
        <f>SUM(OSRRefP22_0x_0)</f>
        <v>8751.99</v>
      </c>
      <c r="Q25" s="1"/>
      <c r="R25" s="5">
        <f t="shared" si="17"/>
        <v>3.5340585591588023</v>
      </c>
      <c r="S25" s="1"/>
      <c r="T25" s="1">
        <f>SUM(OSRRefT22_0x_0)</f>
        <v>4411.3817878</v>
      </c>
      <c r="U25" s="1"/>
      <c r="V25" s="5">
        <f t="shared" si="18"/>
        <v>3.8308208829838042E-2</v>
      </c>
      <c r="W25" s="1"/>
      <c r="X25" s="1">
        <f t="shared" si="19"/>
        <v>4340.6082121999998</v>
      </c>
      <c r="Y25" s="1"/>
      <c r="Z25" s="5">
        <f t="shared" si="20"/>
        <v>0.98395659704727223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/>
      <c r="E26" s="2"/>
      <c r="F26" s="6">
        <f t="shared" si="13"/>
        <v>0</v>
      </c>
      <c r="G26" s="2"/>
      <c r="H26" s="7">
        <v>52.449835499999999</v>
      </c>
      <c r="I26" s="2"/>
      <c r="J26" s="6">
        <f t="shared" si="14"/>
        <v>6.0825507943871038E-3</v>
      </c>
      <c r="K26" s="2"/>
      <c r="L26" s="7">
        <f t="shared" si="15"/>
        <v>-52.449835499999999</v>
      </c>
      <c r="M26" s="2"/>
      <c r="N26" s="6">
        <f t="shared" si="16"/>
        <v>-1</v>
      </c>
      <c r="O26" s="11"/>
      <c r="P26" s="7">
        <v>1667.09</v>
      </c>
      <c r="Q26" s="2"/>
      <c r="R26" s="6">
        <f t="shared" si="17"/>
        <v>0.67317189386505782</v>
      </c>
      <c r="S26" s="2"/>
      <c r="T26" s="7">
        <v>1750.6589538000001</v>
      </c>
      <c r="U26" s="2"/>
      <c r="V26" s="6">
        <f t="shared" si="18"/>
        <v>1.5202630834961574E-2</v>
      </c>
      <c r="W26" s="2"/>
      <c r="X26" s="7">
        <f t="shared" si="19"/>
        <v>-83.568953800000145</v>
      </c>
      <c r="Y26" s="2"/>
      <c r="Z26" s="6">
        <f t="shared" si="20"/>
        <v>-4.7735713240208456E-2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/>
      <c r="E27" s="2"/>
      <c r="F27" s="6">
        <f t="shared" si="13"/>
        <v>0</v>
      </c>
      <c r="G27" s="2"/>
      <c r="H27" s="7">
        <v>35.306325000000001</v>
      </c>
      <c r="I27" s="2"/>
      <c r="J27" s="6">
        <f t="shared" si="14"/>
        <v>4.0944363910471997E-3</v>
      </c>
      <c r="K27" s="2"/>
      <c r="L27" s="7">
        <f t="shared" si="15"/>
        <v>-35.306325000000001</v>
      </c>
      <c r="M27" s="2"/>
      <c r="N27" s="6">
        <f t="shared" si="16"/>
        <v>-1</v>
      </c>
      <c r="O27" s="11"/>
      <c r="P27" s="7">
        <v>331.61</v>
      </c>
      <c r="Q27" s="2"/>
      <c r="R27" s="6">
        <f t="shared" si="17"/>
        <v>0.13390430734069056</v>
      </c>
      <c r="S27" s="2"/>
      <c r="T27" s="7">
        <v>963.27539000000002</v>
      </c>
      <c r="U27" s="2"/>
      <c r="V27" s="6">
        <f t="shared" si="18"/>
        <v>8.3650331292605615E-3</v>
      </c>
      <c r="W27" s="2"/>
      <c r="X27" s="7">
        <f t="shared" si="19"/>
        <v>-631.66539</v>
      </c>
      <c r="Y27" s="2"/>
      <c r="Z27" s="6">
        <f t="shared" si="20"/>
        <v>-0.65574745971658221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/>
      <c r="E28" s="2"/>
      <c r="F28" s="6">
        <f t="shared" si="13"/>
        <v>0</v>
      </c>
      <c r="G28" s="2"/>
      <c r="H28" s="7">
        <v>0</v>
      </c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>
        <v>3385.22</v>
      </c>
      <c r="Q28" s="2"/>
      <c r="R28" s="6">
        <f t="shared" si="17"/>
        <v>1.366953768872629</v>
      </c>
      <c r="S28" s="2"/>
      <c r="T28" s="7">
        <v>0</v>
      </c>
      <c r="U28" s="2"/>
      <c r="V28" s="6">
        <f t="shared" si="18"/>
        <v>0</v>
      </c>
      <c r="W28" s="2"/>
      <c r="X28" s="7">
        <f t="shared" si="19"/>
        <v>3385.22</v>
      </c>
      <c r="Y28" s="2"/>
      <c r="Z28" s="6">
        <f t="shared" si="20"/>
        <v>0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/>
      <c r="E29" s="2"/>
      <c r="F29" s="6">
        <f t="shared" si="13"/>
        <v>0</v>
      </c>
      <c r="G29" s="2"/>
      <c r="H29" s="7">
        <v>4.96197</v>
      </c>
      <c r="I29" s="2"/>
      <c r="J29" s="6">
        <f t="shared" si="14"/>
        <v>5.7543430360663343E-4</v>
      </c>
      <c r="K29" s="2"/>
      <c r="L29" s="7">
        <f t="shared" si="15"/>
        <v>-4.96197</v>
      </c>
      <c r="M29" s="2"/>
      <c r="N29" s="6">
        <f t="shared" si="16"/>
        <v>-1</v>
      </c>
      <c r="O29" s="11"/>
      <c r="P29" s="7">
        <v>62.01</v>
      </c>
      <c r="Q29" s="2"/>
      <c r="R29" s="6">
        <f t="shared" si="17"/>
        <v>2.5039673406098192E-2</v>
      </c>
      <c r="S29" s="2"/>
      <c r="T29" s="7">
        <v>135.379244</v>
      </c>
      <c r="U29" s="2"/>
      <c r="V29" s="6">
        <f t="shared" si="18"/>
        <v>1.1756262776258088E-3</v>
      </c>
      <c r="W29" s="2"/>
      <c r="X29" s="7">
        <f t="shared" si="19"/>
        <v>-73.369244000000009</v>
      </c>
      <c r="Y29" s="2"/>
      <c r="Z29" s="6">
        <f t="shared" si="20"/>
        <v>-0.54195341791094664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/>
      <c r="E30" s="2"/>
      <c r="F30" s="6">
        <f t="shared" si="13"/>
        <v>0</v>
      </c>
      <c r="G30" s="2"/>
      <c r="H30" s="7">
        <v>0</v>
      </c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>
        <v>1254.1099999999999</v>
      </c>
      <c r="Q30" s="2"/>
      <c r="R30" s="6">
        <f t="shared" si="17"/>
        <v>0.50641033406421232</v>
      </c>
      <c r="S30" s="2"/>
      <c r="T30" s="7">
        <v>0</v>
      </c>
      <c r="U30" s="2"/>
      <c r="V30" s="6">
        <f t="shared" si="18"/>
        <v>0</v>
      </c>
      <c r="W30" s="2"/>
      <c r="X30" s="7">
        <f t="shared" si="19"/>
        <v>1254.1099999999999</v>
      </c>
      <c r="Y30" s="2"/>
      <c r="Z30" s="6">
        <f t="shared" si="20"/>
        <v>0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>
        <v>958.88</v>
      </c>
      <c r="Q32" s="2"/>
      <c r="R32" s="6">
        <f t="shared" si="17"/>
        <v>0.38719629149555612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958.88</v>
      </c>
      <c r="Y32" s="2"/>
      <c r="Z32" s="6">
        <f t="shared" si="20"/>
        <v>0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/>
      <c r="E33" s="2"/>
      <c r="F33" s="6">
        <f t="shared" si="13"/>
        <v>0</v>
      </c>
      <c r="G33" s="2"/>
      <c r="H33" s="7">
        <v>57.253500000000003</v>
      </c>
      <c r="I33" s="2"/>
      <c r="J33" s="6">
        <f t="shared" si="14"/>
        <v>6.6396265800765398E-3</v>
      </c>
      <c r="K33" s="2"/>
      <c r="L33" s="7">
        <f t="shared" si="15"/>
        <v>-57.253500000000003</v>
      </c>
      <c r="M33" s="2"/>
      <c r="N33" s="6">
        <f t="shared" si="16"/>
        <v>-1</v>
      </c>
      <c r="O33" s="11"/>
      <c r="P33" s="7">
        <v>767.52</v>
      </c>
      <c r="Q33" s="2"/>
      <c r="R33" s="6">
        <f t="shared" si="17"/>
        <v>0.30992501423397006</v>
      </c>
      <c r="S33" s="2"/>
      <c r="T33" s="7">
        <v>1562.0681999999999</v>
      </c>
      <c r="U33" s="2"/>
      <c r="V33" s="6">
        <f t="shared" si="18"/>
        <v>1.35649185879901E-2</v>
      </c>
      <c r="W33" s="2"/>
      <c r="X33" s="7">
        <f t="shared" si="19"/>
        <v>-794.54819999999995</v>
      </c>
      <c r="Y33" s="2"/>
      <c r="Z33" s="6">
        <f t="shared" si="20"/>
        <v>-0.50865141483579268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7"/>
      <c r="E34" s="2"/>
      <c r="F34" s="6">
        <f t="shared" si="13"/>
        <v>0</v>
      </c>
      <c r="G34" s="2"/>
      <c r="H34" s="7"/>
      <c r="I34" s="2"/>
      <c r="J34" s="6">
        <f t="shared" si="14"/>
        <v>0</v>
      </c>
      <c r="K34" s="2"/>
      <c r="L34" s="7">
        <f t="shared" si="15"/>
        <v>0</v>
      </c>
      <c r="M34" s="2"/>
      <c r="N34" s="6">
        <f t="shared" si="16"/>
        <v>0</v>
      </c>
      <c r="O34" s="11"/>
      <c r="P34" s="7">
        <v>325.55</v>
      </c>
      <c r="Q34" s="2"/>
      <c r="R34" s="6">
        <f t="shared" si="17"/>
        <v>0.13145727588058809</v>
      </c>
      <c r="S34" s="2"/>
      <c r="T34" s="7"/>
      <c r="U34" s="2"/>
      <c r="V34" s="6">
        <f t="shared" si="18"/>
        <v>0</v>
      </c>
      <c r="W34" s="2"/>
      <c r="X34" s="7">
        <f t="shared" si="19"/>
        <v>325.55</v>
      </c>
      <c r="Y34" s="2"/>
      <c r="Z34" s="6">
        <f t="shared" si="20"/>
        <v>0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1908.45</v>
      </c>
      <c r="I35" s="1"/>
      <c r="J35" s="5">
        <f t="shared" ref="J35:J45" si="22">IF(H$12=0,0,H35/H$12)</f>
        <v>0.22132088600255131</v>
      </c>
      <c r="K35" s="1"/>
      <c r="L35" s="1">
        <f t="shared" ref="L35:L45" si="23">+D35-H35</f>
        <v>-1908.45</v>
      </c>
      <c r="M35" s="1"/>
      <c r="N35" s="5">
        <f t="shared" ref="N35:N45" si="24">IF(H35=0,0,L35/H35)</f>
        <v>-1</v>
      </c>
      <c r="O35" s="13"/>
      <c r="P35" s="1">
        <f>SUM(OSRRefP22_1x_0)</f>
        <v>15859.96</v>
      </c>
      <c r="Q35" s="1"/>
      <c r="R35" s="5">
        <f t="shared" ref="R35:R45" si="25">IF(P$12=0,0,P35/P$12)</f>
        <v>6.404260903624917</v>
      </c>
      <c r="S35" s="1"/>
      <c r="T35" s="1">
        <f>SUM(OSRRefT22_1x_0)</f>
        <v>52068.94</v>
      </c>
      <c r="U35" s="1"/>
      <c r="V35" s="5">
        <f t="shared" ref="V35:V45" si="26">IF(T$12=0,0,T35/T$12)</f>
        <v>0.45216395293300338</v>
      </c>
      <c r="W35" s="1"/>
      <c r="X35" s="1">
        <f t="shared" ref="X35:X45" si="27">+P35-T35</f>
        <v>-36208.980000000003</v>
      </c>
      <c r="Y35" s="1"/>
      <c r="Z35" s="5">
        <f t="shared" ref="Z35:Z45" si="28">IF(T35=0,0,X35/T35)</f>
        <v>-0.6954045924499328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>
        <v>13728</v>
      </c>
      <c r="Q37" s="2"/>
      <c r="R37" s="6">
        <f t="shared" si="25"/>
        <v>5.5433742383311726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13728</v>
      </c>
      <c r="Y37" s="2"/>
      <c r="Z37" s="6">
        <f t="shared" si="28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1"/>
        <v>0</v>
      </c>
      <c r="G39" s="2"/>
      <c r="H39" s="7">
        <v>685.35</v>
      </c>
      <c r="I39" s="2"/>
      <c r="J39" s="6">
        <f t="shared" si="22"/>
        <v>7.9479299547721219E-2</v>
      </c>
      <c r="K39" s="2"/>
      <c r="L39" s="7">
        <f t="shared" si="23"/>
        <v>-685.35</v>
      </c>
      <c r="M39" s="2"/>
      <c r="N39" s="6">
        <f t="shared" si="24"/>
        <v>-1</v>
      </c>
      <c r="O39" s="11"/>
      <c r="P39" s="7"/>
      <c r="Q39" s="2"/>
      <c r="R39" s="6">
        <f t="shared" si="25"/>
        <v>0</v>
      </c>
      <c r="S39" s="2"/>
      <c r="T39" s="7">
        <v>22875.46</v>
      </c>
      <c r="U39" s="2"/>
      <c r="V39" s="6">
        <f t="shared" si="26"/>
        <v>0.19864929877122139</v>
      </c>
      <c r="W39" s="2"/>
      <c r="X39" s="7">
        <f t="shared" si="27"/>
        <v>-22875.46</v>
      </c>
      <c r="Y39" s="2"/>
      <c r="Z39" s="6">
        <f t="shared" si="28"/>
        <v>-1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1"/>
        <v>0</v>
      </c>
      <c r="G40" s="2"/>
      <c r="H40" s="7">
        <v>615.6</v>
      </c>
      <c r="I40" s="2"/>
      <c r="J40" s="6">
        <f t="shared" si="22"/>
        <v>7.1390467354748924E-2</v>
      </c>
      <c r="K40" s="2"/>
      <c r="L40" s="7">
        <f t="shared" si="23"/>
        <v>-615.6</v>
      </c>
      <c r="M40" s="2"/>
      <c r="N40" s="6">
        <f t="shared" si="24"/>
        <v>-1</v>
      </c>
      <c r="O40" s="11"/>
      <c r="P40" s="7">
        <v>2131.96</v>
      </c>
      <c r="Q40" s="2"/>
      <c r="R40" s="6">
        <f t="shared" si="25"/>
        <v>0.86088666529374469</v>
      </c>
      <c r="S40" s="2"/>
      <c r="T40" s="7">
        <v>9726.48</v>
      </c>
      <c r="U40" s="2"/>
      <c r="V40" s="6">
        <f t="shared" si="26"/>
        <v>8.4464243845252043E-2</v>
      </c>
      <c r="W40" s="2"/>
      <c r="X40" s="7">
        <f t="shared" si="27"/>
        <v>-7594.5199999999995</v>
      </c>
      <c r="Y40" s="2"/>
      <c r="Z40" s="6">
        <f t="shared" si="28"/>
        <v>-0.78080867898767081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>
        <v>0</v>
      </c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1"/>
        <v>0</v>
      </c>
      <c r="G43" s="2"/>
      <c r="H43" s="7">
        <v>607.5</v>
      </c>
      <c r="I43" s="2"/>
      <c r="J43" s="6">
        <f t="shared" si="22"/>
        <v>7.0451119100081172E-2</v>
      </c>
      <c r="K43" s="2"/>
      <c r="L43" s="7">
        <f t="shared" si="23"/>
        <v>-607.5</v>
      </c>
      <c r="M43" s="2"/>
      <c r="N43" s="6">
        <f t="shared" si="24"/>
        <v>-1</v>
      </c>
      <c r="O43" s="11"/>
      <c r="P43" s="7"/>
      <c r="Q43" s="2"/>
      <c r="R43" s="6">
        <f t="shared" si="25"/>
        <v>0</v>
      </c>
      <c r="S43" s="2"/>
      <c r="T43" s="7">
        <v>19467</v>
      </c>
      <c r="U43" s="2"/>
      <c r="V43" s="6">
        <f t="shared" si="26"/>
        <v>0.1690504103165299</v>
      </c>
      <c r="W43" s="2"/>
      <c r="X43" s="7">
        <f t="shared" si="27"/>
        <v>-19467</v>
      </c>
      <c r="Y43" s="2"/>
      <c r="Z43" s="6">
        <f t="shared" si="28"/>
        <v>-1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8" si="29">IF(D$12=0,0,D46/D$12)</f>
        <v>0</v>
      </c>
      <c r="G46" s="1"/>
      <c r="H46" s="1">
        <f>SUM(OSRRefH22_2x_0)</f>
        <v>100</v>
      </c>
      <c r="I46" s="1"/>
      <c r="J46" s="5">
        <f t="shared" ref="J46:J58" si="30">IF(H$12=0,0,H46/H$12)</f>
        <v>1.1596892032935173E-2</v>
      </c>
      <c r="K46" s="1"/>
      <c r="L46" s="1">
        <f t="shared" ref="L46:L58" si="31">+D46-H46</f>
        <v>-100</v>
      </c>
      <c r="M46" s="1"/>
      <c r="N46" s="5">
        <f t="shared" ref="N46:N58" si="32">IF(H46=0,0,L46/H46)</f>
        <v>-1</v>
      </c>
      <c r="O46" s="13"/>
      <c r="P46" s="1">
        <f>SUM(OSRRefP22_2x_0)</f>
        <v>0</v>
      </c>
      <c r="Q46" s="1"/>
      <c r="R46" s="5">
        <f t="shared" ref="R46:R58" si="33">IF(P$12=0,0,P46/P$12)</f>
        <v>0</v>
      </c>
      <c r="S46" s="1"/>
      <c r="T46" s="1">
        <f>SUM(OSRRefT22_2x_0)</f>
        <v>1000</v>
      </c>
      <c r="U46" s="1"/>
      <c r="V46" s="5">
        <f t="shared" ref="V46:V58" si="34">IF(T$12=0,0,T46/T$12)</f>
        <v>8.6839477226347099E-3</v>
      </c>
      <c r="W46" s="1"/>
      <c r="X46" s="1">
        <f t="shared" ref="X46:X58" si="35">+P46-T46</f>
        <v>-1000</v>
      </c>
      <c r="Y46" s="1"/>
      <c r="Z46" s="5">
        <f t="shared" ref="Z46:Z58" si="36">IF(T46=0,0,X46/T46)</f>
        <v>-1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7"/>
      <c r="E47" s="2"/>
      <c r="F47" s="6">
        <f t="shared" si="29"/>
        <v>0</v>
      </c>
      <c r="G47" s="2"/>
      <c r="H47" s="7">
        <v>100</v>
      </c>
      <c r="I47" s="2"/>
      <c r="J47" s="6">
        <f t="shared" si="30"/>
        <v>1.1596892032935173E-2</v>
      </c>
      <c r="K47" s="2"/>
      <c r="L47" s="7">
        <f t="shared" si="31"/>
        <v>-100</v>
      </c>
      <c r="M47" s="2"/>
      <c r="N47" s="6">
        <f t="shared" si="32"/>
        <v>-1</v>
      </c>
      <c r="O47" s="11"/>
      <c r="P47" s="7"/>
      <c r="Q47" s="2"/>
      <c r="R47" s="6">
        <f t="shared" si="33"/>
        <v>0</v>
      </c>
      <c r="S47" s="2"/>
      <c r="T47" s="7">
        <v>1000</v>
      </c>
      <c r="U47" s="2"/>
      <c r="V47" s="6">
        <f t="shared" si="34"/>
        <v>8.6839477226347099E-3</v>
      </c>
      <c r="W47" s="2"/>
      <c r="X47" s="7">
        <f t="shared" si="35"/>
        <v>-1000</v>
      </c>
      <c r="Y47" s="2"/>
      <c r="Z47" s="6">
        <f t="shared" si="36"/>
        <v>-1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3"/>
      <c r="P48" s="1">
        <f>SUM(OSRRefP22_3x_0)</f>
        <v>3.31</v>
      </c>
      <c r="Q48" s="1"/>
      <c r="R48" s="5">
        <f t="shared" si="33"/>
        <v>1.3365798899239642E-3</v>
      </c>
      <c r="S48" s="1"/>
      <c r="T48" s="1">
        <f>SUM(OSRRefT22_3x_0)</f>
        <v>0</v>
      </c>
      <c r="U48" s="1"/>
      <c r="V48" s="5">
        <f t="shared" si="34"/>
        <v>0</v>
      </c>
      <c r="W48" s="1"/>
      <c r="X48" s="1">
        <f t="shared" si="35"/>
        <v>3.31</v>
      </c>
      <c r="Y48" s="1"/>
      <c r="Z48" s="5">
        <f t="shared" si="36"/>
        <v>0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7"/>
      <c r="E49" s="2"/>
      <c r="F49" s="6">
        <f t="shared" si="29"/>
        <v>0</v>
      </c>
      <c r="G49" s="2"/>
      <c r="H49" s="7"/>
      <c r="I49" s="2"/>
      <c r="J49" s="6">
        <f t="shared" si="30"/>
        <v>0</v>
      </c>
      <c r="K49" s="2"/>
      <c r="L49" s="7">
        <f t="shared" si="31"/>
        <v>0</v>
      </c>
      <c r="M49" s="2"/>
      <c r="N49" s="6">
        <f t="shared" si="32"/>
        <v>0</v>
      </c>
      <c r="O49" s="11"/>
      <c r="P49" s="7">
        <v>3.31</v>
      </c>
      <c r="Q49" s="2"/>
      <c r="R49" s="6">
        <f t="shared" si="33"/>
        <v>1.3365798899239642E-3</v>
      </c>
      <c r="S49" s="2"/>
      <c r="T49" s="7"/>
      <c r="U49" s="2"/>
      <c r="V49" s="6">
        <f t="shared" si="34"/>
        <v>0</v>
      </c>
      <c r="W49" s="2"/>
      <c r="X49" s="7">
        <f t="shared" si="35"/>
        <v>3.31</v>
      </c>
      <c r="Y49" s="2"/>
      <c r="Z49" s="6">
        <f t="shared" si="36"/>
        <v>0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99.95</v>
      </c>
      <c r="E50" s="1"/>
      <c r="F50" s="5">
        <f t="shared" si="29"/>
        <v>0</v>
      </c>
      <c r="G50" s="1"/>
      <c r="H50" s="1">
        <f>SUM(OSRRefH22_4x_0)</f>
        <v>546</v>
      </c>
      <c r="I50" s="1"/>
      <c r="J50" s="5">
        <f t="shared" si="30"/>
        <v>6.331903049982604E-2</v>
      </c>
      <c r="K50" s="1"/>
      <c r="L50" s="1">
        <f t="shared" si="31"/>
        <v>-446.05</v>
      </c>
      <c r="M50" s="1"/>
      <c r="N50" s="5">
        <f t="shared" si="32"/>
        <v>-0.81694139194139193</v>
      </c>
      <c r="O50" s="13"/>
      <c r="P50" s="1">
        <f>SUM(OSRRefP22_4x_0)</f>
        <v>1673.08</v>
      </c>
      <c r="Q50" s="1"/>
      <c r="R50" s="5">
        <f t="shared" si="33"/>
        <v>0.67559065928519213</v>
      </c>
      <c r="S50" s="1"/>
      <c r="T50" s="1">
        <f>SUM(OSRRefT22_4x_0)</f>
        <v>7294</v>
      </c>
      <c r="U50" s="1"/>
      <c r="V50" s="5">
        <f t="shared" si="34"/>
        <v>6.334071468889757E-2</v>
      </c>
      <c r="W50" s="1"/>
      <c r="X50" s="1">
        <f t="shared" si="35"/>
        <v>-5620.92</v>
      </c>
      <c r="Y50" s="1"/>
      <c r="Z50" s="5">
        <f t="shared" si="36"/>
        <v>-0.77062242939402248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7">
        <v>99.95</v>
      </c>
      <c r="E51" s="2"/>
      <c r="F51" s="6">
        <f t="shared" si="29"/>
        <v>0</v>
      </c>
      <c r="G51" s="2"/>
      <c r="H51" s="7">
        <v>546</v>
      </c>
      <c r="I51" s="2"/>
      <c r="J51" s="6">
        <f t="shared" si="30"/>
        <v>6.331903049982604E-2</v>
      </c>
      <c r="K51" s="2"/>
      <c r="L51" s="7">
        <f t="shared" si="31"/>
        <v>-446.05</v>
      </c>
      <c r="M51" s="2"/>
      <c r="N51" s="6">
        <f t="shared" si="32"/>
        <v>-0.81694139194139193</v>
      </c>
      <c r="O51" s="11"/>
      <c r="P51" s="7">
        <v>1673.08</v>
      </c>
      <c r="Q51" s="2"/>
      <c r="R51" s="6">
        <f t="shared" si="33"/>
        <v>0.67559065928519213</v>
      </c>
      <c r="S51" s="2"/>
      <c r="T51" s="7">
        <v>7294</v>
      </c>
      <c r="U51" s="2"/>
      <c r="V51" s="6">
        <f t="shared" si="34"/>
        <v>6.334071468889757E-2</v>
      </c>
      <c r="W51" s="2"/>
      <c r="X51" s="7">
        <f t="shared" si="35"/>
        <v>-5620.92</v>
      </c>
      <c r="Y51" s="2"/>
      <c r="Z51" s="6">
        <f t="shared" si="36"/>
        <v>-0.77062242939402248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1075.3699999999999</v>
      </c>
      <c r="E52" s="1"/>
      <c r="F52" s="5">
        <f t="shared" si="29"/>
        <v>0</v>
      </c>
      <c r="G52" s="1"/>
      <c r="H52" s="1">
        <f>SUM(OSRRefH22_5x_0)</f>
        <v>1075</v>
      </c>
      <c r="I52" s="1"/>
      <c r="J52" s="5">
        <f t="shared" si="30"/>
        <v>0.12466658935405311</v>
      </c>
      <c r="K52" s="1"/>
      <c r="L52" s="1">
        <f t="shared" si="31"/>
        <v>0.36999999999989086</v>
      </c>
      <c r="M52" s="1"/>
      <c r="N52" s="5">
        <f t="shared" si="32"/>
        <v>3.4418604651152636E-4</v>
      </c>
      <c r="O52" s="13"/>
      <c r="P52" s="1">
        <f>SUM(OSRRefP22_5x_0)</f>
        <v>11829.07</v>
      </c>
      <c r="Q52" s="1"/>
      <c r="R52" s="5">
        <f t="shared" si="33"/>
        <v>4.7765852200915004</v>
      </c>
      <c r="S52" s="1"/>
      <c r="T52" s="1">
        <f>SUM(OSRRefT22_5x_0)</f>
        <v>11825</v>
      </c>
      <c r="U52" s="1"/>
      <c r="V52" s="5">
        <f t="shared" si="34"/>
        <v>0.10268768182015545</v>
      </c>
      <c r="W52" s="1"/>
      <c r="X52" s="1">
        <f t="shared" si="35"/>
        <v>4.069999999999709</v>
      </c>
      <c r="Y52" s="1"/>
      <c r="Z52" s="5">
        <f t="shared" si="36"/>
        <v>3.4418604651160329E-4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1075.3699999999999</v>
      </c>
      <c r="E53" s="2"/>
      <c r="F53" s="6">
        <f t="shared" si="29"/>
        <v>0</v>
      </c>
      <c r="G53" s="2"/>
      <c r="H53" s="7">
        <v>1075</v>
      </c>
      <c r="I53" s="2"/>
      <c r="J53" s="6">
        <f t="shared" si="30"/>
        <v>0.12466658935405311</v>
      </c>
      <c r="K53" s="2"/>
      <c r="L53" s="7">
        <f t="shared" si="31"/>
        <v>0.36999999999989086</v>
      </c>
      <c r="M53" s="2"/>
      <c r="N53" s="6">
        <f t="shared" si="32"/>
        <v>3.4418604651152636E-4</v>
      </c>
      <c r="O53" s="11"/>
      <c r="P53" s="7">
        <v>11829.07</v>
      </c>
      <c r="Q53" s="2"/>
      <c r="R53" s="6">
        <f t="shared" si="33"/>
        <v>4.7765852200915004</v>
      </c>
      <c r="S53" s="2"/>
      <c r="T53" s="7">
        <v>11825</v>
      </c>
      <c r="U53" s="2"/>
      <c r="V53" s="6">
        <f t="shared" si="34"/>
        <v>0.10268768182015545</v>
      </c>
      <c r="W53" s="2"/>
      <c r="X53" s="7">
        <f t="shared" si="35"/>
        <v>4.069999999999709</v>
      </c>
      <c r="Y53" s="2"/>
      <c r="Z53" s="6">
        <f t="shared" si="36"/>
        <v>3.4418604651160329E-4</v>
      </c>
    </row>
    <row r="54" spans="1:26" s="27" customFormat="1" outlineLevel="1" collapsed="1" x14ac:dyDescent="0.25">
      <c r="A54" s="26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SUM(OSRRefD22_6x_0)</f>
        <v>-646.37</v>
      </c>
      <c r="E54" s="1"/>
      <c r="F54" s="5">
        <f t="shared" si="29"/>
        <v>0</v>
      </c>
      <c r="G54" s="1"/>
      <c r="H54" s="1">
        <f>SUM(OSRRefH22_6x_0)</f>
        <v>0</v>
      </c>
      <c r="I54" s="1"/>
      <c r="J54" s="5">
        <f t="shared" si="30"/>
        <v>0</v>
      </c>
      <c r="K54" s="1"/>
      <c r="L54" s="1">
        <f t="shared" si="31"/>
        <v>-646.37</v>
      </c>
      <c r="M54" s="1"/>
      <c r="N54" s="5">
        <f t="shared" si="32"/>
        <v>0</v>
      </c>
      <c r="O54" s="13"/>
      <c r="P54" s="1">
        <f>SUM(OSRRefP22_6x_0)</f>
        <v>1138.94</v>
      </c>
      <c r="Q54" s="1"/>
      <c r="R54" s="5">
        <f t="shared" si="33"/>
        <v>0.4599046223051359</v>
      </c>
      <c r="S54" s="1"/>
      <c r="T54" s="1">
        <f>SUM(OSRRefT22_6x_0)</f>
        <v>1000</v>
      </c>
      <c r="U54" s="1"/>
      <c r="V54" s="5">
        <f t="shared" si="34"/>
        <v>8.6839477226347099E-3</v>
      </c>
      <c r="W54" s="1"/>
      <c r="X54" s="1">
        <f t="shared" si="35"/>
        <v>138.94000000000005</v>
      </c>
      <c r="Y54" s="1"/>
      <c r="Z54" s="5">
        <f t="shared" si="36"/>
        <v>0.13894000000000006</v>
      </c>
    </row>
    <row r="55" spans="1:26" s="24" customFormat="1" hidden="1" outlineLevel="2" x14ac:dyDescent="0.25">
      <c r="A55" s="25"/>
      <c r="B55" s="11" t="str">
        <f>CONCATENATE("          ", "6279", " - ", "GENERAL EXPENSE")</f>
        <v xml:space="preserve">          6279 - GENERAL EXPENSE</v>
      </c>
      <c r="C55" s="11"/>
      <c r="D55" s="7">
        <v>-646.37</v>
      </c>
      <c r="E55" s="2"/>
      <c r="F55" s="6">
        <f t="shared" si="29"/>
        <v>0</v>
      </c>
      <c r="G55" s="2"/>
      <c r="H55" s="7"/>
      <c r="I55" s="2"/>
      <c r="J55" s="6">
        <f t="shared" si="30"/>
        <v>0</v>
      </c>
      <c r="K55" s="2"/>
      <c r="L55" s="7">
        <f t="shared" si="31"/>
        <v>-646.37</v>
      </c>
      <c r="M55" s="2"/>
      <c r="N55" s="6">
        <f t="shared" si="32"/>
        <v>0</v>
      </c>
      <c r="O55" s="11"/>
      <c r="P55" s="7">
        <v>1138.94</v>
      </c>
      <c r="Q55" s="2"/>
      <c r="R55" s="6">
        <f t="shared" si="33"/>
        <v>0.4599046223051359</v>
      </c>
      <c r="S55" s="2"/>
      <c r="T55" s="7">
        <v>1000</v>
      </c>
      <c r="U55" s="2"/>
      <c r="V55" s="6">
        <f t="shared" si="34"/>
        <v>8.6839477226347099E-3</v>
      </c>
      <c r="W55" s="2"/>
      <c r="X55" s="7">
        <f t="shared" si="35"/>
        <v>138.94000000000005</v>
      </c>
      <c r="Y55" s="2"/>
      <c r="Z55" s="6">
        <f t="shared" si="36"/>
        <v>0.13894000000000006</v>
      </c>
    </row>
    <row r="56" spans="1:26" s="27" customFormat="1" outlineLevel="1" collapsed="1" x14ac:dyDescent="0.25">
      <c r="A56" s="26"/>
      <c r="B56" s="13" t="str">
        <f>CONCATENATE("     ","Repair and Maintenance                            ")</f>
        <v xml:space="preserve">     Repair and Maintenance                            </v>
      </c>
      <c r="C56" s="13"/>
      <c r="D56" s="1">
        <f>SUM(OSRRefD22_7x_0)</f>
        <v>0</v>
      </c>
      <c r="E56" s="1"/>
      <c r="F56" s="5">
        <f t="shared" si="29"/>
        <v>0</v>
      </c>
      <c r="G56" s="1"/>
      <c r="H56" s="1">
        <f>SUM(OSRRefH22_7x_0)</f>
        <v>250</v>
      </c>
      <c r="I56" s="1"/>
      <c r="J56" s="5">
        <f t="shared" si="30"/>
        <v>2.8992230082337932E-2</v>
      </c>
      <c r="K56" s="1"/>
      <c r="L56" s="1">
        <f t="shared" si="31"/>
        <v>-250</v>
      </c>
      <c r="M56" s="1"/>
      <c r="N56" s="5">
        <f t="shared" si="32"/>
        <v>-1</v>
      </c>
      <c r="O56" s="13"/>
      <c r="P56" s="1">
        <f>SUM(OSRRefP22_7x_0)</f>
        <v>540.85</v>
      </c>
      <c r="Q56" s="1"/>
      <c r="R56" s="5">
        <f t="shared" si="33"/>
        <v>0.21839553881129187</v>
      </c>
      <c r="S56" s="1"/>
      <c r="T56" s="1">
        <f>SUM(OSRRefT22_7x_0)</f>
        <v>2500</v>
      </c>
      <c r="U56" s="1"/>
      <c r="V56" s="5">
        <f t="shared" si="34"/>
        <v>2.1709869306586773E-2</v>
      </c>
      <c r="W56" s="1"/>
      <c r="X56" s="1">
        <f t="shared" si="35"/>
        <v>-1959.15</v>
      </c>
      <c r="Y56" s="1"/>
      <c r="Z56" s="5">
        <f t="shared" si="36"/>
        <v>-0.78366000000000002</v>
      </c>
    </row>
    <row r="57" spans="1:26" s="24" customFormat="1" hidden="1" outlineLevel="2" x14ac:dyDescent="0.25">
      <c r="A57" s="25"/>
      <c r="B57" s="11" t="str">
        <f>CONCATENATE("          ", "6373", " - ", "MAINTENANCE CONTRACTS")</f>
        <v xml:space="preserve">          6373 - MAINTENANCE CONTRACTS</v>
      </c>
      <c r="C57" s="11"/>
      <c r="D57" s="7"/>
      <c r="E57" s="2"/>
      <c r="F57" s="6">
        <f t="shared" si="29"/>
        <v>0</v>
      </c>
      <c r="G57" s="2"/>
      <c r="H57" s="7"/>
      <c r="I57" s="2"/>
      <c r="J57" s="6">
        <f t="shared" si="30"/>
        <v>0</v>
      </c>
      <c r="K57" s="2"/>
      <c r="L57" s="7">
        <f t="shared" si="31"/>
        <v>0</v>
      </c>
      <c r="M57" s="2"/>
      <c r="N57" s="6">
        <f t="shared" si="32"/>
        <v>0</v>
      </c>
      <c r="O57" s="11"/>
      <c r="P57" s="7">
        <v>223.29</v>
      </c>
      <c r="Q57" s="2"/>
      <c r="R57" s="6">
        <f t="shared" si="33"/>
        <v>9.0164629492786086E-2</v>
      </c>
      <c r="S57" s="2"/>
      <c r="T57" s="7"/>
      <c r="U57" s="2"/>
      <c r="V57" s="6">
        <f t="shared" si="34"/>
        <v>0</v>
      </c>
      <c r="W57" s="2"/>
      <c r="X57" s="7">
        <f t="shared" si="35"/>
        <v>223.29</v>
      </c>
      <c r="Y57" s="2"/>
      <c r="Z57" s="6">
        <f t="shared" si="36"/>
        <v>0</v>
      </c>
    </row>
    <row r="58" spans="1:26" s="24" customFormat="1" hidden="1" outlineLevel="2" x14ac:dyDescent="0.25">
      <c r="A58" s="25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29"/>
        <v>0</v>
      </c>
      <c r="G58" s="2"/>
      <c r="H58" s="7">
        <v>250</v>
      </c>
      <c r="I58" s="2"/>
      <c r="J58" s="6">
        <f t="shared" si="30"/>
        <v>2.8992230082337932E-2</v>
      </c>
      <c r="K58" s="2"/>
      <c r="L58" s="7">
        <f t="shared" si="31"/>
        <v>-250</v>
      </c>
      <c r="M58" s="2"/>
      <c r="N58" s="6">
        <f t="shared" si="32"/>
        <v>-1</v>
      </c>
      <c r="O58" s="11"/>
      <c r="P58" s="7">
        <v>317.56</v>
      </c>
      <c r="Q58" s="2"/>
      <c r="R58" s="6">
        <f t="shared" si="33"/>
        <v>0.12823090931850575</v>
      </c>
      <c r="S58" s="2"/>
      <c r="T58" s="7">
        <v>2500</v>
      </c>
      <c r="U58" s="2"/>
      <c r="V58" s="6">
        <f t="shared" si="34"/>
        <v>2.1709869306586773E-2</v>
      </c>
      <c r="W58" s="2"/>
      <c r="X58" s="7">
        <f t="shared" si="35"/>
        <v>-2182.44</v>
      </c>
      <c r="Y58" s="2"/>
      <c r="Z58" s="6">
        <f t="shared" si="36"/>
        <v>-0.87297599999999997</v>
      </c>
    </row>
    <row r="59" spans="1:26" s="27" customFormat="1" outlineLevel="1" collapsed="1" x14ac:dyDescent="0.25">
      <c r="A59" s="26"/>
      <c r="B59" s="13" t="str">
        <f>CONCATENATE("     ","Royalty &amp; Commissions                             ")</f>
        <v xml:space="preserve">     Royalty &amp; Commissions                             </v>
      </c>
      <c r="C59" s="13"/>
      <c r="D59" s="1">
        <f>SUM(OSRRefD22_8x_0)</f>
        <v>0</v>
      </c>
      <c r="E59" s="1"/>
      <c r="F59" s="5">
        <f t="shared" ref="F59:F61" si="37">IF(D$12=0,0,D59/D$12)</f>
        <v>0</v>
      </c>
      <c r="G59" s="1"/>
      <c r="H59" s="1">
        <f>SUM(OSRRefH22_8x_0)</f>
        <v>767</v>
      </c>
      <c r="I59" s="1"/>
      <c r="J59" s="5">
        <f t="shared" ref="J59:J61" si="38">IF(H$12=0,0,H59/H$12)</f>
        <v>8.8948161892612773E-2</v>
      </c>
      <c r="K59" s="1"/>
      <c r="L59" s="1">
        <f t="shared" ref="L59:L61" si="39">+D59-H59</f>
        <v>-767</v>
      </c>
      <c r="M59" s="1"/>
      <c r="N59" s="5">
        <f t="shared" ref="N59:N61" si="40">IF(H59=0,0,L59/H59)</f>
        <v>-1</v>
      </c>
      <c r="O59" s="13"/>
      <c r="P59" s="1">
        <f>SUM(OSRRefP22_8x_0)</f>
        <v>185.7</v>
      </c>
      <c r="Q59" s="1"/>
      <c r="R59" s="5">
        <f t="shared" ref="R59:R61" si="41">IF(P$12=0,0,P59/P$12)</f>
        <v>7.4985766029873155E-2</v>
      </c>
      <c r="S59" s="1"/>
      <c r="T59" s="1">
        <f>SUM(OSRRefT22_8x_0)</f>
        <v>10320</v>
      </c>
      <c r="U59" s="1"/>
      <c r="V59" s="5">
        <f t="shared" ref="V59:V61" si="42">IF(T$12=0,0,T59/T$12)</f>
        <v>8.961834049759021E-2</v>
      </c>
      <c r="W59" s="1"/>
      <c r="X59" s="1">
        <f t="shared" ref="X59:X61" si="43">+P59-T59</f>
        <v>-10134.299999999999</v>
      </c>
      <c r="Y59" s="1"/>
      <c r="Z59" s="5">
        <f t="shared" ref="Z59:Z61" si="44">IF(T59=0,0,X59/T59)</f>
        <v>-0.98200581395348829</v>
      </c>
    </row>
    <row r="60" spans="1:26" s="24" customFormat="1" hidden="1" outlineLevel="2" x14ac:dyDescent="0.25">
      <c r="A60" s="25"/>
      <c r="B60" s="11" t="str">
        <f>CONCATENATE("          ", "6254", " - ", "ROYALTY &amp; COMMISSIONS")</f>
        <v xml:space="preserve">          6254 - ROYALTY &amp; COMMISSIONS</v>
      </c>
      <c r="C60" s="11"/>
      <c r="D60" s="7"/>
      <c r="E60" s="2"/>
      <c r="F60" s="6">
        <f t="shared" si="37"/>
        <v>0</v>
      </c>
      <c r="G60" s="2"/>
      <c r="H60" s="7"/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>
        <v>185.7</v>
      </c>
      <c r="Q60" s="2"/>
      <c r="R60" s="6">
        <f t="shared" si="41"/>
        <v>7.4985766029873155E-2</v>
      </c>
      <c r="S60" s="2"/>
      <c r="T60" s="7"/>
      <c r="U60" s="2"/>
      <c r="V60" s="6">
        <f t="shared" si="42"/>
        <v>0</v>
      </c>
      <c r="W60" s="2"/>
      <c r="X60" s="7">
        <f t="shared" si="43"/>
        <v>185.7</v>
      </c>
      <c r="Y60" s="2"/>
      <c r="Z60" s="6">
        <f t="shared" si="44"/>
        <v>0</v>
      </c>
    </row>
    <row r="61" spans="1:26" s="24" customFormat="1" hidden="1" outlineLevel="2" x14ac:dyDescent="0.25">
      <c r="A61" s="25"/>
      <c r="B61" s="11" t="str">
        <f>CONCATENATE("          ", "6259", " - ", "ROYALTY &amp; COMMISSIONS")</f>
        <v xml:space="preserve">          6259 - ROYALTY &amp; COMMISSIONS</v>
      </c>
      <c r="C61" s="11"/>
      <c r="D61" s="7"/>
      <c r="E61" s="2"/>
      <c r="F61" s="6">
        <f t="shared" si="37"/>
        <v>0</v>
      </c>
      <c r="G61" s="2"/>
      <c r="H61" s="7">
        <v>767</v>
      </c>
      <c r="I61" s="2"/>
      <c r="J61" s="6">
        <f t="shared" si="38"/>
        <v>8.8948161892612773E-2</v>
      </c>
      <c r="K61" s="2"/>
      <c r="L61" s="7">
        <f t="shared" si="39"/>
        <v>-767</v>
      </c>
      <c r="M61" s="2"/>
      <c r="N61" s="6">
        <f t="shared" si="40"/>
        <v>-1</v>
      </c>
      <c r="O61" s="11"/>
      <c r="P61" s="7"/>
      <c r="Q61" s="2"/>
      <c r="R61" s="6">
        <f t="shared" si="41"/>
        <v>0</v>
      </c>
      <c r="S61" s="2"/>
      <c r="T61" s="7">
        <v>10320</v>
      </c>
      <c r="U61" s="2"/>
      <c r="V61" s="6">
        <f t="shared" si="42"/>
        <v>8.961834049759021E-2</v>
      </c>
      <c r="W61" s="2"/>
      <c r="X61" s="7">
        <f t="shared" si="43"/>
        <v>-10320</v>
      </c>
      <c r="Y61" s="2"/>
      <c r="Z61" s="6">
        <f t="shared" si="44"/>
        <v>-1</v>
      </c>
    </row>
    <row r="62" spans="1:26" s="27" customFormat="1" outlineLevel="1" collapsed="1" x14ac:dyDescent="0.25">
      <c r="A62" s="26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SUM(OSRRefD22_9x_0)</f>
        <v>0</v>
      </c>
      <c r="E62" s="1"/>
      <c r="F62" s="5">
        <f t="shared" ref="F62:F64" si="45">IF(D$12=0,0,D62/D$12)</f>
        <v>0</v>
      </c>
      <c r="G62" s="1"/>
      <c r="H62" s="1">
        <f>SUM(OSRRefH22_9x_0)</f>
        <v>287</v>
      </c>
      <c r="I62" s="1"/>
      <c r="J62" s="5">
        <f t="shared" ref="J62:J64" si="46">IF(H$12=0,0,H62/H$12)</f>
        <v>3.3283080134523947E-2</v>
      </c>
      <c r="K62" s="1"/>
      <c r="L62" s="1">
        <f t="shared" ref="L62:L64" si="47">+D62-H62</f>
        <v>-287</v>
      </c>
      <c r="M62" s="1"/>
      <c r="N62" s="5">
        <f t="shared" ref="N62:N64" si="48">IF(H62=0,0,L62/H62)</f>
        <v>-1</v>
      </c>
      <c r="O62" s="13"/>
      <c r="P62" s="1">
        <f>SUM(OSRRefP22_9x_0)</f>
        <v>-63.319999999999993</v>
      </c>
      <c r="Q62" s="1"/>
      <c r="R62" s="5">
        <f t="shared" ref="R62:R64" si="49">IF(P$12=0,0,P62/P$12)</f>
        <v>-2.556865215407414E-2</v>
      </c>
      <c r="S62" s="1"/>
      <c r="T62" s="1">
        <f>SUM(OSRRefT22_9x_0)</f>
        <v>2870</v>
      </c>
      <c r="U62" s="1"/>
      <c r="V62" s="5">
        <f t="shared" ref="V62:V64" si="50">IF(T$12=0,0,T62/T$12)</f>
        <v>2.4922929963961615E-2</v>
      </c>
      <c r="W62" s="1"/>
      <c r="X62" s="1">
        <f t="shared" ref="X62:X64" si="51">+P62-T62</f>
        <v>-2933.32</v>
      </c>
      <c r="Y62" s="1"/>
      <c r="Z62" s="5">
        <f t="shared" ref="Z62:Z64" si="52">IF(T62=0,0,X62/T62)</f>
        <v>-1.022062717770035</v>
      </c>
    </row>
    <row r="63" spans="1:26" s="24" customFormat="1" hidden="1" outlineLevel="2" x14ac:dyDescent="0.25">
      <c r="A63" s="25"/>
      <c r="B63" s="11" t="str">
        <f>CONCATENATE("          ", "6282", " - ", "JANITORIAL/EXTERMINATOR EXPENS")</f>
        <v xml:space="preserve">          6282 - JANITORIAL/EXTERMINATOR EXPENS</v>
      </c>
      <c r="C63" s="11"/>
      <c r="D63" s="7"/>
      <c r="E63" s="2"/>
      <c r="F63" s="6">
        <f t="shared" si="45"/>
        <v>0</v>
      </c>
      <c r="G63" s="2"/>
      <c r="H63" s="7"/>
      <c r="I63" s="2"/>
      <c r="J63" s="6">
        <f t="shared" si="46"/>
        <v>0</v>
      </c>
      <c r="K63" s="2"/>
      <c r="L63" s="7">
        <f t="shared" si="47"/>
        <v>0</v>
      </c>
      <c r="M63" s="2"/>
      <c r="N63" s="6">
        <f t="shared" si="48"/>
        <v>0</v>
      </c>
      <c r="O63" s="11"/>
      <c r="P63" s="7">
        <v>82</v>
      </c>
      <c r="Q63" s="2"/>
      <c r="R63" s="6">
        <f t="shared" si="49"/>
        <v>3.3111646819868598E-2</v>
      </c>
      <c r="S63" s="2"/>
      <c r="T63" s="7"/>
      <c r="U63" s="2"/>
      <c r="V63" s="6">
        <f t="shared" si="50"/>
        <v>0</v>
      </c>
      <c r="W63" s="2"/>
      <c r="X63" s="7">
        <f t="shared" si="51"/>
        <v>82</v>
      </c>
      <c r="Y63" s="2"/>
      <c r="Z63" s="6">
        <f t="shared" si="52"/>
        <v>0</v>
      </c>
    </row>
    <row r="64" spans="1:26" s="24" customFormat="1" hidden="1" outlineLevel="2" x14ac:dyDescent="0.25">
      <c r="A64" s="25"/>
      <c r="B64" s="11" t="str">
        <f>CONCATENATE("          ", "6285", " - ", "JANITORIAL SERVICES")</f>
        <v xml:space="preserve">          6285 - JANITORIAL SERVICES</v>
      </c>
      <c r="C64" s="11"/>
      <c r="D64" s="7"/>
      <c r="E64" s="2"/>
      <c r="F64" s="6">
        <f t="shared" si="45"/>
        <v>0</v>
      </c>
      <c r="G64" s="2"/>
      <c r="H64" s="7">
        <v>287</v>
      </c>
      <c r="I64" s="2"/>
      <c r="J64" s="6">
        <f t="shared" si="46"/>
        <v>3.3283080134523947E-2</v>
      </c>
      <c r="K64" s="2"/>
      <c r="L64" s="7">
        <f t="shared" si="47"/>
        <v>-287</v>
      </c>
      <c r="M64" s="2"/>
      <c r="N64" s="6">
        <f t="shared" si="48"/>
        <v>-1</v>
      </c>
      <c r="O64" s="11"/>
      <c r="P64" s="7">
        <v>-145.32</v>
      </c>
      <c r="Q64" s="2"/>
      <c r="R64" s="6">
        <f t="shared" si="49"/>
        <v>-5.8680298973942738E-2</v>
      </c>
      <c r="S64" s="2"/>
      <c r="T64" s="7">
        <v>2870</v>
      </c>
      <c r="U64" s="2"/>
      <c r="V64" s="6">
        <f t="shared" si="50"/>
        <v>2.4922929963961615E-2</v>
      </c>
      <c r="W64" s="2"/>
      <c r="X64" s="7">
        <f t="shared" si="51"/>
        <v>-3015.32</v>
      </c>
      <c r="Y64" s="2"/>
      <c r="Z64" s="6">
        <f t="shared" si="52"/>
        <v>-1.0506341463414635</v>
      </c>
    </row>
    <row r="65" spans="1:26" s="27" customFormat="1" outlineLevel="1" collapsed="1" x14ac:dyDescent="0.25">
      <c r="A65" s="26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SUM(OSRRefD22_10x_0)</f>
        <v>0</v>
      </c>
      <c r="E65" s="1"/>
      <c r="F65" s="5">
        <f t="shared" ref="F65:F68" si="53">IF(D$12=0,0,D65/D$12)</f>
        <v>0</v>
      </c>
      <c r="G65" s="1"/>
      <c r="H65" s="1">
        <f>SUM(OSRRefH22_10x_0)</f>
        <v>467</v>
      </c>
      <c r="I65" s="1"/>
      <c r="J65" s="5">
        <f t="shared" ref="J65:J68" si="54">IF(H$12=0,0,H65/H$12)</f>
        <v>5.4157485793807261E-2</v>
      </c>
      <c r="K65" s="1"/>
      <c r="L65" s="1">
        <f t="shared" ref="L65:L68" si="55">+D65-H65</f>
        <v>-467</v>
      </c>
      <c r="M65" s="1"/>
      <c r="N65" s="5">
        <f t="shared" ref="N65:N68" si="56">IF(H65=0,0,L65/H65)</f>
        <v>-1</v>
      </c>
      <c r="O65" s="13"/>
      <c r="P65" s="1">
        <f>SUM(OSRRefP22_10x_0)</f>
        <v>328.55</v>
      </c>
      <c r="Q65" s="1"/>
      <c r="R65" s="5">
        <f t="shared" ref="R65:R68" si="57">IF(P$12=0,0,P65/P$12)</f>
        <v>0.13266867759351011</v>
      </c>
      <c r="S65" s="1"/>
      <c r="T65" s="1">
        <f>SUM(OSRRefT22_10x_0)</f>
        <v>4870</v>
      </c>
      <c r="U65" s="1"/>
      <c r="V65" s="5">
        <f t="shared" ref="V65:V68" si="58">IF(T$12=0,0,T65/T$12)</f>
        <v>4.2290825409231035E-2</v>
      </c>
      <c r="W65" s="1"/>
      <c r="X65" s="1">
        <f t="shared" ref="X65:X68" si="59">+P65-T65</f>
        <v>-4541.45</v>
      </c>
      <c r="Y65" s="1"/>
      <c r="Z65" s="5">
        <f t="shared" ref="Z65:Z68" si="60">IF(T65=0,0,X65/T65)</f>
        <v>-0.9325359342915811</v>
      </c>
    </row>
    <row r="66" spans="1:26" s="24" customFormat="1" hidden="1" outlineLevel="2" x14ac:dyDescent="0.25">
      <c r="A66" s="25"/>
      <c r="B66" s="11" t="str">
        <f>CONCATENATE("          ", "6235", " - ", "COVID-19 EXPENSES")</f>
        <v xml:space="preserve">          6235 - COVID-19 EXPENSES</v>
      </c>
      <c r="C66" s="11"/>
      <c r="D66" s="7"/>
      <c r="E66" s="2"/>
      <c r="F66" s="6">
        <f t="shared" si="53"/>
        <v>0</v>
      </c>
      <c r="G66" s="2"/>
      <c r="H66" s="7">
        <v>200</v>
      </c>
      <c r="I66" s="2"/>
      <c r="J66" s="6">
        <f t="shared" si="54"/>
        <v>2.3193784065870346E-2</v>
      </c>
      <c r="K66" s="2"/>
      <c r="L66" s="7">
        <f t="shared" si="55"/>
        <v>-200</v>
      </c>
      <c r="M66" s="2"/>
      <c r="N66" s="6">
        <f t="shared" si="56"/>
        <v>-1</v>
      </c>
      <c r="O66" s="11"/>
      <c r="P66" s="7">
        <v>207.27</v>
      </c>
      <c r="Q66" s="2"/>
      <c r="R66" s="6">
        <f t="shared" si="57"/>
        <v>8.3695744345782502E-2</v>
      </c>
      <c r="S66" s="2"/>
      <c r="T66" s="7">
        <v>2000</v>
      </c>
      <c r="U66" s="2"/>
      <c r="V66" s="6">
        <f t="shared" si="58"/>
        <v>1.736789544526942E-2</v>
      </c>
      <c r="W66" s="2"/>
      <c r="X66" s="7">
        <f t="shared" si="59"/>
        <v>-1792.73</v>
      </c>
      <c r="Y66" s="2"/>
      <c r="Z66" s="6">
        <f t="shared" si="60"/>
        <v>-0.89636499999999997</v>
      </c>
    </row>
    <row r="67" spans="1:26" s="24" customFormat="1" hidden="1" outlineLevel="2" x14ac:dyDescent="0.25">
      <c r="A67" s="25"/>
      <c r="B67" s="11" t="str">
        <f>CONCATENATE("          ", "6247", " - ", "STORE SUPPLIES")</f>
        <v xml:space="preserve">          6247 - STORE SUPPLIES</v>
      </c>
      <c r="C67" s="11"/>
      <c r="D67" s="7"/>
      <c r="E67" s="2"/>
      <c r="F67" s="6">
        <f t="shared" si="53"/>
        <v>0</v>
      </c>
      <c r="G67" s="2"/>
      <c r="H67" s="7">
        <v>267</v>
      </c>
      <c r="I67" s="2"/>
      <c r="J67" s="6">
        <f t="shared" si="54"/>
        <v>3.0963701727936912E-2</v>
      </c>
      <c r="K67" s="2"/>
      <c r="L67" s="7">
        <f t="shared" si="55"/>
        <v>-267</v>
      </c>
      <c r="M67" s="2"/>
      <c r="N67" s="6">
        <f t="shared" si="56"/>
        <v>-1</v>
      </c>
      <c r="O67" s="11"/>
      <c r="P67" s="7">
        <v>121.28</v>
      </c>
      <c r="Q67" s="2"/>
      <c r="R67" s="6">
        <f t="shared" si="57"/>
        <v>4.8972933247727606E-2</v>
      </c>
      <c r="S67" s="2"/>
      <c r="T67" s="7">
        <v>2670</v>
      </c>
      <c r="U67" s="2"/>
      <c r="V67" s="6">
        <f t="shared" si="58"/>
        <v>2.3186140419434675E-2</v>
      </c>
      <c r="W67" s="2"/>
      <c r="X67" s="7">
        <f t="shared" si="59"/>
        <v>-2548.7199999999998</v>
      </c>
      <c r="Y67" s="2"/>
      <c r="Z67" s="6">
        <f t="shared" si="60"/>
        <v>-0.95457677902621718</v>
      </c>
    </row>
    <row r="68" spans="1:26" s="24" customFormat="1" hidden="1" outlineLevel="2" x14ac:dyDescent="0.25">
      <c r="A68" s="25"/>
      <c r="B68" s="11" t="str">
        <f>CONCATENATE("          ", "6248", " - ", "UNIFORMS")</f>
        <v xml:space="preserve">          6248 - UNIFORMS</v>
      </c>
      <c r="C68" s="11"/>
      <c r="D68" s="7"/>
      <c r="E68" s="2"/>
      <c r="F68" s="6">
        <f t="shared" si="53"/>
        <v>0</v>
      </c>
      <c r="G68" s="2"/>
      <c r="H68" s="7"/>
      <c r="I68" s="2"/>
      <c r="J68" s="6">
        <f t="shared" si="54"/>
        <v>0</v>
      </c>
      <c r="K68" s="2"/>
      <c r="L68" s="7">
        <f t="shared" si="55"/>
        <v>0</v>
      </c>
      <c r="M68" s="2"/>
      <c r="N68" s="6">
        <f t="shared" si="56"/>
        <v>0</v>
      </c>
      <c r="O68" s="11"/>
      <c r="P68" s="7"/>
      <c r="Q68" s="2"/>
      <c r="R68" s="6">
        <f t="shared" si="57"/>
        <v>0</v>
      </c>
      <c r="S68" s="2"/>
      <c r="T68" s="7">
        <v>200</v>
      </c>
      <c r="U68" s="2"/>
      <c r="V68" s="6">
        <f t="shared" si="58"/>
        <v>1.7367895445269419E-3</v>
      </c>
      <c r="W68" s="2"/>
      <c r="X68" s="7">
        <f t="shared" si="59"/>
        <v>-200</v>
      </c>
      <c r="Y68" s="2"/>
      <c r="Z68" s="6">
        <f t="shared" si="60"/>
        <v>-1</v>
      </c>
    </row>
    <row r="69" spans="1:26" s="27" customFormat="1" outlineLevel="1" collapsed="1" x14ac:dyDescent="0.25">
      <c r="A69" s="26"/>
      <c r="B69" s="13" t="str">
        <f>CONCATENATE("     ","Telephone/Data Lines                              ")</f>
        <v xml:space="preserve">     Telephone/Data Lines                              </v>
      </c>
      <c r="C69" s="13"/>
      <c r="D69" s="1">
        <f>SUM(OSRRefD22_11x_0)</f>
        <v>51.5</v>
      </c>
      <c r="E69" s="1"/>
      <c r="F69" s="5">
        <f t="shared" ref="F69:F71" si="61">IF(D$12=0,0,D69/D$12)</f>
        <v>0</v>
      </c>
      <c r="G69" s="1"/>
      <c r="H69" s="1">
        <f>SUM(OSRRefH22_11x_0)</f>
        <v>75</v>
      </c>
      <c r="I69" s="1"/>
      <c r="J69" s="5">
        <f t="shared" ref="J69:J71" si="62">IF(H$12=0,0,H69/H$12)</f>
        <v>8.6976690247013797E-3</v>
      </c>
      <c r="K69" s="1"/>
      <c r="L69" s="1">
        <f t="shared" ref="L69:L71" si="63">+D69-H69</f>
        <v>-23.5</v>
      </c>
      <c r="M69" s="1"/>
      <c r="N69" s="5">
        <f t="shared" ref="N69:N71" si="64">IF(H69=0,0,L69/H69)</f>
        <v>-0.31333333333333335</v>
      </c>
      <c r="O69" s="13"/>
      <c r="P69" s="1">
        <f>SUM(OSRRefP22_11x_0)</f>
        <v>890</v>
      </c>
      <c r="Q69" s="1"/>
      <c r="R69" s="5">
        <f t="shared" ref="R69:R71" si="65">IF(P$12=0,0,P69/P$12)</f>
        <v>0.35938250816686651</v>
      </c>
      <c r="S69" s="1"/>
      <c r="T69" s="1">
        <f>SUM(OSRRefT22_11x_0)</f>
        <v>825</v>
      </c>
      <c r="U69" s="1"/>
      <c r="V69" s="5">
        <f t="shared" ref="V69:V71" si="66">IF(T$12=0,0,T69/T$12)</f>
        <v>7.1642568711736358E-3</v>
      </c>
      <c r="W69" s="1"/>
      <c r="X69" s="1">
        <f t="shared" ref="X69:X71" si="67">+P69-T69</f>
        <v>65</v>
      </c>
      <c r="Y69" s="1"/>
      <c r="Z69" s="5">
        <f t="shared" ref="Z69:Z71" si="68">IF(T69=0,0,X69/T69)</f>
        <v>7.8787878787878782E-2</v>
      </c>
    </row>
    <row r="70" spans="1:26" s="24" customFormat="1" hidden="1" outlineLevel="2" x14ac:dyDescent="0.25">
      <c r="A70" s="25"/>
      <c r="B70" s="11" t="str">
        <f>CONCATENATE("          ", "6303", " - ", "DATA PHONE LINES")</f>
        <v xml:space="preserve">          6303 - DATA PHONE LINES</v>
      </c>
      <c r="C70" s="11"/>
      <c r="D70" s="7"/>
      <c r="E70" s="2"/>
      <c r="F70" s="6">
        <f t="shared" si="61"/>
        <v>0</v>
      </c>
      <c r="G70" s="2"/>
      <c r="H70" s="7">
        <v>75</v>
      </c>
      <c r="I70" s="2"/>
      <c r="J70" s="6">
        <f t="shared" si="62"/>
        <v>8.6976690247013797E-3</v>
      </c>
      <c r="K70" s="2"/>
      <c r="L70" s="7">
        <f t="shared" si="63"/>
        <v>-75</v>
      </c>
      <c r="M70" s="2"/>
      <c r="N70" s="6">
        <f t="shared" si="64"/>
        <v>-1</v>
      </c>
      <c r="O70" s="11"/>
      <c r="P70" s="7"/>
      <c r="Q70" s="2"/>
      <c r="R70" s="6">
        <f t="shared" si="65"/>
        <v>0</v>
      </c>
      <c r="S70" s="2"/>
      <c r="T70" s="7">
        <v>825</v>
      </c>
      <c r="U70" s="2"/>
      <c r="V70" s="6">
        <f t="shared" si="66"/>
        <v>7.1642568711736358E-3</v>
      </c>
      <c r="W70" s="2"/>
      <c r="X70" s="7">
        <f t="shared" si="67"/>
        <v>-825</v>
      </c>
      <c r="Y70" s="2"/>
      <c r="Z70" s="6">
        <f t="shared" si="68"/>
        <v>-1</v>
      </c>
    </row>
    <row r="71" spans="1:26" s="24" customFormat="1" hidden="1" outlineLevel="2" x14ac:dyDescent="0.25">
      <c r="A71" s="25"/>
      <c r="B71" s="11" t="str">
        <f>CONCATENATE("          ", "6309", " - ", "TELEPHONE")</f>
        <v xml:space="preserve">          6309 - TELEPHONE</v>
      </c>
      <c r="C71" s="11"/>
      <c r="D71" s="7">
        <v>51.5</v>
      </c>
      <c r="E71" s="2"/>
      <c r="F71" s="6">
        <f t="shared" si="61"/>
        <v>0</v>
      </c>
      <c r="G71" s="2"/>
      <c r="H71" s="7"/>
      <c r="I71" s="2"/>
      <c r="J71" s="6">
        <f t="shared" si="62"/>
        <v>0</v>
      </c>
      <c r="K71" s="2"/>
      <c r="L71" s="7">
        <f t="shared" si="63"/>
        <v>51.5</v>
      </c>
      <c r="M71" s="2"/>
      <c r="N71" s="6">
        <f t="shared" si="64"/>
        <v>0</v>
      </c>
      <c r="O71" s="11"/>
      <c r="P71" s="7">
        <v>890</v>
      </c>
      <c r="Q71" s="2"/>
      <c r="R71" s="6">
        <f t="shared" si="65"/>
        <v>0.35938250816686651</v>
      </c>
      <c r="S71" s="2"/>
      <c r="T71" s="7"/>
      <c r="U71" s="2"/>
      <c r="V71" s="6">
        <f t="shared" si="66"/>
        <v>0</v>
      </c>
      <c r="W71" s="2"/>
      <c r="X71" s="7">
        <f t="shared" si="67"/>
        <v>890</v>
      </c>
      <c r="Y71" s="2"/>
      <c r="Z71" s="6">
        <f t="shared" si="68"/>
        <v>0</v>
      </c>
    </row>
    <row r="72" spans="1:26" s="27" customFormat="1" outlineLevel="1" collapsed="1" x14ac:dyDescent="0.25">
      <c r="A72" s="26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SUM(OSRRefD22_12x_0)</f>
        <v>0</v>
      </c>
      <c r="E72" s="1"/>
      <c r="F72" s="5">
        <f t="shared" ref="F72:F75" si="69">IF(D$12=0,0,D72/D$12)</f>
        <v>0</v>
      </c>
      <c r="G72" s="1"/>
      <c r="H72" s="1">
        <f>SUM(OSRRefH22_12x_0)</f>
        <v>0</v>
      </c>
      <c r="I72" s="1"/>
      <c r="J72" s="5">
        <f t="shared" ref="J72:J75" si="70">IF(H$12=0,0,H72/H$12)</f>
        <v>0</v>
      </c>
      <c r="K72" s="1"/>
      <c r="L72" s="1">
        <f t="shared" ref="L72:L75" si="71">+D72-H72</f>
        <v>0</v>
      </c>
      <c r="M72" s="1"/>
      <c r="N72" s="5">
        <f t="shared" ref="N72:N75" si="72">IF(H72=0,0,L72/H72)</f>
        <v>0</v>
      </c>
      <c r="O72" s="13"/>
      <c r="P72" s="1">
        <f>SUM(OSRRefP22_12x_0)</f>
        <v>0</v>
      </c>
      <c r="Q72" s="1"/>
      <c r="R72" s="5">
        <f t="shared" ref="R72:R75" si="73">IF(P$12=0,0,P72/P$12)</f>
        <v>0</v>
      </c>
      <c r="S72" s="1"/>
      <c r="T72" s="1">
        <f>SUM(OSRRefT22_12x_0)</f>
        <v>120</v>
      </c>
      <c r="U72" s="1"/>
      <c r="V72" s="5">
        <f t="shared" ref="V72:V75" si="74">IF(T$12=0,0,T72/T$12)</f>
        <v>1.0420737267161652E-3</v>
      </c>
      <c r="W72" s="1"/>
      <c r="X72" s="1">
        <f t="shared" ref="X72:X75" si="75">+P72-T72</f>
        <v>-120</v>
      </c>
      <c r="Y72" s="1"/>
      <c r="Z72" s="5">
        <f t="shared" ref="Z72:Z75" si="76">IF(T72=0,0,X72/T72)</f>
        <v>-1</v>
      </c>
    </row>
    <row r="73" spans="1:26" s="24" customFormat="1" hidden="1" outlineLevel="2" x14ac:dyDescent="0.25">
      <c r="A73" s="25"/>
      <c r="B73" s="11" t="str">
        <f>CONCATENATE("          ", "6376", " - ", "TRAINING")</f>
        <v xml:space="preserve">          6376 - TRAINING</v>
      </c>
      <c r="C73" s="11"/>
      <c r="D73" s="7"/>
      <c r="E73" s="2"/>
      <c r="F73" s="6">
        <f t="shared" si="69"/>
        <v>0</v>
      </c>
      <c r="G73" s="2"/>
      <c r="H73" s="7"/>
      <c r="I73" s="2"/>
      <c r="J73" s="6">
        <f t="shared" si="70"/>
        <v>0</v>
      </c>
      <c r="K73" s="2"/>
      <c r="L73" s="7">
        <f t="shared" si="71"/>
        <v>0</v>
      </c>
      <c r="M73" s="2"/>
      <c r="N73" s="6">
        <f t="shared" si="72"/>
        <v>0</v>
      </c>
      <c r="O73" s="11"/>
      <c r="P73" s="7"/>
      <c r="Q73" s="2"/>
      <c r="R73" s="6">
        <f t="shared" si="73"/>
        <v>0</v>
      </c>
      <c r="S73" s="2"/>
      <c r="T73" s="7">
        <v>120</v>
      </c>
      <c r="U73" s="2"/>
      <c r="V73" s="6">
        <f t="shared" si="74"/>
        <v>1.0420737267161652E-3</v>
      </c>
      <c r="W73" s="2"/>
      <c r="X73" s="7">
        <f t="shared" si="75"/>
        <v>-120</v>
      </c>
      <c r="Y73" s="2"/>
      <c r="Z73" s="6">
        <f t="shared" si="76"/>
        <v>-1</v>
      </c>
    </row>
    <row r="74" spans="1:26" s="27" customFormat="1" outlineLevel="1" collapsed="1" x14ac:dyDescent="0.25">
      <c r="A74" s="26"/>
      <c r="B74" s="13" t="str">
        <f>CONCATENATE("     ","Utilities                                         ")</f>
        <v xml:space="preserve">     Utilities                                         </v>
      </c>
      <c r="C74" s="13"/>
      <c r="D74" s="1">
        <f>SUM(OSRRefD22_13x_0)</f>
        <v>50</v>
      </c>
      <c r="E74" s="1"/>
      <c r="F74" s="5">
        <f t="shared" si="69"/>
        <v>0</v>
      </c>
      <c r="G74" s="1"/>
      <c r="H74" s="1">
        <f>SUM(OSRRefH22_13x_0)</f>
        <v>50</v>
      </c>
      <c r="I74" s="1"/>
      <c r="J74" s="5">
        <f t="shared" si="70"/>
        <v>5.7984460164675865E-3</v>
      </c>
      <c r="K74" s="1"/>
      <c r="L74" s="1">
        <f t="shared" si="71"/>
        <v>0</v>
      </c>
      <c r="M74" s="1"/>
      <c r="N74" s="5">
        <f t="shared" si="72"/>
        <v>0</v>
      </c>
      <c r="O74" s="13"/>
      <c r="P74" s="1">
        <f>SUM(OSRRefP22_13x_0)</f>
        <v>550</v>
      </c>
      <c r="Q74" s="1"/>
      <c r="R74" s="5">
        <f t="shared" si="73"/>
        <v>0.22209031403570403</v>
      </c>
      <c r="S74" s="1"/>
      <c r="T74" s="1">
        <f>SUM(OSRRefT22_13x_0)</f>
        <v>550</v>
      </c>
      <c r="U74" s="1"/>
      <c r="V74" s="5">
        <f t="shared" si="74"/>
        <v>4.7761712474490899E-3</v>
      </c>
      <c r="W74" s="1"/>
      <c r="X74" s="1">
        <f t="shared" si="75"/>
        <v>0</v>
      </c>
      <c r="Y74" s="1"/>
      <c r="Z74" s="5">
        <f t="shared" si="76"/>
        <v>0</v>
      </c>
    </row>
    <row r="75" spans="1:26" s="24" customFormat="1" hidden="1" outlineLevel="2" x14ac:dyDescent="0.25">
      <c r="A75" s="25"/>
      <c r="B75" s="11" t="str">
        <f>CONCATENATE("          ", "6274", " - ", "UTILITIES")</f>
        <v xml:space="preserve">          6274 - UTILITIES</v>
      </c>
      <c r="C75" s="11"/>
      <c r="D75" s="7">
        <v>50</v>
      </c>
      <c r="E75" s="2"/>
      <c r="F75" s="6">
        <f t="shared" si="69"/>
        <v>0</v>
      </c>
      <c r="G75" s="2"/>
      <c r="H75" s="7">
        <v>50</v>
      </c>
      <c r="I75" s="2"/>
      <c r="J75" s="6">
        <f t="shared" si="70"/>
        <v>5.7984460164675865E-3</v>
      </c>
      <c r="K75" s="2"/>
      <c r="L75" s="7">
        <f t="shared" si="71"/>
        <v>0</v>
      </c>
      <c r="M75" s="2"/>
      <c r="N75" s="6">
        <f t="shared" si="72"/>
        <v>0</v>
      </c>
      <c r="O75" s="11"/>
      <c r="P75" s="7">
        <v>550</v>
      </c>
      <c r="Q75" s="2"/>
      <c r="R75" s="6">
        <f t="shared" si="73"/>
        <v>0.22209031403570403</v>
      </c>
      <c r="S75" s="2"/>
      <c r="T75" s="7">
        <v>550</v>
      </c>
      <c r="U75" s="2"/>
      <c r="V75" s="6">
        <f t="shared" si="74"/>
        <v>4.7761712474490899E-3</v>
      </c>
      <c r="W75" s="2"/>
      <c r="X75" s="7">
        <f t="shared" si="75"/>
        <v>0</v>
      </c>
      <c r="Y75" s="2"/>
      <c r="Z75" s="6">
        <f t="shared" si="76"/>
        <v>0</v>
      </c>
    </row>
    <row r="76" spans="1:26" s="56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9" t="s">
        <v>293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8" t="s">
        <v>277</v>
      </c>
      <c r="C79" s="28"/>
      <c r="D79" s="20">
        <f>+D22-D24+D77</f>
        <v>-630.44999999999993</v>
      </c>
      <c r="E79" s="14"/>
      <c r="F79" s="21">
        <f>IF(D$12=0,0,D79/D$12)</f>
        <v>0</v>
      </c>
      <c r="G79" s="14"/>
      <c r="H79" s="20">
        <f>+H22-H24+H77</f>
        <v>-1536.4216305</v>
      </c>
      <c r="I79" s="14"/>
      <c r="J79" s="21">
        <f>IF(H$12=0,0,H79/H$12)</f>
        <v>-0.17817715765974718</v>
      </c>
      <c r="K79" s="15"/>
      <c r="L79" s="20">
        <f>+D79-H79</f>
        <v>905.97163050000006</v>
      </c>
      <c r="M79" s="15"/>
      <c r="N79" s="21">
        <f>IF(H79=0,0,L79/H79)</f>
        <v>-0.58966341824097357</v>
      </c>
      <c r="O79" s="29"/>
      <c r="P79" s="20">
        <f>+P22-P24+P77</f>
        <v>-58791.389999999985</v>
      </c>
      <c r="Q79" s="14"/>
      <c r="R79" s="21">
        <f>IF(P$12=0,0,P79/P$12)</f>
        <v>-23.739996850355539</v>
      </c>
      <c r="S79" s="14"/>
      <c r="T79" s="20">
        <f>+T22-T24+T77</f>
        <v>-44794.3217878</v>
      </c>
      <c r="U79" s="14"/>
      <c r="V79" s="21">
        <f>IF(T$12=0,0,T79/T$12)</f>
        <v>-0.38899154867613217</v>
      </c>
      <c r="W79" s="15"/>
      <c r="X79" s="20">
        <f>+P79-T79</f>
        <v>-13997.068212199985</v>
      </c>
      <c r="Y79" s="15"/>
      <c r="Z79" s="21">
        <f>IF(T79=0,0,X79/T79)</f>
        <v>0.3124741630983276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128</v>
      </c>
      <c r="C81" s="10"/>
      <c r="D81" s="4">
        <v>11.11</v>
      </c>
      <c r="E81" s="4"/>
      <c r="F81" s="12">
        <f>IF(D$12=0,0,D81/D$12)</f>
        <v>0</v>
      </c>
      <c r="G81" s="4"/>
      <c r="H81" s="4">
        <v>1961</v>
      </c>
      <c r="I81" s="4"/>
      <c r="J81" s="12">
        <f>IF(H$12=0,0,H81/H$12)</f>
        <v>0.22741505276585874</v>
      </c>
      <c r="K81" s="4"/>
      <c r="L81" s="4">
        <f>+D81-H81</f>
        <v>-1949.89</v>
      </c>
      <c r="M81" s="4"/>
      <c r="N81" s="12">
        <f>IF(H81=0,0,L81/H81)</f>
        <v>-0.99433452320244775</v>
      </c>
      <c r="O81" s="10"/>
      <c r="P81" s="4">
        <v>529.20000000000005</v>
      </c>
      <c r="Q81" s="4"/>
      <c r="R81" s="12">
        <f>IF(P$12=0,0,P81/P$12)</f>
        <v>0.2136912621594447</v>
      </c>
      <c r="S81" s="4"/>
      <c r="T81" s="4">
        <v>21259</v>
      </c>
      <c r="U81" s="4"/>
      <c r="V81" s="12">
        <f>IF(T$12=0,0,T81/T$12)</f>
        <v>0.1846120446354913</v>
      </c>
      <c r="W81" s="4"/>
      <c r="X81" s="4">
        <f>+P81-T81</f>
        <v>-20729.8</v>
      </c>
      <c r="Y81" s="4"/>
      <c r="Z81" s="12">
        <f>IF(T81=0,0,X81/T81)</f>
        <v>-0.9751070135001646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126</v>
      </c>
      <c r="C83" s="28"/>
      <c r="D83" s="35">
        <f>+D79-D81</f>
        <v>-641.55999999999995</v>
      </c>
      <c r="E83" s="14"/>
      <c r="F83" s="34">
        <f>IF(D$12=0,0,D83/D$12)</f>
        <v>0</v>
      </c>
      <c r="G83" s="14"/>
      <c r="H83" s="35">
        <f>+H79-H81</f>
        <v>-3497.4216305</v>
      </c>
      <c r="I83" s="14"/>
      <c r="J83" s="34">
        <f>IF(H$12=0,0,H83/H$12)</f>
        <v>-0.40559221042560595</v>
      </c>
      <c r="K83" s="15"/>
      <c r="L83" s="35">
        <f>D83-H83</f>
        <v>2855.8616305</v>
      </c>
      <c r="M83" s="15"/>
      <c r="N83" s="34">
        <f>IF(H83=0,0,L83/H83)</f>
        <v>-0.81656200830773695</v>
      </c>
      <c r="O83" s="29"/>
      <c r="P83" s="35">
        <f>+P79-P81</f>
        <v>-59320.589999999982</v>
      </c>
      <c r="Q83" s="14"/>
      <c r="R83" s="34">
        <f>IF(P$12=0,0,P83/P$12)</f>
        <v>-23.953688112514982</v>
      </c>
      <c r="S83" s="14"/>
      <c r="T83" s="35">
        <f>+T79-T81</f>
        <v>-66053.3217878</v>
      </c>
      <c r="U83" s="14"/>
      <c r="V83" s="34">
        <f>IF(T$12=0,0,T83/T$12)</f>
        <v>-0.57360359331162347</v>
      </c>
      <c r="W83" s="15"/>
      <c r="X83" s="35">
        <f>P83-T83</f>
        <v>6732.7317878000176</v>
      </c>
      <c r="Y83" s="15"/>
      <c r="Z83" s="34">
        <f>IF(T83=0,0,X83/T83)</f>
        <v>-0.10192873886690053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294</v>
      </c>
      <c r="C86" s="28"/>
      <c r="D86" s="33">
        <f>SUM(D83:D85)</f>
        <v>-641.55999999999995</v>
      </c>
      <c r="E86" s="14"/>
      <c r="F86" s="32">
        <f>IF(D$12=0,0,D86/D$12)</f>
        <v>0</v>
      </c>
      <c r="G86" s="14"/>
      <c r="H86" s="33">
        <f>SUM(H83:H85)</f>
        <v>-3497.4216305</v>
      </c>
      <c r="I86" s="14"/>
      <c r="J86" s="32">
        <f>IF(H$12=0,0,H86/H$12)</f>
        <v>-0.40559221042560595</v>
      </c>
      <c r="K86" s="15"/>
      <c r="L86" s="33">
        <f>+D86-H86</f>
        <v>2855.8616305</v>
      </c>
      <c r="M86" s="15"/>
      <c r="N86" s="32">
        <f>IF(H86=0,0,L86/H86)</f>
        <v>-0.81656200830773695</v>
      </c>
      <c r="O86" s="29"/>
      <c r="P86" s="33">
        <f>SUM(P83:P85)</f>
        <v>-59320.589999999982</v>
      </c>
      <c r="Q86" s="14"/>
      <c r="R86" s="32">
        <f>IF(P$12=0,0,P86/P$12)</f>
        <v>-23.953688112514982</v>
      </c>
      <c r="S86" s="14"/>
      <c r="T86" s="33">
        <f>SUM(T83:T85)</f>
        <v>-66053.3217878</v>
      </c>
      <c r="U86" s="14"/>
      <c r="V86" s="32">
        <f>IF(T$12=0,0,T86/T$12)</f>
        <v>-0.57360359331162347</v>
      </c>
      <c r="W86" s="15"/>
      <c r="X86" s="33">
        <f>+P86-T86</f>
        <v>6732.7317878000176</v>
      </c>
      <c r="Y86" s="15"/>
      <c r="Z86" s="32">
        <f>IF(T86=0,0,X86/T86)</f>
        <v>-0.10192873886690053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60">
        <v>44356.891834571761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5" t="s">
        <v>56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63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","322", " - ", "Beach Hut")</f>
        <v>Department 322 - Beach Hut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0</v>
      </c>
      <c r="I15" s="4"/>
      <c r="J15" s="12">
        <f t="shared" ref="J15:J17" si="5">IF(H$12=0,0,H15/H$12)</f>
        <v>0</v>
      </c>
      <c r="K15" s="4"/>
      <c r="L15" s="4">
        <f t="shared" ref="L15:L17" si="6">+D15-H15</f>
        <v>0</v>
      </c>
      <c r="M15" s="4"/>
      <c r="N15" s="12">
        <f t="shared" ref="N15:N17" si="7">IF(H15=0,0,L15/H15)</f>
        <v>0</v>
      </c>
      <c r="O15" s="10"/>
      <c r="P15" s="4">
        <f>SUM(OSRRefP16x_0)</f>
        <v>-1222.33</v>
      </c>
      <c r="Q15" s="4"/>
      <c r="R15" s="12">
        <f t="shared" ref="R15:R17" si="8">IF(P$12=0,0,P15/P$12)</f>
        <v>0</v>
      </c>
      <c r="S15" s="4"/>
      <c r="T15" s="4">
        <f>SUM(OSRRefT16x_0)</f>
        <v>0</v>
      </c>
      <c r="U15" s="4"/>
      <c r="V15" s="12">
        <f t="shared" ref="V15:V17" si="9">IF(T$12=0,0,T15/T$12)</f>
        <v>0</v>
      </c>
      <c r="W15" s="4"/>
      <c r="X15" s="4">
        <f t="shared" ref="X15:X17" si="10">+P15-T15</f>
        <v>-1222.33</v>
      </c>
      <c r="Y15" s="4"/>
      <c r="Z15" s="12">
        <f t="shared" ref="Z15:Z17" si="11">IF(T15=0,0,X15/T15)</f>
        <v>0</v>
      </c>
    </row>
    <row r="16" spans="1:26" s="24" customFormat="1" hidden="1" outlineLevel="1" x14ac:dyDescent="0.25">
      <c r="A16" s="44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19">
        <f t="shared" si="4"/>
        <v>0</v>
      </c>
      <c r="G16" s="2"/>
      <c r="H16" s="2">
        <v>0</v>
      </c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/>
      <c r="Q16" s="2"/>
      <c r="R16" s="19">
        <f t="shared" si="8"/>
        <v>0</v>
      </c>
      <c r="S16" s="2"/>
      <c r="T16" s="2">
        <v>0</v>
      </c>
      <c r="U16" s="2"/>
      <c r="V16" s="19">
        <f t="shared" si="9"/>
        <v>0</v>
      </c>
      <c r="W16" s="2"/>
      <c r="X16" s="2">
        <f t="shared" si="10"/>
        <v>0</v>
      </c>
      <c r="Y16" s="2"/>
      <c r="Z16" s="19">
        <f t="shared" si="11"/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4"/>
        <v>0</v>
      </c>
      <c r="G17" s="2"/>
      <c r="H17" s="2"/>
      <c r="I17" s="2"/>
      <c r="J17" s="19">
        <f t="shared" si="5"/>
        <v>0</v>
      </c>
      <c r="K17" s="2"/>
      <c r="L17" s="2">
        <f t="shared" si="6"/>
        <v>0</v>
      </c>
      <c r="M17" s="2"/>
      <c r="N17" s="19">
        <f t="shared" si="7"/>
        <v>0</v>
      </c>
      <c r="O17" s="11"/>
      <c r="P17" s="2">
        <v>-1222.33</v>
      </c>
      <c r="Q17" s="2"/>
      <c r="R17" s="19">
        <f t="shared" si="8"/>
        <v>0</v>
      </c>
      <c r="S17" s="2"/>
      <c r="T17" s="2"/>
      <c r="U17" s="2"/>
      <c r="V17" s="19">
        <f t="shared" si="9"/>
        <v>0</v>
      </c>
      <c r="W17" s="2"/>
      <c r="X17" s="2">
        <f t="shared" si="10"/>
        <v>-1222.33</v>
      </c>
      <c r="Y17" s="2"/>
      <c r="Z17" s="19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108</v>
      </c>
      <c r="C19" s="28"/>
      <c r="D19" s="20">
        <f>D12-D15</f>
        <v>0</v>
      </c>
      <c r="E19" s="14"/>
      <c r="F19" s="21">
        <f>IF(D$12=0,0,D19/D$12)</f>
        <v>0</v>
      </c>
      <c r="G19" s="14"/>
      <c r="H19" s="20">
        <f>H12-H15</f>
        <v>0</v>
      </c>
      <c r="I19" s="14"/>
      <c r="J19" s="21">
        <f>IF(H$12=0,0,H19/H$12)</f>
        <v>0</v>
      </c>
      <c r="K19" s="15"/>
      <c r="L19" s="20">
        <f>+D19-H19</f>
        <v>0</v>
      </c>
      <c r="M19" s="15"/>
      <c r="N19" s="21">
        <f>IF(H19=0,0,L19/H19)</f>
        <v>0</v>
      </c>
      <c r="O19" s="29"/>
      <c r="P19" s="20">
        <f>P12-P15</f>
        <v>1222.33</v>
      </c>
      <c r="Q19" s="14"/>
      <c r="R19" s="21">
        <f>IF(P$12=0,0,P19/P$12)</f>
        <v>0</v>
      </c>
      <c r="S19" s="14"/>
      <c r="T19" s="20">
        <f>T12-T15</f>
        <v>0</v>
      </c>
      <c r="U19" s="14"/>
      <c r="V19" s="21">
        <f>IF(T$12=0,0,T19/T$12)</f>
        <v>0</v>
      </c>
      <c r="W19" s="15"/>
      <c r="X19" s="20">
        <f>+P19-T19</f>
        <v>1222.33</v>
      </c>
      <c r="Y19" s="15"/>
      <c r="Z19" s="21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295</v>
      </c>
      <c r="C21" s="10"/>
      <c r="D21" s="22">
        <f>SUM(OSRRefD22x_0)</f>
        <v>2225.34</v>
      </c>
      <c r="E21" s="22"/>
      <c r="F21" s="31">
        <f t="shared" ref="F21:F30" si="12">IF(D$12=0,0,D21/D$12)</f>
        <v>0</v>
      </c>
      <c r="G21" s="22"/>
      <c r="H21" s="22">
        <f>SUM(OSRRefH22x_0)</f>
        <v>2017</v>
      </c>
      <c r="I21" s="22"/>
      <c r="J21" s="31">
        <f t="shared" ref="J21:J30" si="13">IF(H$12=0,0,H21/H$12)</f>
        <v>0</v>
      </c>
      <c r="K21" s="4"/>
      <c r="L21" s="22">
        <f t="shared" ref="L21:L30" si="14">+D21-H21</f>
        <v>208.34000000000015</v>
      </c>
      <c r="M21" s="4"/>
      <c r="N21" s="31">
        <f t="shared" ref="N21:N30" si="15">IF(H21=0,0,L21/H21)</f>
        <v>0.10329201784828961</v>
      </c>
      <c r="O21" s="10"/>
      <c r="P21" s="22">
        <f>SUM(OSRRefP22x_0)</f>
        <v>26488.340000000004</v>
      </c>
      <c r="Q21" s="22"/>
      <c r="R21" s="31">
        <f t="shared" ref="R21:R30" si="16">IF(P$12=0,0,P21/P$12)</f>
        <v>0</v>
      </c>
      <c r="S21" s="22"/>
      <c r="T21" s="22">
        <f>SUM(OSRRefT22x_0)</f>
        <v>22187</v>
      </c>
      <c r="U21" s="22"/>
      <c r="V21" s="31">
        <f t="shared" ref="V21:V30" si="17">IF(T$12=0,0,T21/T$12)</f>
        <v>0</v>
      </c>
      <c r="W21" s="4"/>
      <c r="X21" s="22">
        <f t="shared" ref="X21:X30" si="18">+P21-T21</f>
        <v>4301.3400000000038</v>
      </c>
      <c r="Y21" s="4"/>
      <c r="Z21" s="31">
        <f t="shared" ref="Z21:Z30" si="19">IF(T21=0,0,X21/T21)</f>
        <v>0.19386758011448163</v>
      </c>
    </row>
    <row r="22" spans="1:26" s="27" customFormat="1" outlineLevel="1" collapsed="1" x14ac:dyDescent="0.25">
      <c r="A22" s="26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0</v>
      </c>
      <c r="M22" s="1"/>
      <c r="N22" s="5">
        <f t="shared" si="15"/>
        <v>0</v>
      </c>
      <c r="O22" s="13"/>
      <c r="P22" s="1">
        <f>SUM(OSRRefP22_0x_0)</f>
        <v>1595.9699999999998</v>
      </c>
      <c r="Q22" s="1"/>
      <c r="R22" s="5">
        <f t="shared" si="16"/>
        <v>0</v>
      </c>
      <c r="S22" s="1"/>
      <c r="T22" s="1">
        <f>SUM(OSRRefT22_0x_0)</f>
        <v>0</v>
      </c>
      <c r="U22" s="1"/>
      <c r="V22" s="5">
        <f t="shared" si="17"/>
        <v>0</v>
      </c>
      <c r="W22" s="1"/>
      <c r="X22" s="1">
        <f t="shared" si="18"/>
        <v>1595.9699999999998</v>
      </c>
      <c r="Y22" s="1"/>
      <c r="Z22" s="5">
        <f t="shared" si="19"/>
        <v>0</v>
      </c>
    </row>
    <row r="23" spans="1:26" s="24" customFormat="1" hidden="1" outlineLevel="2" x14ac:dyDescent="0.25">
      <c r="A23" s="25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>
        <v>159.12</v>
      </c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159.12</v>
      </c>
      <c r="Y23" s="2"/>
      <c r="Z23" s="6">
        <f t="shared" si="19"/>
        <v>0</v>
      </c>
    </row>
    <row r="24" spans="1:26" s="24" customFormat="1" hidden="1" outlineLevel="2" x14ac:dyDescent="0.25">
      <c r="A24" s="25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5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>
        <v>683.68</v>
      </c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683.68</v>
      </c>
      <c r="Y25" s="2"/>
      <c r="Z25" s="6">
        <f t="shared" si="19"/>
        <v>0</v>
      </c>
    </row>
    <row r="26" spans="1:26" s="24" customFormat="1" hidden="1" outlineLevel="2" x14ac:dyDescent="0.25">
      <c r="A26" s="25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5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>
        <v>321.57</v>
      </c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321.57</v>
      </c>
      <c r="Y27" s="2"/>
      <c r="Z27" s="6">
        <f t="shared" si="19"/>
        <v>0</v>
      </c>
    </row>
    <row r="28" spans="1:26" s="24" customFormat="1" hidden="1" outlineLevel="2" x14ac:dyDescent="0.25">
      <c r="A28" s="25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>
        <v>239.72</v>
      </c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239.72</v>
      </c>
      <c r="Y29" s="2"/>
      <c r="Z29" s="6">
        <f t="shared" si="19"/>
        <v>0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>
        <v>191.88</v>
      </c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191.88</v>
      </c>
      <c r="Y30" s="2"/>
      <c r="Z30" s="6">
        <f t="shared" si="19"/>
        <v>0</v>
      </c>
    </row>
    <row r="31" spans="1:26" s="27" customFormat="1" outlineLevel="1" collapsed="1" x14ac:dyDescent="0.25">
      <c r="A31" s="26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0</v>
      </c>
      <c r="E31" s="1"/>
      <c r="F31" s="5">
        <f t="shared" ref="F31:F41" si="20">IF(D$12=0,0,D31/D$12)</f>
        <v>0</v>
      </c>
      <c r="G31" s="1"/>
      <c r="H31" s="1">
        <f>SUM(OSRRefH22_1x_0)</f>
        <v>0</v>
      </c>
      <c r="I31" s="1"/>
      <c r="J31" s="5">
        <f t="shared" ref="J31:J41" si="21">IF(H$12=0,0,H31/H$12)</f>
        <v>0</v>
      </c>
      <c r="K31" s="1"/>
      <c r="L31" s="1">
        <f t="shared" ref="L31:L41" si="22">+D31-H31</f>
        <v>0</v>
      </c>
      <c r="M31" s="1"/>
      <c r="N31" s="5">
        <f t="shared" ref="N31:N41" si="23">IF(H31=0,0,L31/H31)</f>
        <v>0</v>
      </c>
      <c r="O31" s="13"/>
      <c r="P31" s="1">
        <f>SUM(OSRRefP22_1x_0)</f>
        <v>2080</v>
      </c>
      <c r="Q31" s="1"/>
      <c r="R31" s="5">
        <f t="shared" ref="R31:R41" si="24">IF(P$12=0,0,P31/P$12)</f>
        <v>0</v>
      </c>
      <c r="S31" s="1"/>
      <c r="T31" s="1">
        <f>SUM(OSRRefT22_1x_0)</f>
        <v>0</v>
      </c>
      <c r="U31" s="1"/>
      <c r="V31" s="5">
        <f t="shared" ref="V31:V41" si="25">IF(T$12=0,0,T31/T$12)</f>
        <v>0</v>
      </c>
      <c r="W31" s="1"/>
      <c r="X31" s="1">
        <f t="shared" ref="X31:X41" si="26">+P31-T31</f>
        <v>2080</v>
      </c>
      <c r="Y31" s="1"/>
      <c r="Z31" s="5">
        <f t="shared" ref="Z31:Z41" si="27">IF(T31=0,0,X31/T31)</f>
        <v>0</v>
      </c>
    </row>
    <row r="32" spans="1:26" s="24" customFormat="1" hidden="1" outlineLevel="2" x14ac:dyDescent="0.25">
      <c r="A32" s="25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>
        <v>2080</v>
      </c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2080</v>
      </c>
      <c r="Y33" s="2"/>
      <c r="Z33" s="6">
        <f t="shared" si="27"/>
        <v>0</v>
      </c>
    </row>
    <row r="34" spans="1:26" s="24" customFormat="1" hidden="1" outlineLevel="2" x14ac:dyDescent="0.25">
      <c r="A34" s="25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5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5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5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7" customFormat="1" outlineLevel="1" collapsed="1" x14ac:dyDescent="0.25">
      <c r="A42" s="26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54" si="28">IF(D$12=0,0,D42/D$12)</f>
        <v>0</v>
      </c>
      <c r="G42" s="1"/>
      <c r="H42" s="1">
        <f>SUM(OSRRefH22_2x_0)</f>
        <v>0</v>
      </c>
      <c r="I42" s="1"/>
      <c r="J42" s="5">
        <f t="shared" ref="J42:J54" si="29">IF(H$12=0,0,H42/H$12)</f>
        <v>0</v>
      </c>
      <c r="K42" s="1"/>
      <c r="L42" s="1">
        <f t="shared" ref="L42:L54" si="30">+D42-H42</f>
        <v>0</v>
      </c>
      <c r="M42" s="1"/>
      <c r="N42" s="5">
        <f t="shared" ref="N42:N54" si="31">IF(H42=0,0,L42/H42)</f>
        <v>0</v>
      </c>
      <c r="O42" s="13"/>
      <c r="P42" s="1">
        <f>SUM(OSRRefP22_2x_0)</f>
        <v>0</v>
      </c>
      <c r="Q42" s="1"/>
      <c r="R42" s="5">
        <f t="shared" ref="R42:R54" si="32">IF(P$12=0,0,P42/P$12)</f>
        <v>0</v>
      </c>
      <c r="S42" s="1"/>
      <c r="T42" s="1">
        <f>SUM(OSRRefT22_2x_0)</f>
        <v>0</v>
      </c>
      <c r="U42" s="1"/>
      <c r="V42" s="5">
        <f t="shared" ref="V42:V54" si="33">IF(T$12=0,0,T42/T$12)</f>
        <v>0</v>
      </c>
      <c r="W42" s="1"/>
      <c r="X42" s="1">
        <f t="shared" ref="X42:X54" si="34">+P42-T42</f>
        <v>0</v>
      </c>
      <c r="Y42" s="1"/>
      <c r="Z42" s="5">
        <f t="shared" ref="Z42:Z54" si="35">IF(T42=0,0,X42/T42)</f>
        <v>0</v>
      </c>
    </row>
    <row r="43" spans="1:26" s="24" customFormat="1" hidden="1" outlineLevel="2" x14ac:dyDescent="0.25">
      <c r="A43" s="25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8"/>
        <v>0</v>
      </c>
      <c r="G43" s="2"/>
      <c r="H43" s="7">
        <v>0</v>
      </c>
      <c r="I43" s="2"/>
      <c r="J43" s="6">
        <f t="shared" si="29"/>
        <v>0</v>
      </c>
      <c r="K43" s="2"/>
      <c r="L43" s="7">
        <f t="shared" si="30"/>
        <v>0</v>
      </c>
      <c r="M43" s="2"/>
      <c r="N43" s="6">
        <f t="shared" si="31"/>
        <v>0</v>
      </c>
      <c r="O43" s="11"/>
      <c r="P43" s="7"/>
      <c r="Q43" s="2"/>
      <c r="R43" s="6">
        <f t="shared" si="32"/>
        <v>0</v>
      </c>
      <c r="S43" s="2"/>
      <c r="T43" s="7">
        <v>0</v>
      </c>
      <c r="U43" s="2"/>
      <c r="V43" s="6">
        <f t="shared" si="33"/>
        <v>0</v>
      </c>
      <c r="W43" s="2"/>
      <c r="X43" s="7">
        <f t="shared" si="34"/>
        <v>0</v>
      </c>
      <c r="Y43" s="2"/>
      <c r="Z43" s="6">
        <f t="shared" si="35"/>
        <v>0</v>
      </c>
    </row>
    <row r="44" spans="1:26" s="27" customFormat="1" outlineLevel="1" collapsed="1" x14ac:dyDescent="0.25">
      <c r="A44" s="26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0</v>
      </c>
      <c r="M44" s="1"/>
      <c r="N44" s="5">
        <f t="shared" si="31"/>
        <v>0</v>
      </c>
      <c r="O44" s="13"/>
      <c r="P44" s="1">
        <f>SUM(OSRRefP22_3x_0)</f>
        <v>0</v>
      </c>
      <c r="Q44" s="1"/>
      <c r="R44" s="5">
        <f t="shared" si="32"/>
        <v>0</v>
      </c>
      <c r="S44" s="1"/>
      <c r="T44" s="1">
        <f>SUM(OSRRefT22_3x_0)</f>
        <v>0</v>
      </c>
      <c r="U44" s="1"/>
      <c r="V44" s="5">
        <f t="shared" si="33"/>
        <v>0</v>
      </c>
      <c r="W44" s="1"/>
      <c r="X44" s="1">
        <f t="shared" si="34"/>
        <v>0</v>
      </c>
      <c r="Y44" s="1"/>
      <c r="Z44" s="5">
        <f t="shared" si="35"/>
        <v>0</v>
      </c>
    </row>
    <row r="45" spans="1:26" s="24" customFormat="1" hidden="1" outlineLevel="2" x14ac:dyDescent="0.25">
      <c r="A45" s="25"/>
      <c r="B45" s="11" t="str">
        <f>CONCATENATE("          ", "6381", " - ", "BANK/CREDIT CARD FEES")</f>
        <v xml:space="preserve">          6381 - BANK/CREDIT CARD FEES</v>
      </c>
      <c r="C45" s="11"/>
      <c r="D45" s="7"/>
      <c r="E45" s="2"/>
      <c r="F45" s="6">
        <f t="shared" si="28"/>
        <v>0</v>
      </c>
      <c r="G45" s="2"/>
      <c r="H45" s="7">
        <v>0</v>
      </c>
      <c r="I45" s="2"/>
      <c r="J45" s="6">
        <f t="shared" si="29"/>
        <v>0</v>
      </c>
      <c r="K45" s="2"/>
      <c r="L45" s="7">
        <f t="shared" si="30"/>
        <v>0</v>
      </c>
      <c r="M45" s="2"/>
      <c r="N45" s="6">
        <f t="shared" si="31"/>
        <v>0</v>
      </c>
      <c r="O45" s="11"/>
      <c r="P45" s="7"/>
      <c r="Q45" s="2"/>
      <c r="R45" s="6">
        <f t="shared" si="32"/>
        <v>0</v>
      </c>
      <c r="S45" s="2"/>
      <c r="T45" s="7">
        <v>0</v>
      </c>
      <c r="U45" s="2"/>
      <c r="V45" s="6">
        <f t="shared" si="33"/>
        <v>0</v>
      </c>
      <c r="W45" s="2"/>
      <c r="X45" s="7">
        <f t="shared" si="34"/>
        <v>0</v>
      </c>
      <c r="Y45" s="2"/>
      <c r="Z45" s="6">
        <f t="shared" si="35"/>
        <v>0</v>
      </c>
    </row>
    <row r="46" spans="1:26" s="27" customFormat="1" outlineLevel="1" collapsed="1" x14ac:dyDescent="0.25">
      <c r="A46" s="26"/>
      <c r="B46" s="13" t="str">
        <f>CONCATENATE("     ","Depreciation                                      ")</f>
        <v xml:space="preserve">     Depreciation                                      </v>
      </c>
      <c r="C46" s="13"/>
      <c r="D46" s="1">
        <f>SUM(OSRRefD22_4x_0)</f>
        <v>2017.34</v>
      </c>
      <c r="E46" s="1"/>
      <c r="F46" s="5">
        <f t="shared" si="28"/>
        <v>0</v>
      </c>
      <c r="G46" s="1"/>
      <c r="H46" s="1">
        <f>SUM(OSRRefH22_4x_0)</f>
        <v>2017</v>
      </c>
      <c r="I46" s="1"/>
      <c r="J46" s="5">
        <f t="shared" si="29"/>
        <v>0</v>
      </c>
      <c r="K46" s="1"/>
      <c r="L46" s="1">
        <f t="shared" si="30"/>
        <v>0.33999999999991815</v>
      </c>
      <c r="M46" s="1"/>
      <c r="N46" s="5">
        <f t="shared" si="31"/>
        <v>1.6856717897864064E-4</v>
      </c>
      <c r="O46" s="13"/>
      <c r="P46" s="1">
        <f>SUM(OSRRefP22_4x_0)</f>
        <v>22190.74</v>
      </c>
      <c r="Q46" s="1"/>
      <c r="R46" s="5">
        <f t="shared" si="32"/>
        <v>0</v>
      </c>
      <c r="S46" s="1"/>
      <c r="T46" s="1">
        <f>SUM(OSRRefT22_4x_0)</f>
        <v>22187</v>
      </c>
      <c r="U46" s="1"/>
      <c r="V46" s="5">
        <f t="shared" si="33"/>
        <v>0</v>
      </c>
      <c r="W46" s="1"/>
      <c r="X46" s="1">
        <f t="shared" si="34"/>
        <v>3.7400000000016007</v>
      </c>
      <c r="Y46" s="1"/>
      <c r="Z46" s="5">
        <f t="shared" si="35"/>
        <v>1.6856717897875337E-4</v>
      </c>
    </row>
    <row r="47" spans="1:26" s="24" customFormat="1" hidden="1" outlineLevel="2" x14ac:dyDescent="0.25">
      <c r="A47" s="25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2017.34</v>
      </c>
      <c r="E47" s="2"/>
      <c r="F47" s="6">
        <f t="shared" si="28"/>
        <v>0</v>
      </c>
      <c r="G47" s="2"/>
      <c r="H47" s="7">
        <v>2017</v>
      </c>
      <c r="I47" s="2"/>
      <c r="J47" s="6">
        <f t="shared" si="29"/>
        <v>0</v>
      </c>
      <c r="K47" s="2"/>
      <c r="L47" s="7">
        <f t="shared" si="30"/>
        <v>0.33999999999991815</v>
      </c>
      <c r="M47" s="2"/>
      <c r="N47" s="6">
        <f t="shared" si="31"/>
        <v>1.6856717897864064E-4</v>
      </c>
      <c r="O47" s="11"/>
      <c r="P47" s="7">
        <v>22190.74</v>
      </c>
      <c r="Q47" s="2"/>
      <c r="R47" s="6">
        <f t="shared" si="32"/>
        <v>0</v>
      </c>
      <c r="S47" s="2"/>
      <c r="T47" s="7">
        <v>22187</v>
      </c>
      <c r="U47" s="2"/>
      <c r="V47" s="6">
        <f t="shared" si="33"/>
        <v>0</v>
      </c>
      <c r="W47" s="2"/>
      <c r="X47" s="7">
        <f t="shared" si="34"/>
        <v>3.7400000000016007</v>
      </c>
      <c r="Y47" s="2"/>
      <c r="Z47" s="6">
        <f t="shared" si="35"/>
        <v>1.6856717897875337E-4</v>
      </c>
    </row>
    <row r="48" spans="1:26" s="27" customFormat="1" outlineLevel="1" collapsed="1" x14ac:dyDescent="0.25">
      <c r="A48" s="26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SUM(OSRRefD22_5x_0)</f>
        <v>0</v>
      </c>
      <c r="E48" s="1"/>
      <c r="F48" s="5">
        <f t="shared" si="28"/>
        <v>0</v>
      </c>
      <c r="G48" s="1"/>
      <c r="H48" s="1">
        <f>SUM(OSRRefH22_5x_0)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3"/>
      <c r="P48" s="1">
        <f>SUM(OSRRefP22_5x_0)</f>
        <v>0</v>
      </c>
      <c r="Q48" s="1"/>
      <c r="R48" s="5">
        <f t="shared" si="32"/>
        <v>0</v>
      </c>
      <c r="S48" s="1"/>
      <c r="T48" s="1">
        <f>SUM(OSRRefT22_5x_0)</f>
        <v>0</v>
      </c>
      <c r="U48" s="1"/>
      <c r="V48" s="5">
        <f t="shared" si="33"/>
        <v>0</v>
      </c>
      <c r="W48" s="1"/>
      <c r="X48" s="1">
        <f t="shared" si="34"/>
        <v>0</v>
      </c>
      <c r="Y48" s="1"/>
      <c r="Z48" s="5">
        <f t="shared" si="35"/>
        <v>0</v>
      </c>
    </row>
    <row r="49" spans="1:26" s="24" customFormat="1" hidden="1" outlineLevel="2" x14ac:dyDescent="0.25">
      <c r="A49" s="25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/>
      <c r="Q49" s="2"/>
      <c r="R49" s="6">
        <f t="shared" si="32"/>
        <v>0</v>
      </c>
      <c r="S49" s="2"/>
      <c r="T49" s="7">
        <v>0</v>
      </c>
      <c r="U49" s="2"/>
      <c r="V49" s="6">
        <f t="shared" si="33"/>
        <v>0</v>
      </c>
      <c r="W49" s="2"/>
      <c r="X49" s="7">
        <f t="shared" si="34"/>
        <v>0</v>
      </c>
      <c r="Y49" s="2"/>
      <c r="Z49" s="6">
        <f t="shared" si="35"/>
        <v>0</v>
      </c>
    </row>
    <row r="50" spans="1:26" s="27" customFormat="1" outlineLevel="1" collapsed="1" x14ac:dyDescent="0.25">
      <c r="A50" s="26"/>
      <c r="B50" s="13" t="str">
        <f>CONCATENATE("     ","Rent                                              ")</f>
        <v xml:space="preserve">     Rent                                              </v>
      </c>
      <c r="C50" s="13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3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0</v>
      </c>
      <c r="U50" s="1"/>
      <c r="V50" s="5">
        <f t="shared" si="33"/>
        <v>0</v>
      </c>
      <c r="W50" s="1"/>
      <c r="X50" s="1">
        <f t="shared" si="34"/>
        <v>0</v>
      </c>
      <c r="Y50" s="1"/>
      <c r="Z50" s="5">
        <f t="shared" si="35"/>
        <v>0</v>
      </c>
    </row>
    <row r="51" spans="1:26" s="24" customFormat="1" hidden="1" outlineLevel="2" x14ac:dyDescent="0.25">
      <c r="A51" s="25"/>
      <c r="B51" s="11" t="str">
        <f>CONCATENATE("          ", "6273", " - ", "RENT")</f>
        <v xml:space="preserve">          6273 - RENT</v>
      </c>
      <c r="C51" s="11"/>
      <c r="D51" s="7"/>
      <c r="E51" s="2"/>
      <c r="F51" s="6">
        <f t="shared" si="28"/>
        <v>0</v>
      </c>
      <c r="G51" s="2"/>
      <c r="H51" s="7">
        <v>0</v>
      </c>
      <c r="I51" s="2"/>
      <c r="J51" s="6">
        <f t="shared" si="29"/>
        <v>0</v>
      </c>
      <c r="K51" s="2"/>
      <c r="L51" s="7">
        <f t="shared" si="30"/>
        <v>0</v>
      </c>
      <c r="M51" s="2"/>
      <c r="N51" s="6">
        <f t="shared" si="31"/>
        <v>0</v>
      </c>
      <c r="O51" s="11"/>
      <c r="P51" s="7"/>
      <c r="Q51" s="2"/>
      <c r="R51" s="6">
        <f t="shared" si="32"/>
        <v>0</v>
      </c>
      <c r="S51" s="2"/>
      <c r="T51" s="7">
        <v>0</v>
      </c>
      <c r="U51" s="2"/>
      <c r="V51" s="6">
        <f t="shared" si="33"/>
        <v>0</v>
      </c>
      <c r="W51" s="2"/>
      <c r="X51" s="7">
        <f t="shared" si="34"/>
        <v>0</v>
      </c>
      <c r="Y51" s="2"/>
      <c r="Z51" s="6">
        <f t="shared" si="35"/>
        <v>0</v>
      </c>
    </row>
    <row r="52" spans="1:26" s="27" customFormat="1" outlineLevel="1" collapsed="1" x14ac:dyDescent="0.25">
      <c r="A52" s="26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SUM(OSRRefD22_7x_0)</f>
        <v>0</v>
      </c>
      <c r="E52" s="1"/>
      <c r="F52" s="5">
        <f t="shared" si="28"/>
        <v>0</v>
      </c>
      <c r="G52" s="1"/>
      <c r="H52" s="1">
        <f>SUM(OSRRefH22_7x_0)</f>
        <v>0</v>
      </c>
      <c r="I52" s="1"/>
      <c r="J52" s="5">
        <f t="shared" si="29"/>
        <v>0</v>
      </c>
      <c r="K52" s="1"/>
      <c r="L52" s="1">
        <f t="shared" si="30"/>
        <v>0</v>
      </c>
      <c r="M52" s="1"/>
      <c r="N52" s="5">
        <f t="shared" si="31"/>
        <v>0</v>
      </c>
      <c r="O52" s="13"/>
      <c r="P52" s="1">
        <f>SUM(OSRRefP22_7x_0)</f>
        <v>295.64999999999998</v>
      </c>
      <c r="Q52" s="1"/>
      <c r="R52" s="5">
        <f t="shared" si="32"/>
        <v>0</v>
      </c>
      <c r="S52" s="1"/>
      <c r="T52" s="1">
        <f>SUM(OSRRefT22_7x_0)</f>
        <v>0</v>
      </c>
      <c r="U52" s="1"/>
      <c r="V52" s="5">
        <f t="shared" si="33"/>
        <v>0</v>
      </c>
      <c r="W52" s="1"/>
      <c r="X52" s="1">
        <f t="shared" si="34"/>
        <v>295.64999999999998</v>
      </c>
      <c r="Y52" s="1"/>
      <c r="Z52" s="5">
        <f t="shared" si="35"/>
        <v>0</v>
      </c>
    </row>
    <row r="53" spans="1:26" s="24" customFormat="1" hidden="1" outlineLevel="2" x14ac:dyDescent="0.25">
      <c r="A53" s="25"/>
      <c r="B53" s="11" t="str">
        <f>CONCATENATE("          ", "6373", " - ", "MAINTENANCE CONTRACTS")</f>
        <v xml:space="preserve">          6373 - MAINTENANCE CONTRACTS</v>
      </c>
      <c r="C53" s="11"/>
      <c r="D53" s="7"/>
      <c r="E53" s="2"/>
      <c r="F53" s="6">
        <f t="shared" si="28"/>
        <v>0</v>
      </c>
      <c r="G53" s="2"/>
      <c r="H53" s="7"/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295.64999999999998</v>
      </c>
      <c r="Q53" s="2"/>
      <c r="R53" s="6">
        <f t="shared" si="32"/>
        <v>0</v>
      </c>
      <c r="S53" s="2"/>
      <c r="T53" s="7"/>
      <c r="U53" s="2"/>
      <c r="V53" s="6">
        <f t="shared" si="33"/>
        <v>0</v>
      </c>
      <c r="W53" s="2"/>
      <c r="X53" s="7">
        <f t="shared" si="34"/>
        <v>295.64999999999998</v>
      </c>
      <c r="Y53" s="2"/>
      <c r="Z53" s="6">
        <f t="shared" si="35"/>
        <v>0</v>
      </c>
    </row>
    <row r="54" spans="1:26" s="24" customFormat="1" hidden="1" outlineLevel="2" x14ac:dyDescent="0.25">
      <c r="A54" s="25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28"/>
        <v>0</v>
      </c>
      <c r="G54" s="2"/>
      <c r="H54" s="7">
        <v>0</v>
      </c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/>
      <c r="Q54" s="2"/>
      <c r="R54" s="6">
        <f t="shared" si="32"/>
        <v>0</v>
      </c>
      <c r="S54" s="2"/>
      <c r="T54" s="7">
        <v>0</v>
      </c>
      <c r="U54" s="2"/>
      <c r="V54" s="6">
        <f t="shared" si="33"/>
        <v>0</v>
      </c>
      <c r="W54" s="2"/>
      <c r="X54" s="7">
        <f t="shared" si="34"/>
        <v>0</v>
      </c>
      <c r="Y54" s="2"/>
      <c r="Z54" s="6">
        <f t="shared" si="35"/>
        <v>0</v>
      </c>
    </row>
    <row r="55" spans="1:26" s="27" customFormat="1" outlineLevel="1" collapsed="1" x14ac:dyDescent="0.25">
      <c r="A55" s="26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SUM(OSRRefD22_8x_0)</f>
        <v>0</v>
      </c>
      <c r="E55" s="1"/>
      <c r="F55" s="5">
        <f t="shared" ref="F55:F57" si="36">IF(D$12=0,0,D55/D$12)</f>
        <v>0</v>
      </c>
      <c r="G55" s="1"/>
      <c r="H55" s="1">
        <f>SUM(OSRRefH22_8x_0)</f>
        <v>0</v>
      </c>
      <c r="I55" s="1"/>
      <c r="J55" s="5">
        <f t="shared" ref="J55:J57" si="37">IF(H$12=0,0,H55/H$12)</f>
        <v>0</v>
      </c>
      <c r="K55" s="1"/>
      <c r="L55" s="1">
        <f t="shared" ref="L55:L57" si="38">+D55-H55</f>
        <v>0</v>
      </c>
      <c r="M55" s="1"/>
      <c r="N55" s="5">
        <f t="shared" ref="N55:N57" si="39">IF(H55=0,0,L55/H55)</f>
        <v>0</v>
      </c>
      <c r="O55" s="13"/>
      <c r="P55" s="1">
        <f>SUM(OSRRefP22_8x_0)</f>
        <v>-1053.52</v>
      </c>
      <c r="Q55" s="1"/>
      <c r="R55" s="5">
        <f t="shared" ref="R55:R57" si="40">IF(P$12=0,0,P55/P$12)</f>
        <v>0</v>
      </c>
      <c r="S55" s="1"/>
      <c r="T55" s="1">
        <f>SUM(OSRRefT22_8x_0)</f>
        <v>0</v>
      </c>
      <c r="U55" s="1"/>
      <c r="V55" s="5">
        <f t="shared" ref="V55:V57" si="41">IF(T$12=0,0,T55/T$12)</f>
        <v>0</v>
      </c>
      <c r="W55" s="1"/>
      <c r="X55" s="1">
        <f t="shared" ref="X55:X57" si="42">+P55-T55</f>
        <v>-1053.52</v>
      </c>
      <c r="Y55" s="1"/>
      <c r="Z55" s="5">
        <f t="shared" ref="Z55:Z57" si="43">IF(T55=0,0,X55/T55)</f>
        <v>0</v>
      </c>
    </row>
    <row r="56" spans="1:26" s="24" customFormat="1" hidden="1" outlineLevel="2" x14ac:dyDescent="0.25">
      <c r="A56" s="25"/>
      <c r="B56" s="11" t="str">
        <f>CONCATENATE("          ", "6282", " - ", "JANITORIAL/EXTERMINATOR EXPENS")</f>
        <v xml:space="preserve">          6282 - JANITORIAL/EXTERMINATOR EXPENS</v>
      </c>
      <c r="C56" s="11"/>
      <c r="D56" s="7"/>
      <c r="E56" s="2"/>
      <c r="F56" s="6">
        <f t="shared" si="36"/>
        <v>0</v>
      </c>
      <c r="G56" s="2"/>
      <c r="H56" s="7"/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-567.28</v>
      </c>
      <c r="Q56" s="2"/>
      <c r="R56" s="6">
        <f t="shared" si="40"/>
        <v>0</v>
      </c>
      <c r="S56" s="2"/>
      <c r="T56" s="7"/>
      <c r="U56" s="2"/>
      <c r="V56" s="6">
        <f t="shared" si="41"/>
        <v>0</v>
      </c>
      <c r="W56" s="2"/>
      <c r="X56" s="7">
        <f t="shared" si="42"/>
        <v>-567.28</v>
      </c>
      <c r="Y56" s="2"/>
      <c r="Z56" s="6">
        <f t="shared" si="43"/>
        <v>0</v>
      </c>
    </row>
    <row r="57" spans="1:26" s="24" customFormat="1" hidden="1" outlineLevel="2" x14ac:dyDescent="0.25">
      <c r="A57" s="25"/>
      <c r="B57" s="11" t="str">
        <f>CONCATENATE("          ", "6285", " - ", "JANITORIAL SERVICES")</f>
        <v xml:space="preserve">          6285 - JANITORIAL SERVICES</v>
      </c>
      <c r="C57" s="11"/>
      <c r="D57" s="7"/>
      <c r="E57" s="2"/>
      <c r="F57" s="6">
        <f t="shared" si="36"/>
        <v>0</v>
      </c>
      <c r="G57" s="2"/>
      <c r="H57" s="7">
        <v>0</v>
      </c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>
        <v>-486.24</v>
      </c>
      <c r="Q57" s="2"/>
      <c r="R57" s="6">
        <f t="shared" si="40"/>
        <v>0</v>
      </c>
      <c r="S57" s="2"/>
      <c r="T57" s="7">
        <v>0</v>
      </c>
      <c r="U57" s="2"/>
      <c r="V57" s="6">
        <f t="shared" si="41"/>
        <v>0</v>
      </c>
      <c r="W57" s="2"/>
      <c r="X57" s="7">
        <f t="shared" si="42"/>
        <v>-486.24</v>
      </c>
      <c r="Y57" s="2"/>
      <c r="Z57" s="6">
        <f t="shared" si="43"/>
        <v>0</v>
      </c>
    </row>
    <row r="58" spans="1:26" s="27" customFormat="1" outlineLevel="1" collapsed="1" x14ac:dyDescent="0.25">
      <c r="A58" s="26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SUM(OSRRefD22_9x_0)</f>
        <v>0</v>
      </c>
      <c r="E58" s="1"/>
      <c r="F58" s="5">
        <f t="shared" ref="F58:F62" si="44">IF(D$12=0,0,D58/D$12)</f>
        <v>0</v>
      </c>
      <c r="G58" s="1"/>
      <c r="H58" s="1">
        <f>SUM(OSRRefH22_9x_0)</f>
        <v>0</v>
      </c>
      <c r="I58" s="1"/>
      <c r="J58" s="5">
        <f t="shared" ref="J58:J62" si="45">IF(H$12=0,0,H58/H$12)</f>
        <v>0</v>
      </c>
      <c r="K58" s="1"/>
      <c r="L58" s="1">
        <f t="shared" ref="L58:L62" si="46">+D58-H58</f>
        <v>0</v>
      </c>
      <c r="M58" s="1"/>
      <c r="N58" s="5">
        <f t="shared" ref="N58:N62" si="47">IF(H58=0,0,L58/H58)</f>
        <v>0</v>
      </c>
      <c r="O58" s="13"/>
      <c r="P58" s="1">
        <f>SUM(OSRRefP22_9x_0)</f>
        <v>131.30000000000001</v>
      </c>
      <c r="Q58" s="1"/>
      <c r="R58" s="5">
        <f t="shared" ref="R58:R62" si="48">IF(P$12=0,0,P58/P$12)</f>
        <v>0</v>
      </c>
      <c r="S58" s="1"/>
      <c r="T58" s="1">
        <f>SUM(OSRRefT22_9x_0)</f>
        <v>0</v>
      </c>
      <c r="U58" s="1"/>
      <c r="V58" s="5">
        <f t="shared" ref="V58:V62" si="49">IF(T$12=0,0,T58/T$12)</f>
        <v>0</v>
      </c>
      <c r="W58" s="1"/>
      <c r="X58" s="1">
        <f t="shared" ref="X58:X62" si="50">+P58-T58</f>
        <v>131.30000000000001</v>
      </c>
      <c r="Y58" s="1"/>
      <c r="Z58" s="5">
        <f t="shared" ref="Z58:Z62" si="51">IF(T58=0,0,X58/T58)</f>
        <v>0</v>
      </c>
    </row>
    <row r="59" spans="1:26" s="24" customFormat="1" hidden="1" outlineLevel="2" x14ac:dyDescent="0.25">
      <c r="A59" s="25"/>
      <c r="B59" s="11" t="str">
        <f>CONCATENATE("          ", "6235", " - ", "COVID-19 EXPENSES")</f>
        <v xml:space="preserve">          6235 - COVID-19 EXPENSES</v>
      </c>
      <c r="C59" s="11"/>
      <c r="D59" s="7"/>
      <c r="E59" s="2"/>
      <c r="F59" s="6">
        <f t="shared" si="44"/>
        <v>0</v>
      </c>
      <c r="G59" s="2"/>
      <c r="H59" s="7">
        <v>0</v>
      </c>
      <c r="I59" s="2"/>
      <c r="J59" s="6">
        <f t="shared" si="45"/>
        <v>0</v>
      </c>
      <c r="K59" s="2"/>
      <c r="L59" s="7">
        <f t="shared" si="46"/>
        <v>0</v>
      </c>
      <c r="M59" s="2"/>
      <c r="N59" s="6">
        <f t="shared" si="47"/>
        <v>0</v>
      </c>
      <c r="O59" s="11"/>
      <c r="P59" s="7"/>
      <c r="Q59" s="2"/>
      <c r="R59" s="6">
        <f t="shared" si="48"/>
        <v>0</v>
      </c>
      <c r="S59" s="2"/>
      <c r="T59" s="7">
        <v>0</v>
      </c>
      <c r="U59" s="2"/>
      <c r="V59" s="6">
        <f t="shared" si="49"/>
        <v>0</v>
      </c>
      <c r="W59" s="2"/>
      <c r="X59" s="7">
        <f t="shared" si="50"/>
        <v>0</v>
      </c>
      <c r="Y59" s="2"/>
      <c r="Z59" s="6">
        <f t="shared" si="51"/>
        <v>0</v>
      </c>
    </row>
    <row r="60" spans="1:26" s="24" customFormat="1" hidden="1" outlineLevel="2" x14ac:dyDescent="0.25">
      <c r="A60" s="25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>
        <v>131.30000000000001</v>
      </c>
      <c r="Q60" s="2"/>
      <c r="R60" s="6">
        <f t="shared" si="48"/>
        <v>0</v>
      </c>
      <c r="S60" s="2"/>
      <c r="T60" s="7"/>
      <c r="U60" s="2"/>
      <c r="V60" s="6">
        <f t="shared" si="49"/>
        <v>0</v>
      </c>
      <c r="W60" s="2"/>
      <c r="X60" s="7">
        <f t="shared" si="50"/>
        <v>131.30000000000001</v>
      </c>
      <c r="Y60" s="2"/>
      <c r="Z60" s="6">
        <f t="shared" si="51"/>
        <v>0</v>
      </c>
    </row>
    <row r="61" spans="1:26" s="24" customFormat="1" hidden="1" outlineLevel="2" x14ac:dyDescent="0.25">
      <c r="A61" s="25"/>
      <c r="B61" s="11" t="str">
        <f>CONCATENATE("          ", "6247", " - ", "STORE SUPPLIES")</f>
        <v xml:space="preserve">          6247 - STORE SUPPLIES</v>
      </c>
      <c r="C61" s="11"/>
      <c r="D61" s="7"/>
      <c r="E61" s="2"/>
      <c r="F61" s="6">
        <f t="shared" si="44"/>
        <v>0</v>
      </c>
      <c r="G61" s="2"/>
      <c r="H61" s="7">
        <v>0</v>
      </c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0</v>
      </c>
      <c r="U61" s="2"/>
      <c r="V61" s="6">
        <f t="shared" si="49"/>
        <v>0</v>
      </c>
      <c r="W61" s="2"/>
      <c r="X61" s="7">
        <f t="shared" si="50"/>
        <v>0</v>
      </c>
      <c r="Y61" s="2"/>
      <c r="Z61" s="6">
        <f t="shared" si="51"/>
        <v>0</v>
      </c>
    </row>
    <row r="62" spans="1:26" s="24" customFormat="1" hidden="1" outlineLevel="2" x14ac:dyDescent="0.25">
      <c r="A62" s="25"/>
      <c r="B62" s="11" t="str">
        <f>CONCATENATE("          ", "6248", " - ", "UNIFORMS")</f>
        <v xml:space="preserve">          6248 - UNIFORMS</v>
      </c>
      <c r="C62" s="11"/>
      <c r="D62" s="7"/>
      <c r="E62" s="2"/>
      <c r="F62" s="6">
        <f t="shared" si="44"/>
        <v>0</v>
      </c>
      <c r="G62" s="2"/>
      <c r="H62" s="7"/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/>
      <c r="Q62" s="2"/>
      <c r="R62" s="6">
        <f t="shared" si="48"/>
        <v>0</v>
      </c>
      <c r="S62" s="2"/>
      <c r="T62" s="7">
        <v>0</v>
      </c>
      <c r="U62" s="2"/>
      <c r="V62" s="6">
        <f t="shared" si="49"/>
        <v>0</v>
      </c>
      <c r="W62" s="2"/>
      <c r="X62" s="7">
        <f t="shared" si="50"/>
        <v>0</v>
      </c>
      <c r="Y62" s="2"/>
      <c r="Z62" s="6">
        <f t="shared" si="51"/>
        <v>0</v>
      </c>
    </row>
    <row r="63" spans="1:26" s="27" customFormat="1" outlineLevel="1" collapsed="1" x14ac:dyDescent="0.25">
      <c r="A63" s="26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SUM(OSRRefD22_10x_0)</f>
        <v>0</v>
      </c>
      <c r="E63" s="1"/>
      <c r="F63" s="5">
        <f t="shared" ref="F63:F66" si="52">IF(D$12=0,0,D63/D$12)</f>
        <v>0</v>
      </c>
      <c r="G63" s="1"/>
      <c r="H63" s="1">
        <f>SUM(OSRRefH22_10x_0)</f>
        <v>0</v>
      </c>
      <c r="I63" s="1"/>
      <c r="J63" s="5">
        <f t="shared" ref="J63:J66" si="53">IF(H$12=0,0,H63/H$12)</f>
        <v>0</v>
      </c>
      <c r="K63" s="1"/>
      <c r="L63" s="1">
        <f t="shared" ref="L63:L66" si="54">+D63-H63</f>
        <v>0</v>
      </c>
      <c r="M63" s="1"/>
      <c r="N63" s="5">
        <f t="shared" ref="N63:N66" si="55">IF(H63=0,0,L63/H63)</f>
        <v>0</v>
      </c>
      <c r="O63" s="13"/>
      <c r="P63" s="1">
        <f>SUM(OSRRefP22_10x_0)</f>
        <v>85.2</v>
      </c>
      <c r="Q63" s="1"/>
      <c r="R63" s="5">
        <f t="shared" ref="R63:R66" si="56">IF(P$12=0,0,P63/P$12)</f>
        <v>0</v>
      </c>
      <c r="S63" s="1"/>
      <c r="T63" s="1">
        <f>SUM(OSRRefT22_10x_0)</f>
        <v>0</v>
      </c>
      <c r="U63" s="1"/>
      <c r="V63" s="5">
        <f t="shared" ref="V63:V66" si="57">IF(T$12=0,0,T63/T$12)</f>
        <v>0</v>
      </c>
      <c r="W63" s="1"/>
      <c r="X63" s="1">
        <f t="shared" ref="X63:X66" si="58">+P63-T63</f>
        <v>85.2</v>
      </c>
      <c r="Y63" s="1"/>
      <c r="Z63" s="5">
        <f t="shared" ref="Z63:Z66" si="59">IF(T63=0,0,X63/T63)</f>
        <v>0</v>
      </c>
    </row>
    <row r="64" spans="1:26" s="24" customFormat="1" hidden="1" outlineLevel="2" x14ac:dyDescent="0.25">
      <c r="A64" s="25"/>
      <c r="B64" s="11" t="str">
        <f>CONCATENATE("          ", "6309", " - ", "TELEPHONE")</f>
        <v xml:space="preserve">          6309 - TELEPHONE</v>
      </c>
      <c r="C64" s="11"/>
      <c r="D64" s="7"/>
      <c r="E64" s="2"/>
      <c r="F64" s="6">
        <f t="shared" si="52"/>
        <v>0</v>
      </c>
      <c r="G64" s="2"/>
      <c r="H64" s="7"/>
      <c r="I64" s="2"/>
      <c r="J64" s="6">
        <f t="shared" si="53"/>
        <v>0</v>
      </c>
      <c r="K64" s="2"/>
      <c r="L64" s="7">
        <f t="shared" si="54"/>
        <v>0</v>
      </c>
      <c r="M64" s="2"/>
      <c r="N64" s="6">
        <f t="shared" si="55"/>
        <v>0</v>
      </c>
      <c r="O64" s="11"/>
      <c r="P64" s="7">
        <v>85.2</v>
      </c>
      <c r="Q64" s="2"/>
      <c r="R64" s="6">
        <f t="shared" si="56"/>
        <v>0</v>
      </c>
      <c r="S64" s="2"/>
      <c r="T64" s="7"/>
      <c r="U64" s="2"/>
      <c r="V64" s="6">
        <f t="shared" si="57"/>
        <v>0</v>
      </c>
      <c r="W64" s="2"/>
      <c r="X64" s="7">
        <f t="shared" si="58"/>
        <v>85.2</v>
      </c>
      <c r="Y64" s="2"/>
      <c r="Z64" s="6">
        <f t="shared" si="59"/>
        <v>0</v>
      </c>
    </row>
    <row r="65" spans="1:26" s="27" customFormat="1" outlineLevel="1" collapsed="1" x14ac:dyDescent="0.25">
      <c r="A65" s="26"/>
      <c r="B65" s="13" t="str">
        <f>CONCATENATE("     ","Utilities                                         ")</f>
        <v xml:space="preserve">     Utilities                                         </v>
      </c>
      <c r="C65" s="13"/>
      <c r="D65" s="1">
        <f>SUM(OSRRefD22_11x_0)</f>
        <v>208</v>
      </c>
      <c r="E65" s="1"/>
      <c r="F65" s="5">
        <f t="shared" si="52"/>
        <v>0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208</v>
      </c>
      <c r="M65" s="1"/>
      <c r="N65" s="5">
        <f t="shared" si="55"/>
        <v>0</v>
      </c>
      <c r="O65" s="13"/>
      <c r="P65" s="1">
        <f>SUM(OSRRefP22_11x_0)</f>
        <v>1163</v>
      </c>
      <c r="Q65" s="1"/>
      <c r="R65" s="5">
        <f t="shared" si="56"/>
        <v>0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1163</v>
      </c>
      <c r="Y65" s="1"/>
      <c r="Z65" s="5">
        <f t="shared" si="59"/>
        <v>0</v>
      </c>
    </row>
    <row r="66" spans="1:26" s="24" customFormat="1" hidden="1" outlineLevel="2" x14ac:dyDescent="0.25">
      <c r="A66" s="25"/>
      <c r="B66" s="11" t="str">
        <f>CONCATENATE("          ", "6274", " - ", "UTILITIES")</f>
        <v xml:space="preserve">          6274 - UTILITIES</v>
      </c>
      <c r="C66" s="11"/>
      <c r="D66" s="7">
        <v>208</v>
      </c>
      <c r="E66" s="2"/>
      <c r="F66" s="6">
        <f t="shared" si="52"/>
        <v>0</v>
      </c>
      <c r="G66" s="2"/>
      <c r="H66" s="7">
        <v>0</v>
      </c>
      <c r="I66" s="2"/>
      <c r="J66" s="6">
        <f t="shared" si="53"/>
        <v>0</v>
      </c>
      <c r="K66" s="2"/>
      <c r="L66" s="7">
        <f t="shared" si="54"/>
        <v>208</v>
      </c>
      <c r="M66" s="2"/>
      <c r="N66" s="6">
        <f t="shared" si="55"/>
        <v>0</v>
      </c>
      <c r="O66" s="11"/>
      <c r="P66" s="7">
        <v>1163</v>
      </c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1163</v>
      </c>
      <c r="Y66" s="2"/>
      <c r="Z66" s="6">
        <f t="shared" si="59"/>
        <v>0</v>
      </c>
    </row>
    <row r="67" spans="1:26" s="56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9" t="s">
        <v>293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8" t="s">
        <v>277</v>
      </c>
      <c r="C70" s="28"/>
      <c r="D70" s="20">
        <f>+D19-D21+D68</f>
        <v>-2225.34</v>
      </c>
      <c r="E70" s="14"/>
      <c r="F70" s="21">
        <f>IF(D$12=0,0,D70/D$12)</f>
        <v>0</v>
      </c>
      <c r="G70" s="14"/>
      <c r="H70" s="20">
        <f>+H19-H21+H68</f>
        <v>-2017</v>
      </c>
      <c r="I70" s="14"/>
      <c r="J70" s="21">
        <f>IF(H$12=0,0,H70/H$12)</f>
        <v>0</v>
      </c>
      <c r="K70" s="15"/>
      <c r="L70" s="20">
        <f>+D70-H70</f>
        <v>-208.34000000000015</v>
      </c>
      <c r="M70" s="15"/>
      <c r="N70" s="21">
        <f>IF(H70=0,0,L70/H70)</f>
        <v>0.10329201784828961</v>
      </c>
      <c r="O70" s="29"/>
      <c r="P70" s="20">
        <f>+P19-P21+P68</f>
        <v>-25266.010000000002</v>
      </c>
      <c r="Q70" s="14"/>
      <c r="R70" s="21">
        <f>IF(P$12=0,0,P70/P$12)</f>
        <v>0</v>
      </c>
      <c r="S70" s="14"/>
      <c r="T70" s="20">
        <f>+T19-T21+T68</f>
        <v>-22187</v>
      </c>
      <c r="U70" s="14"/>
      <c r="V70" s="21">
        <f>IF(T$12=0,0,T70/T$12)</f>
        <v>0</v>
      </c>
      <c r="W70" s="15"/>
      <c r="X70" s="20">
        <f>+P70-T70</f>
        <v>-3079.010000000002</v>
      </c>
      <c r="Y70" s="15"/>
      <c r="Z70" s="21">
        <f>IF(T70=0,0,X70/T70)</f>
        <v>0.13877540902330202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128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126</v>
      </c>
      <c r="C74" s="28"/>
      <c r="D74" s="35">
        <f>+D70-D72</f>
        <v>-2225.34</v>
      </c>
      <c r="E74" s="14"/>
      <c r="F74" s="34">
        <f>IF(D$12=0,0,D74/D$12)</f>
        <v>0</v>
      </c>
      <c r="G74" s="14"/>
      <c r="H74" s="35">
        <f>+H70-H72</f>
        <v>-2017</v>
      </c>
      <c r="I74" s="14"/>
      <c r="J74" s="34">
        <f>IF(H$12=0,0,H74/H$12)</f>
        <v>0</v>
      </c>
      <c r="K74" s="15"/>
      <c r="L74" s="35">
        <f>D74-H74</f>
        <v>-208.34000000000015</v>
      </c>
      <c r="M74" s="15"/>
      <c r="N74" s="34">
        <f>IF(H74=0,0,L74/H74)</f>
        <v>0.10329201784828961</v>
      </c>
      <c r="O74" s="29"/>
      <c r="P74" s="35">
        <f>+P70-P72</f>
        <v>-25266.010000000002</v>
      </c>
      <c r="Q74" s="14"/>
      <c r="R74" s="34">
        <f>IF(P$12=0,0,P74/P$12)</f>
        <v>0</v>
      </c>
      <c r="S74" s="14"/>
      <c r="T74" s="35">
        <f>+T70-T72</f>
        <v>-22187</v>
      </c>
      <c r="U74" s="14"/>
      <c r="V74" s="34">
        <f>IF(T$12=0,0,T74/T$12)</f>
        <v>0</v>
      </c>
      <c r="W74" s="15"/>
      <c r="X74" s="35">
        <f>P74-T74</f>
        <v>-3079.010000000002</v>
      </c>
      <c r="Y74" s="15"/>
      <c r="Z74" s="34">
        <f>IF(T74=0,0,X74/T74)</f>
        <v>0.13877540902330202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294</v>
      </c>
      <c r="C77" s="28"/>
      <c r="D77" s="33">
        <f>SUM(D74:D76)</f>
        <v>-2225.34</v>
      </c>
      <c r="E77" s="14"/>
      <c r="F77" s="32">
        <f>IF(D$12=0,0,D77/D$12)</f>
        <v>0</v>
      </c>
      <c r="G77" s="14"/>
      <c r="H77" s="33">
        <f>SUM(H74:H76)</f>
        <v>-2017</v>
      </c>
      <c r="I77" s="14"/>
      <c r="J77" s="32">
        <f>IF(H$12=0,0,H77/H$12)</f>
        <v>0</v>
      </c>
      <c r="K77" s="15"/>
      <c r="L77" s="33">
        <f>+D77-H77</f>
        <v>-208.34000000000015</v>
      </c>
      <c r="M77" s="15"/>
      <c r="N77" s="32">
        <f>IF(H77=0,0,L77/H77)</f>
        <v>0.10329201784828961</v>
      </c>
      <c r="O77" s="29"/>
      <c r="P77" s="33">
        <f>SUM(P74:P76)</f>
        <v>-25266.010000000002</v>
      </c>
      <c r="Q77" s="14"/>
      <c r="R77" s="32">
        <f>IF(P$12=0,0,P77/P$12)</f>
        <v>0</v>
      </c>
      <c r="S77" s="14"/>
      <c r="T77" s="33">
        <f>SUM(T74:T76)</f>
        <v>-22187</v>
      </c>
      <c r="U77" s="14"/>
      <c r="V77" s="32">
        <f>IF(T$12=0,0,T77/T$12)</f>
        <v>0</v>
      </c>
      <c r="W77" s="15"/>
      <c r="X77" s="33">
        <f>+P77-T77</f>
        <v>-3079.010000000002</v>
      </c>
      <c r="Y77" s="15"/>
      <c r="Z77" s="32">
        <f>IF(T77=0,0,X77/T77)</f>
        <v>0.13877540902330202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60">
        <v>44356.891834571761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5" t="s">
        <v>56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63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","325", " - ", "Outpost C-Store")</f>
        <v>Department 325 - Outpost C-Store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21465</v>
      </c>
      <c r="I12" s="4"/>
      <c r="J12" s="12"/>
      <c r="K12" s="4"/>
      <c r="L12" s="4">
        <f t="shared" ref="L12:L14" si="0">+D12-H12</f>
        <v>-21465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272450</v>
      </c>
      <c r="U12" s="4"/>
      <c r="V12" s="12"/>
      <c r="W12" s="4"/>
      <c r="X12" s="4">
        <f t="shared" ref="X12:X14" si="2">+P12-T12</f>
        <v>-272450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3805</v>
      </c>
      <c r="I13" s="2"/>
      <c r="J13" s="19"/>
      <c r="K13" s="2"/>
      <c r="L13" s="2">
        <f t="shared" si="0"/>
        <v>-3805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48736</v>
      </c>
      <c r="U13" s="2"/>
      <c r="V13" s="19"/>
      <c r="W13" s="2"/>
      <c r="X13" s="2">
        <f t="shared" si="2"/>
        <v>-48736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17660</v>
      </c>
      <c r="I14" s="2"/>
      <c r="J14" s="19"/>
      <c r="K14" s="2"/>
      <c r="L14" s="2">
        <f t="shared" si="0"/>
        <v>-17660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223714</v>
      </c>
      <c r="U14" s="2"/>
      <c r="V14" s="19"/>
      <c r="W14" s="2"/>
      <c r="X14" s="2">
        <f t="shared" si="2"/>
        <v>-223714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0</v>
      </c>
      <c r="E16" s="4"/>
      <c r="F16" s="12">
        <f t="shared" ref="F16:F19" si="6">IF(D$12=0,0,D16/D$12)</f>
        <v>0</v>
      </c>
      <c r="G16" s="4"/>
      <c r="H16" s="4">
        <f>SUM(OSRRefH16x_0)</f>
        <v>10089</v>
      </c>
      <c r="I16" s="4"/>
      <c r="J16" s="12">
        <f t="shared" ref="J16:J19" si="7">IF(H$12=0,0,H16/H$12)</f>
        <v>0.47002096436058699</v>
      </c>
      <c r="K16" s="4"/>
      <c r="L16" s="4">
        <f t="shared" ref="L16:L19" si="8">+D16-H16</f>
        <v>-10089</v>
      </c>
      <c r="M16" s="4"/>
      <c r="N16" s="12">
        <f t="shared" ref="N16:N19" si="9">IF(H16=0,0,L16/H16)</f>
        <v>-1</v>
      </c>
      <c r="O16" s="10"/>
      <c r="P16" s="4">
        <f>SUM(OSRRefP16x_0)</f>
        <v>10994.04</v>
      </c>
      <c r="Q16" s="4"/>
      <c r="R16" s="12">
        <f t="shared" ref="R16:R19" si="10">IF(P$12=0,0,P16/P$12)</f>
        <v>0</v>
      </c>
      <c r="S16" s="4"/>
      <c r="T16" s="4">
        <f>SUM(OSRRefT16x_0)</f>
        <v>118830</v>
      </c>
      <c r="U16" s="4"/>
      <c r="V16" s="12">
        <f t="shared" ref="V16:V19" si="11">IF(T$12=0,0,T16/T$12)</f>
        <v>0.43615342264635715</v>
      </c>
      <c r="W16" s="4"/>
      <c r="X16" s="4">
        <f t="shared" ref="X16:X19" si="12">+P16-T16</f>
        <v>-107835.95999999999</v>
      </c>
      <c r="Y16" s="4"/>
      <c r="Z16" s="12">
        <f t="shared" ref="Z16:Z19" si="13">IF(T16=0,0,X16/T16)</f>
        <v>-0.90748093915677852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10089</v>
      </c>
      <c r="I17" s="2"/>
      <c r="J17" s="19">
        <f t="shared" si="7"/>
        <v>0.47002096436058699</v>
      </c>
      <c r="K17" s="2"/>
      <c r="L17" s="2">
        <f t="shared" si="8"/>
        <v>-10089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118830</v>
      </c>
      <c r="U17" s="2"/>
      <c r="V17" s="19">
        <f t="shared" si="11"/>
        <v>0.43615342264635715</v>
      </c>
      <c r="W17" s="2"/>
      <c r="X17" s="2">
        <f t="shared" si="12"/>
        <v>-118830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-634.96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-634.96</v>
      </c>
      <c r="Y18" s="2"/>
      <c r="Z18" s="19">
        <f t="shared" si="13"/>
        <v>0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6"/>
        <v>0</v>
      </c>
      <c r="G19" s="2"/>
      <c r="H19" s="2"/>
      <c r="I19" s="2"/>
      <c r="J19" s="19">
        <f t="shared" si="7"/>
        <v>0</v>
      </c>
      <c r="K19" s="2"/>
      <c r="L19" s="2">
        <f t="shared" si="8"/>
        <v>0</v>
      </c>
      <c r="M19" s="2"/>
      <c r="N19" s="19">
        <f t="shared" si="9"/>
        <v>0</v>
      </c>
      <c r="O19" s="11"/>
      <c r="P19" s="2">
        <v>11629</v>
      </c>
      <c r="Q19" s="2"/>
      <c r="R19" s="19">
        <f t="shared" si="10"/>
        <v>0</v>
      </c>
      <c r="S19" s="2"/>
      <c r="T19" s="2"/>
      <c r="U19" s="2"/>
      <c r="V19" s="19">
        <f t="shared" si="11"/>
        <v>0</v>
      </c>
      <c r="W19" s="2"/>
      <c r="X19" s="2">
        <f t="shared" si="12"/>
        <v>11629</v>
      </c>
      <c r="Y19" s="2"/>
      <c r="Z19" s="19">
        <f t="shared" si="13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108</v>
      </c>
      <c r="C21" s="28"/>
      <c r="D21" s="20">
        <f>D12-D16</f>
        <v>0</v>
      </c>
      <c r="E21" s="14"/>
      <c r="F21" s="21">
        <f>IF(D$12=0,0,D21/D$12)</f>
        <v>0</v>
      </c>
      <c r="G21" s="14"/>
      <c r="H21" s="20">
        <f>H12-H16</f>
        <v>11376</v>
      </c>
      <c r="I21" s="14"/>
      <c r="J21" s="21">
        <f>IF(H$12=0,0,H21/H$12)</f>
        <v>0.52997903563941295</v>
      </c>
      <c r="K21" s="15"/>
      <c r="L21" s="20">
        <f>+D21-H21</f>
        <v>-11376</v>
      </c>
      <c r="M21" s="15"/>
      <c r="N21" s="21">
        <f>IF(H21=0,0,L21/H21)</f>
        <v>-1</v>
      </c>
      <c r="O21" s="29"/>
      <c r="P21" s="20">
        <f>P12-P16</f>
        <v>-10994.04</v>
      </c>
      <c r="Q21" s="14"/>
      <c r="R21" s="21">
        <f>IF(P$12=0,0,P21/P$12)</f>
        <v>0</v>
      </c>
      <c r="S21" s="14"/>
      <c r="T21" s="20">
        <f>T12-T16</f>
        <v>153620</v>
      </c>
      <c r="U21" s="14"/>
      <c r="V21" s="21">
        <f>IF(T$12=0,0,T21/T$12)</f>
        <v>0.56384657735364285</v>
      </c>
      <c r="W21" s="15"/>
      <c r="X21" s="20">
        <f>+P21-T21</f>
        <v>-164614.04</v>
      </c>
      <c r="Y21" s="15"/>
      <c r="Z21" s="21">
        <f>IF(T21=0,0,X21/T21)</f>
        <v>-1.0715664627001693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295</v>
      </c>
      <c r="C23" s="10"/>
      <c r="D23" s="22">
        <f>SUM(OSRRefD22x_0)</f>
        <v>11171.279999999999</v>
      </c>
      <c r="E23" s="22"/>
      <c r="F23" s="31">
        <f t="shared" ref="F23:F32" si="14">IF(D$12=0,0,D23/D$12)</f>
        <v>0</v>
      </c>
      <c r="G23" s="22"/>
      <c r="H23" s="22">
        <f>SUM(OSRRefH22x_0)</f>
        <v>24668.748663999999</v>
      </c>
      <c r="I23" s="22"/>
      <c r="J23" s="31">
        <f t="shared" ref="J23:J32" si="15">IF(H$12=0,0,H23/H$12)</f>
        <v>1.1492545382716048</v>
      </c>
      <c r="K23" s="4"/>
      <c r="L23" s="22">
        <f t="shared" ref="L23:L32" si="16">+D23-H23</f>
        <v>-13497.468664</v>
      </c>
      <c r="M23" s="4"/>
      <c r="N23" s="31">
        <f t="shared" ref="N23:N32" si="17">IF(H23=0,0,L23/H23)</f>
        <v>-0.54714849333632176</v>
      </c>
      <c r="O23" s="10"/>
      <c r="P23" s="22">
        <f>SUM(OSRRefP22x_0)</f>
        <v>122081.77</v>
      </c>
      <c r="Q23" s="22"/>
      <c r="R23" s="31">
        <f t="shared" ref="R23:R32" si="18">IF(P$12=0,0,P23/P$12)</f>
        <v>0</v>
      </c>
      <c r="S23" s="22"/>
      <c r="T23" s="22">
        <f>SUM(OSRRefT22x_0)</f>
        <v>306983.47963199997</v>
      </c>
      <c r="U23" s="22"/>
      <c r="V23" s="31">
        <f t="shared" ref="V23:V32" si="19">IF(T$12=0,0,T23/T$12)</f>
        <v>1.1267516228005137</v>
      </c>
      <c r="W23" s="4"/>
      <c r="X23" s="22">
        <f t="shared" ref="X23:X32" si="20">+P23-T23</f>
        <v>-184901.70963199995</v>
      </c>
      <c r="Y23" s="4"/>
      <c r="Z23" s="31">
        <f t="shared" ref="Z23:Z32" si="21">IF(T23=0,0,X23/T23)</f>
        <v>-0.60231811123404111</v>
      </c>
    </row>
    <row r="24" spans="1:26" s="27" customFormat="1" outlineLevel="1" collapsed="1" x14ac:dyDescent="0.25">
      <c r="A24" s="26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4"/>
        <v>0</v>
      </c>
      <c r="G24" s="1"/>
      <c r="H24" s="1">
        <f>SUM(OSRRefH22_0x_0)</f>
        <v>3457.5686639999999</v>
      </c>
      <c r="I24" s="1"/>
      <c r="J24" s="5">
        <f t="shared" si="15"/>
        <v>0.16107936939203354</v>
      </c>
      <c r="K24" s="1"/>
      <c r="L24" s="1">
        <f t="shared" si="16"/>
        <v>-3457.5686639999999</v>
      </c>
      <c r="M24" s="1"/>
      <c r="N24" s="5">
        <f t="shared" si="17"/>
        <v>-1</v>
      </c>
      <c r="O24" s="13"/>
      <c r="P24" s="1">
        <f>SUM(OSRRefP22_0x_0)</f>
        <v>2889.72</v>
      </c>
      <c r="Q24" s="1"/>
      <c r="R24" s="5">
        <f t="shared" si="18"/>
        <v>0</v>
      </c>
      <c r="S24" s="1"/>
      <c r="T24" s="1">
        <f>SUM(OSRRefT22_0x_0)</f>
        <v>39108.163632000003</v>
      </c>
      <c r="U24" s="1"/>
      <c r="V24" s="5">
        <f t="shared" si="19"/>
        <v>0.14354253489447608</v>
      </c>
      <c r="W24" s="1"/>
      <c r="X24" s="1">
        <f t="shared" si="20"/>
        <v>-36218.443632000002</v>
      </c>
      <c r="Y24" s="1"/>
      <c r="Z24" s="5">
        <f t="shared" si="21"/>
        <v>-0.92610954512741406</v>
      </c>
    </row>
    <row r="25" spans="1:26" s="24" customFormat="1" hidden="1" outlineLevel="2" x14ac:dyDescent="0.25">
      <c r="A25" s="25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4"/>
        <v>0</v>
      </c>
      <c r="G25" s="2"/>
      <c r="H25" s="7">
        <v>343.83398399999999</v>
      </c>
      <c r="I25" s="2"/>
      <c r="J25" s="6">
        <f t="shared" si="15"/>
        <v>1.6018354716981133E-2</v>
      </c>
      <c r="K25" s="2"/>
      <c r="L25" s="7">
        <f t="shared" si="16"/>
        <v>-343.83398399999999</v>
      </c>
      <c r="M25" s="2"/>
      <c r="N25" s="6">
        <f t="shared" si="17"/>
        <v>-1</v>
      </c>
      <c r="O25" s="11"/>
      <c r="P25" s="7">
        <v>159.12</v>
      </c>
      <c r="Q25" s="2"/>
      <c r="R25" s="6">
        <f t="shared" si="18"/>
        <v>0</v>
      </c>
      <c r="S25" s="2"/>
      <c r="T25" s="7">
        <v>4020.1515119999999</v>
      </c>
      <c r="U25" s="2"/>
      <c r="V25" s="6">
        <f t="shared" si="19"/>
        <v>1.4755557026977426E-2</v>
      </c>
      <c r="W25" s="2"/>
      <c r="X25" s="7">
        <f t="shared" si="20"/>
        <v>-3861.031512</v>
      </c>
      <c r="Y25" s="2"/>
      <c r="Z25" s="6">
        <f t="shared" si="21"/>
        <v>-0.96041940222276878</v>
      </c>
    </row>
    <row r="26" spans="1:26" s="24" customFormat="1" hidden="1" outlineLevel="2" x14ac:dyDescent="0.25">
      <c r="A26" s="25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4"/>
        <v>0</v>
      </c>
      <c r="G26" s="2"/>
      <c r="H26" s="7">
        <v>156.7098</v>
      </c>
      <c r="I26" s="2"/>
      <c r="J26" s="6">
        <f t="shared" si="15"/>
        <v>7.3007127882599582E-3</v>
      </c>
      <c r="K26" s="2"/>
      <c r="L26" s="7">
        <f t="shared" si="16"/>
        <v>-156.7098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1895.2362000000001</v>
      </c>
      <c r="U26" s="2"/>
      <c r="V26" s="6">
        <f t="shared" si="19"/>
        <v>6.9562716094696275E-3</v>
      </c>
      <c r="W26" s="2"/>
      <c r="X26" s="7">
        <f t="shared" si="20"/>
        <v>-1895.2362000000001</v>
      </c>
      <c r="Y26" s="2"/>
      <c r="Z26" s="6">
        <f t="shared" si="21"/>
        <v>-1</v>
      </c>
    </row>
    <row r="27" spans="1:26" s="24" customFormat="1" hidden="1" outlineLevel="2" x14ac:dyDescent="0.25">
      <c r="A27" s="25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4"/>
        <v>0</v>
      </c>
      <c r="G27" s="2"/>
      <c r="H27" s="7">
        <v>1980</v>
      </c>
      <c r="I27" s="2"/>
      <c r="J27" s="6">
        <f t="shared" si="15"/>
        <v>9.2243186582809222E-2</v>
      </c>
      <c r="K27" s="2"/>
      <c r="L27" s="7">
        <f t="shared" si="16"/>
        <v>-1980</v>
      </c>
      <c r="M27" s="2"/>
      <c r="N27" s="6">
        <f t="shared" si="17"/>
        <v>-1</v>
      </c>
      <c r="O27" s="11"/>
      <c r="P27" s="7">
        <v>1915.63</v>
      </c>
      <c r="Q27" s="2"/>
      <c r="R27" s="6">
        <f t="shared" si="18"/>
        <v>0</v>
      </c>
      <c r="S27" s="2"/>
      <c r="T27" s="7">
        <v>21780</v>
      </c>
      <c r="U27" s="2"/>
      <c r="V27" s="6">
        <f t="shared" si="19"/>
        <v>7.9941273628188661E-2</v>
      </c>
      <c r="W27" s="2"/>
      <c r="X27" s="7">
        <f t="shared" si="20"/>
        <v>-19864.37</v>
      </c>
      <c r="Y27" s="2"/>
      <c r="Z27" s="6">
        <f t="shared" si="21"/>
        <v>-0.91204637281910006</v>
      </c>
    </row>
    <row r="28" spans="1:26" s="24" customFormat="1" hidden="1" outlineLevel="2" x14ac:dyDescent="0.25">
      <c r="A28" s="25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4"/>
        <v>0</v>
      </c>
      <c r="G28" s="2"/>
      <c r="H28" s="7">
        <v>22.024080000000001</v>
      </c>
      <c r="I28" s="2"/>
      <c r="J28" s="6">
        <f t="shared" si="15"/>
        <v>1.0260461215932915E-3</v>
      </c>
      <c r="K28" s="2"/>
      <c r="L28" s="7">
        <f t="shared" si="16"/>
        <v>-22.024080000000001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266.35752000000002</v>
      </c>
      <c r="U28" s="2"/>
      <c r="V28" s="6">
        <f t="shared" si="19"/>
        <v>9.7763817214167751E-4</v>
      </c>
      <c r="W28" s="2"/>
      <c r="X28" s="7">
        <f t="shared" si="20"/>
        <v>-266.35752000000002</v>
      </c>
      <c r="Y28" s="2"/>
      <c r="Z28" s="6">
        <f t="shared" si="21"/>
        <v>-1</v>
      </c>
    </row>
    <row r="29" spans="1:26" s="24" customFormat="1" hidden="1" outlineLevel="2" x14ac:dyDescent="0.25">
      <c r="A29" s="25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4"/>
        <v>0</v>
      </c>
      <c r="G29" s="2"/>
      <c r="H29" s="7">
        <v>386.38080000000002</v>
      </c>
      <c r="I29" s="2"/>
      <c r="J29" s="6">
        <f t="shared" si="15"/>
        <v>1.8000503144654088E-2</v>
      </c>
      <c r="K29" s="2"/>
      <c r="L29" s="7">
        <f t="shared" si="16"/>
        <v>-386.38080000000002</v>
      </c>
      <c r="M29" s="2"/>
      <c r="N29" s="6">
        <f t="shared" si="17"/>
        <v>-1</v>
      </c>
      <c r="O29" s="11"/>
      <c r="P29" s="7">
        <v>458.89</v>
      </c>
      <c r="Q29" s="2"/>
      <c r="R29" s="6">
        <f t="shared" si="18"/>
        <v>0</v>
      </c>
      <c r="S29" s="2"/>
      <c r="T29" s="7">
        <v>4450.5343999999996</v>
      </c>
      <c r="U29" s="2"/>
      <c r="V29" s="6">
        <f t="shared" si="19"/>
        <v>1.633523362084786E-2</v>
      </c>
      <c r="W29" s="2"/>
      <c r="X29" s="7">
        <f t="shared" si="20"/>
        <v>-3991.6443999999997</v>
      </c>
      <c r="Y29" s="2"/>
      <c r="Z29" s="6">
        <f t="shared" si="21"/>
        <v>-0.89689103402953141</v>
      </c>
    </row>
    <row r="30" spans="1:26" s="24" customFormat="1" hidden="1" outlineLevel="2" x14ac:dyDescent="0.25">
      <c r="A30" s="25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0</v>
      </c>
      <c r="Y30" s="2"/>
      <c r="Z30" s="6">
        <f t="shared" si="21"/>
        <v>0</v>
      </c>
    </row>
    <row r="31" spans="1:26" s="24" customFormat="1" hidden="1" outlineLevel="2" x14ac:dyDescent="0.25">
      <c r="A31" s="25"/>
      <c r="B31" s="11" t="str">
        <f>CONCATENATE("          ", "6118", " - ", "VACATION")</f>
        <v xml:space="preserve">          6118 - VACATION</v>
      </c>
      <c r="C31" s="11"/>
      <c r="D31" s="7"/>
      <c r="E31" s="2"/>
      <c r="F31" s="6">
        <f t="shared" si="14"/>
        <v>0</v>
      </c>
      <c r="G31" s="2"/>
      <c r="H31" s="7">
        <v>224.64</v>
      </c>
      <c r="I31" s="2"/>
      <c r="J31" s="6">
        <f t="shared" si="15"/>
        <v>1.0465408805031447E-2</v>
      </c>
      <c r="K31" s="2"/>
      <c r="L31" s="7">
        <f t="shared" si="16"/>
        <v>-224.64</v>
      </c>
      <c r="M31" s="2"/>
      <c r="N31" s="6">
        <f t="shared" si="17"/>
        <v>-1</v>
      </c>
      <c r="O31" s="11"/>
      <c r="P31" s="7">
        <v>152.1</v>
      </c>
      <c r="Q31" s="2"/>
      <c r="R31" s="6">
        <f t="shared" si="18"/>
        <v>0</v>
      </c>
      <c r="S31" s="2"/>
      <c r="T31" s="7">
        <v>2587.52</v>
      </c>
      <c r="U31" s="2"/>
      <c r="V31" s="6">
        <f t="shared" si="19"/>
        <v>9.497228849330153E-3</v>
      </c>
      <c r="W31" s="2"/>
      <c r="X31" s="7">
        <f t="shared" si="20"/>
        <v>-2435.42</v>
      </c>
      <c r="Y31" s="2"/>
      <c r="Z31" s="6">
        <f t="shared" si="21"/>
        <v>-0.941217845659164</v>
      </c>
    </row>
    <row r="32" spans="1:26" s="24" customFormat="1" hidden="1" outlineLevel="2" x14ac:dyDescent="0.25">
      <c r="A32" s="25"/>
      <c r="B32" s="11" t="str">
        <f>CONCATENATE("          ", "6119", " - ", "SICK LEAVE")</f>
        <v xml:space="preserve">          6119 - SICK LEAVE</v>
      </c>
      <c r="C32" s="11"/>
      <c r="D32" s="7"/>
      <c r="E32" s="2"/>
      <c r="F32" s="6">
        <f t="shared" si="14"/>
        <v>0</v>
      </c>
      <c r="G32" s="2"/>
      <c r="H32" s="7">
        <v>343.98</v>
      </c>
      <c r="I32" s="2"/>
      <c r="J32" s="6">
        <f t="shared" si="15"/>
        <v>1.6025157232704403E-2</v>
      </c>
      <c r="K32" s="2"/>
      <c r="L32" s="7">
        <f t="shared" si="16"/>
        <v>-343.98</v>
      </c>
      <c r="M32" s="2"/>
      <c r="N32" s="6">
        <f t="shared" si="17"/>
        <v>-1</v>
      </c>
      <c r="O32" s="11"/>
      <c r="P32" s="7">
        <v>203.98</v>
      </c>
      <c r="Q32" s="2"/>
      <c r="R32" s="6">
        <f t="shared" si="18"/>
        <v>0</v>
      </c>
      <c r="S32" s="2"/>
      <c r="T32" s="7">
        <v>4108.3639999999996</v>
      </c>
      <c r="U32" s="2"/>
      <c r="V32" s="6">
        <f t="shared" si="19"/>
        <v>1.5079331987520645E-2</v>
      </c>
      <c r="W32" s="2"/>
      <c r="X32" s="7">
        <f t="shared" si="20"/>
        <v>-3904.3839999999996</v>
      </c>
      <c r="Y32" s="2"/>
      <c r="Z32" s="6">
        <f t="shared" si="21"/>
        <v>-0.9503500663524459</v>
      </c>
    </row>
    <row r="33" spans="1:26" s="27" customFormat="1" outlineLevel="1" collapsed="1" x14ac:dyDescent="0.25">
      <c r="A33" s="26"/>
      <c r="B33" s="13" t="str">
        <f>CONCATENATE("     ","*Payroll                                          ")</f>
        <v xml:space="preserve">     *Payroll                                          </v>
      </c>
      <c r="C33" s="13"/>
      <c r="D33" s="1">
        <f>SUM(OSRRefD22_1x_0)</f>
        <v>0</v>
      </c>
      <c r="E33" s="1"/>
      <c r="F33" s="5">
        <f t="shared" ref="F33:F43" si="22">IF(D$12=0,0,D33/D$12)</f>
        <v>0</v>
      </c>
      <c r="G33" s="1"/>
      <c r="H33" s="1">
        <f>SUM(OSRRefH22_1x_0)</f>
        <v>7902.1799999999994</v>
      </c>
      <c r="I33" s="1"/>
      <c r="J33" s="5">
        <f t="shared" ref="J33:J43" si="23">IF(H$12=0,0,H33/H$12)</f>
        <v>0.36814255765199161</v>
      </c>
      <c r="K33" s="1"/>
      <c r="L33" s="1">
        <f t="shared" ref="L33:L43" si="24">+D33-H33</f>
        <v>-7902.1799999999994</v>
      </c>
      <c r="M33" s="1"/>
      <c r="N33" s="5">
        <f t="shared" ref="N33:N43" si="25">IF(H33=0,0,L33/H33)</f>
        <v>-1</v>
      </c>
      <c r="O33" s="13"/>
      <c r="P33" s="1">
        <f>SUM(OSRRefP22_1x_0)</f>
        <v>884</v>
      </c>
      <c r="Q33" s="1"/>
      <c r="R33" s="5">
        <f t="shared" ref="R33:R43" si="26">IF(P$12=0,0,P33/P$12)</f>
        <v>0</v>
      </c>
      <c r="S33" s="1"/>
      <c r="T33" s="1">
        <f>SUM(OSRRefT22_1x_0)</f>
        <v>95749.315999999992</v>
      </c>
      <c r="U33" s="1"/>
      <c r="V33" s="5">
        <f t="shared" ref="V33:V43" si="27">IF(T$12=0,0,T33/T$12)</f>
        <v>0.35143812075610198</v>
      </c>
      <c r="W33" s="1"/>
      <c r="X33" s="1">
        <f t="shared" ref="X33:X43" si="28">+P33-T33</f>
        <v>-94865.315999999992</v>
      </c>
      <c r="Y33" s="1"/>
      <c r="Z33" s="5">
        <f t="shared" ref="Z33:Z43" si="29">IF(T33=0,0,X33/T33)</f>
        <v>-0.99076755806798666</v>
      </c>
    </row>
    <row r="34" spans="1:26" s="24" customFormat="1" hidden="1" outlineLevel="2" x14ac:dyDescent="0.25">
      <c r="A34" s="25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5"/>
      <c r="B35" s="11" t="str">
        <f>CONCATENATE("          ", "6002", " - ", "STAFF SALARIES")</f>
        <v xml:space="preserve">          6002 - STAFF SALARIES</v>
      </c>
      <c r="C35" s="11"/>
      <c r="D35" s="7"/>
      <c r="E35" s="2"/>
      <c r="F35" s="6">
        <f t="shared" si="22"/>
        <v>0</v>
      </c>
      <c r="G35" s="2"/>
      <c r="H35" s="7">
        <v>4043.52</v>
      </c>
      <c r="I35" s="2"/>
      <c r="J35" s="6">
        <f t="shared" si="23"/>
        <v>0.18837735849056603</v>
      </c>
      <c r="K35" s="2"/>
      <c r="L35" s="7">
        <f t="shared" si="24"/>
        <v>-4043.52</v>
      </c>
      <c r="M35" s="2"/>
      <c r="N35" s="6">
        <f t="shared" si="25"/>
        <v>-1</v>
      </c>
      <c r="O35" s="11"/>
      <c r="P35" s="7">
        <v>884</v>
      </c>
      <c r="Q35" s="2"/>
      <c r="R35" s="6">
        <f t="shared" si="26"/>
        <v>0</v>
      </c>
      <c r="S35" s="2"/>
      <c r="T35" s="7">
        <v>46575.360000000001</v>
      </c>
      <c r="U35" s="2"/>
      <c r="V35" s="6">
        <f t="shared" si="27"/>
        <v>0.17095011928794274</v>
      </c>
      <c r="W35" s="2"/>
      <c r="X35" s="7">
        <f t="shared" si="28"/>
        <v>-45691.360000000001</v>
      </c>
      <c r="Y35" s="2"/>
      <c r="Z35" s="6">
        <f t="shared" si="29"/>
        <v>-0.98102000714540905</v>
      </c>
    </row>
    <row r="36" spans="1:26" s="24" customFormat="1" hidden="1" outlineLevel="2" x14ac:dyDescent="0.25">
      <c r="A36" s="25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5"/>
      <c r="B37" s="11" t="str">
        <f>CONCATENATE("          ", "6004", " - ", "STAFF HOURLY")</f>
        <v xml:space="preserve">          6004 - STAFF 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5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2"/>
        <v>0</v>
      </c>
      <c r="G38" s="2"/>
      <c r="H38" s="7">
        <v>1815.84</v>
      </c>
      <c r="I38" s="2"/>
      <c r="J38" s="6">
        <f t="shared" si="23"/>
        <v>8.459538784067086E-2</v>
      </c>
      <c r="K38" s="2"/>
      <c r="L38" s="7">
        <f t="shared" si="24"/>
        <v>-1815.84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15487.602000000001</v>
      </c>
      <c r="U38" s="2"/>
      <c r="V38" s="6">
        <f t="shared" si="27"/>
        <v>5.6845667094879794E-2</v>
      </c>
      <c r="W38" s="2"/>
      <c r="X38" s="7">
        <f t="shared" si="28"/>
        <v>-15487.602000000001</v>
      </c>
      <c r="Y38" s="2"/>
      <c r="Z38" s="6">
        <f t="shared" si="29"/>
        <v>-1</v>
      </c>
    </row>
    <row r="39" spans="1:26" s="24" customFormat="1" hidden="1" outlineLevel="2" x14ac:dyDescent="0.25">
      <c r="A39" s="25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5"/>
      <c r="B40" s="11" t="str">
        <f>CONCATENATE("          ", "6007", " - ", "STUDENT HOURLY")</f>
        <v xml:space="preserve">          6007 - STUDENT HOURLY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756.6</v>
      </c>
      <c r="U40" s="2"/>
      <c r="V40" s="6">
        <f t="shared" si="27"/>
        <v>2.7770233070288125E-3</v>
      </c>
      <c r="W40" s="2"/>
      <c r="X40" s="7">
        <f t="shared" si="28"/>
        <v>-756.6</v>
      </c>
      <c r="Y40" s="2"/>
      <c r="Z40" s="6">
        <f t="shared" si="29"/>
        <v>-1</v>
      </c>
    </row>
    <row r="41" spans="1:26" s="24" customFormat="1" hidden="1" outlineLevel="2" x14ac:dyDescent="0.25">
      <c r="A41" s="25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2"/>
        <v>0</v>
      </c>
      <c r="G41" s="2"/>
      <c r="H41" s="7">
        <v>2042.82</v>
      </c>
      <c r="I41" s="2"/>
      <c r="J41" s="6">
        <f t="shared" si="23"/>
        <v>9.5169811320754708E-2</v>
      </c>
      <c r="K41" s="2"/>
      <c r="L41" s="7">
        <f t="shared" si="24"/>
        <v>-2042.82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32929.754000000001</v>
      </c>
      <c r="U41" s="2"/>
      <c r="V41" s="6">
        <f t="shared" si="27"/>
        <v>0.12086531106625069</v>
      </c>
      <c r="W41" s="2"/>
      <c r="X41" s="7">
        <f t="shared" si="28"/>
        <v>-32929.754000000001</v>
      </c>
      <c r="Y41" s="2"/>
      <c r="Z41" s="6">
        <f t="shared" si="29"/>
        <v>-1</v>
      </c>
    </row>
    <row r="42" spans="1:26" s="24" customFormat="1" hidden="1" outlineLevel="2" x14ac:dyDescent="0.25">
      <c r="A42" s="25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5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7" customFormat="1" outlineLevel="1" collapsed="1" x14ac:dyDescent="0.25">
      <c r="A44" s="26"/>
      <c r="B44" s="13" t="str">
        <f>CONCATENATE("     ","Advertising/Promo                                 ")</f>
        <v xml:space="preserve">     Advertising/Promo                                 </v>
      </c>
      <c r="C44" s="13"/>
      <c r="D44" s="1">
        <f>SUM(OSRRefD22_2x_0)</f>
        <v>0</v>
      </c>
      <c r="E44" s="1"/>
      <c r="F44" s="5">
        <f t="shared" ref="F44:F52" si="30">IF(D$12=0,0,D44/D$12)</f>
        <v>0</v>
      </c>
      <c r="G44" s="1"/>
      <c r="H44" s="1">
        <f>SUM(OSRRefH22_2x_0)</f>
        <v>200</v>
      </c>
      <c r="I44" s="1"/>
      <c r="J44" s="5">
        <f t="shared" ref="J44:J52" si="31">IF(H$12=0,0,H44/H$12)</f>
        <v>9.3174935942231547E-3</v>
      </c>
      <c r="K44" s="1"/>
      <c r="L44" s="1">
        <f t="shared" ref="L44:L52" si="32">+D44-H44</f>
        <v>-200</v>
      </c>
      <c r="M44" s="1"/>
      <c r="N44" s="5">
        <f t="shared" ref="N44:N52" si="33">IF(H44=0,0,L44/H44)</f>
        <v>-1</v>
      </c>
      <c r="O44" s="13"/>
      <c r="P44" s="1">
        <f>SUM(OSRRefP22_2x_0)</f>
        <v>0</v>
      </c>
      <c r="Q44" s="1"/>
      <c r="R44" s="5">
        <f t="shared" ref="R44:R52" si="34">IF(P$12=0,0,P44/P$12)</f>
        <v>0</v>
      </c>
      <c r="S44" s="1"/>
      <c r="T44" s="1">
        <f>SUM(OSRRefT22_2x_0)</f>
        <v>1449</v>
      </c>
      <c r="U44" s="1"/>
      <c r="V44" s="5">
        <f t="shared" ref="V44:V52" si="35">IF(T$12=0,0,T44/T$12)</f>
        <v>5.3184070471646175E-3</v>
      </c>
      <c r="W44" s="1"/>
      <c r="X44" s="1">
        <f t="shared" ref="X44:X52" si="36">+P44-T44</f>
        <v>-1449</v>
      </c>
      <c r="Y44" s="1"/>
      <c r="Z44" s="5">
        <f t="shared" ref="Z44:Z52" si="37">IF(T44=0,0,X44/T44)</f>
        <v>-1</v>
      </c>
    </row>
    <row r="45" spans="1:26" s="24" customFormat="1" hidden="1" outlineLevel="2" x14ac:dyDescent="0.25">
      <c r="A45" s="25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30"/>
        <v>0</v>
      </c>
      <c r="G45" s="2"/>
      <c r="H45" s="7">
        <v>200</v>
      </c>
      <c r="I45" s="2"/>
      <c r="J45" s="6">
        <f t="shared" si="31"/>
        <v>9.3174935942231547E-3</v>
      </c>
      <c r="K45" s="2"/>
      <c r="L45" s="7">
        <f t="shared" si="32"/>
        <v>-200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1449</v>
      </c>
      <c r="U45" s="2"/>
      <c r="V45" s="6">
        <f t="shared" si="35"/>
        <v>5.3184070471646175E-3</v>
      </c>
      <c r="W45" s="2"/>
      <c r="X45" s="7">
        <f t="shared" si="36"/>
        <v>-1449</v>
      </c>
      <c r="Y45" s="2"/>
      <c r="Z45" s="6">
        <f t="shared" si="37"/>
        <v>-1</v>
      </c>
    </row>
    <row r="46" spans="1:26" s="27" customFormat="1" outlineLevel="1" collapsed="1" x14ac:dyDescent="0.25">
      <c r="A46" s="26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5</v>
      </c>
      <c r="I46" s="1"/>
      <c r="J46" s="5">
        <f t="shared" si="31"/>
        <v>2.3293733985557886E-4</v>
      </c>
      <c r="K46" s="1"/>
      <c r="L46" s="1">
        <f t="shared" si="32"/>
        <v>-5</v>
      </c>
      <c r="M46" s="1"/>
      <c r="N46" s="5">
        <f t="shared" si="33"/>
        <v>-1</v>
      </c>
      <c r="O46" s="13"/>
      <c r="P46" s="1">
        <f>SUM(OSRRefP22_3x_0)</f>
        <v>0</v>
      </c>
      <c r="Q46" s="1"/>
      <c r="R46" s="5">
        <f t="shared" si="34"/>
        <v>0</v>
      </c>
      <c r="S46" s="1"/>
      <c r="T46" s="1">
        <f>SUM(OSRRefT22_3x_0)</f>
        <v>84</v>
      </c>
      <c r="U46" s="1"/>
      <c r="V46" s="5">
        <f t="shared" si="35"/>
        <v>3.0831345200954302E-4</v>
      </c>
      <c r="W46" s="1"/>
      <c r="X46" s="1">
        <f t="shared" si="36"/>
        <v>-84</v>
      </c>
      <c r="Y46" s="1"/>
      <c r="Z46" s="5">
        <f t="shared" si="37"/>
        <v>-1</v>
      </c>
    </row>
    <row r="47" spans="1:26" s="24" customFormat="1" hidden="1" outlineLevel="2" x14ac:dyDescent="0.25">
      <c r="A47" s="25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30"/>
        <v>0</v>
      </c>
      <c r="G47" s="2"/>
      <c r="H47" s="7">
        <v>5</v>
      </c>
      <c r="I47" s="2"/>
      <c r="J47" s="6">
        <f t="shared" si="31"/>
        <v>2.3293733985557886E-4</v>
      </c>
      <c r="K47" s="2"/>
      <c r="L47" s="7">
        <f t="shared" si="32"/>
        <v>-5</v>
      </c>
      <c r="M47" s="2"/>
      <c r="N47" s="6">
        <f t="shared" si="33"/>
        <v>-1</v>
      </c>
      <c r="O47" s="11"/>
      <c r="P47" s="7"/>
      <c r="Q47" s="2"/>
      <c r="R47" s="6">
        <f t="shared" si="34"/>
        <v>0</v>
      </c>
      <c r="S47" s="2"/>
      <c r="T47" s="7">
        <v>84</v>
      </c>
      <c r="U47" s="2"/>
      <c r="V47" s="6">
        <f t="shared" si="35"/>
        <v>3.0831345200954302E-4</v>
      </c>
      <c r="W47" s="2"/>
      <c r="X47" s="7">
        <f t="shared" si="36"/>
        <v>-84</v>
      </c>
      <c r="Y47" s="2"/>
      <c r="Z47" s="6">
        <f t="shared" si="37"/>
        <v>-1</v>
      </c>
    </row>
    <row r="48" spans="1:26" s="27" customFormat="1" outlineLevel="1" collapsed="1" x14ac:dyDescent="0.25">
      <c r="A48" s="26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1200</v>
      </c>
      <c r="I48" s="1"/>
      <c r="J48" s="5">
        <f t="shared" si="31"/>
        <v>5.5904961565338925E-2</v>
      </c>
      <c r="K48" s="1"/>
      <c r="L48" s="1">
        <f t="shared" si="32"/>
        <v>-1200</v>
      </c>
      <c r="M48" s="1"/>
      <c r="N48" s="5">
        <f t="shared" si="33"/>
        <v>-1</v>
      </c>
      <c r="O48" s="13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25937</v>
      </c>
      <c r="U48" s="1"/>
      <c r="V48" s="5">
        <f t="shared" si="35"/>
        <v>9.519911910442283E-2</v>
      </c>
      <c r="W48" s="1"/>
      <c r="X48" s="1">
        <f t="shared" si="36"/>
        <v>-25937</v>
      </c>
      <c r="Y48" s="1"/>
      <c r="Z48" s="5">
        <f t="shared" si="37"/>
        <v>-1</v>
      </c>
    </row>
    <row r="49" spans="1:26" s="24" customFormat="1" hidden="1" outlineLevel="2" x14ac:dyDescent="0.25">
      <c r="A49" s="25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30"/>
        <v>0</v>
      </c>
      <c r="G49" s="2"/>
      <c r="H49" s="7">
        <v>1200</v>
      </c>
      <c r="I49" s="2"/>
      <c r="J49" s="6">
        <f t="shared" si="31"/>
        <v>5.5904961565338925E-2</v>
      </c>
      <c r="K49" s="2"/>
      <c r="L49" s="7">
        <f t="shared" si="32"/>
        <v>-1200</v>
      </c>
      <c r="M49" s="2"/>
      <c r="N49" s="6">
        <f t="shared" si="33"/>
        <v>-1</v>
      </c>
      <c r="O49" s="11"/>
      <c r="P49" s="7"/>
      <c r="Q49" s="2"/>
      <c r="R49" s="6">
        <f t="shared" si="34"/>
        <v>0</v>
      </c>
      <c r="S49" s="2"/>
      <c r="T49" s="7">
        <v>25937</v>
      </c>
      <c r="U49" s="2"/>
      <c r="V49" s="6">
        <f t="shared" si="35"/>
        <v>9.519911910442283E-2</v>
      </c>
      <c r="W49" s="2"/>
      <c r="X49" s="7">
        <f t="shared" si="36"/>
        <v>-25937</v>
      </c>
      <c r="Y49" s="2"/>
      <c r="Z49" s="6">
        <f t="shared" si="37"/>
        <v>-1</v>
      </c>
    </row>
    <row r="50" spans="1:26" s="27" customFormat="1" outlineLevel="1" collapsed="1" x14ac:dyDescent="0.25">
      <c r="A50" s="26"/>
      <c r="B50" s="13" t="str">
        <f>CONCATENATE("     ","Depreciation                                      ")</f>
        <v xml:space="preserve">     Depreciation                                      </v>
      </c>
      <c r="C50" s="13"/>
      <c r="D50" s="1">
        <f>SUM(OSRRefD22_5x_0)</f>
        <v>5471.21</v>
      </c>
      <c r="E50" s="1"/>
      <c r="F50" s="5">
        <f t="shared" si="30"/>
        <v>0</v>
      </c>
      <c r="G50" s="1"/>
      <c r="H50" s="1">
        <f>SUM(OSRRefH22_5x_0)</f>
        <v>5471</v>
      </c>
      <c r="I50" s="1"/>
      <c r="J50" s="5">
        <f t="shared" si="31"/>
        <v>0.25488003726997438</v>
      </c>
      <c r="K50" s="1"/>
      <c r="L50" s="1">
        <f t="shared" si="32"/>
        <v>0.21000000000003638</v>
      </c>
      <c r="M50" s="1"/>
      <c r="N50" s="5">
        <f t="shared" si="33"/>
        <v>3.8384207640291792E-5</v>
      </c>
      <c r="O50" s="13"/>
      <c r="P50" s="1">
        <f>SUM(OSRRefP22_5x_0)</f>
        <v>60628.81</v>
      </c>
      <c r="Q50" s="1"/>
      <c r="R50" s="5">
        <f t="shared" si="34"/>
        <v>0</v>
      </c>
      <c r="S50" s="1"/>
      <c r="T50" s="1">
        <f>SUM(OSRRefT22_5x_0)</f>
        <v>60629</v>
      </c>
      <c r="U50" s="1"/>
      <c r="V50" s="5">
        <f t="shared" si="35"/>
        <v>0.22253257478436411</v>
      </c>
      <c r="W50" s="1"/>
      <c r="X50" s="1">
        <f t="shared" si="36"/>
        <v>-0.19000000000232831</v>
      </c>
      <c r="Y50" s="1"/>
      <c r="Z50" s="5">
        <f t="shared" si="37"/>
        <v>-3.133813851495626E-6</v>
      </c>
    </row>
    <row r="51" spans="1:26" s="24" customFormat="1" hidden="1" outlineLevel="2" x14ac:dyDescent="0.25">
      <c r="A51" s="25"/>
      <c r="B51" s="11" t="str">
        <f>CONCATENATE("          ", "6321", " - ", "BUILDING DEPRECIATION")</f>
        <v xml:space="preserve">          6321 - BUILDING DEPRECIATION</v>
      </c>
      <c r="C51" s="11"/>
      <c r="D51" s="7">
        <v>5080.51</v>
      </c>
      <c r="E51" s="2"/>
      <c r="F51" s="6">
        <f t="shared" si="30"/>
        <v>0</v>
      </c>
      <c r="G51" s="2"/>
      <c r="H51" s="7"/>
      <c r="I51" s="2"/>
      <c r="J51" s="6">
        <f t="shared" si="31"/>
        <v>0</v>
      </c>
      <c r="K51" s="2"/>
      <c r="L51" s="7">
        <f t="shared" si="32"/>
        <v>5080.51</v>
      </c>
      <c r="M51" s="2"/>
      <c r="N51" s="6">
        <f t="shared" si="33"/>
        <v>0</v>
      </c>
      <c r="O51" s="11"/>
      <c r="P51" s="7">
        <v>55885.61</v>
      </c>
      <c r="Q51" s="2"/>
      <c r="R51" s="6">
        <f t="shared" si="34"/>
        <v>0</v>
      </c>
      <c r="S51" s="2"/>
      <c r="T51" s="7"/>
      <c r="U51" s="2"/>
      <c r="V51" s="6">
        <f t="shared" si="35"/>
        <v>0</v>
      </c>
      <c r="W51" s="2"/>
      <c r="X51" s="7">
        <f t="shared" si="36"/>
        <v>55885.61</v>
      </c>
      <c r="Y51" s="2"/>
      <c r="Z51" s="6">
        <f t="shared" si="37"/>
        <v>0</v>
      </c>
    </row>
    <row r="52" spans="1:26" s="24" customFormat="1" hidden="1" outlineLevel="2" x14ac:dyDescent="0.25">
      <c r="A52" s="25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390.7</v>
      </c>
      <c r="E52" s="2"/>
      <c r="F52" s="6">
        <f t="shared" si="30"/>
        <v>0</v>
      </c>
      <c r="G52" s="2"/>
      <c r="H52" s="7">
        <v>5471</v>
      </c>
      <c r="I52" s="2"/>
      <c r="J52" s="6">
        <f t="shared" si="31"/>
        <v>0.25488003726997438</v>
      </c>
      <c r="K52" s="2"/>
      <c r="L52" s="7">
        <f t="shared" si="32"/>
        <v>-5080.3</v>
      </c>
      <c r="M52" s="2"/>
      <c r="N52" s="6">
        <f t="shared" si="33"/>
        <v>-0.92858709559495523</v>
      </c>
      <c r="O52" s="11"/>
      <c r="P52" s="7">
        <v>4743.2</v>
      </c>
      <c r="Q52" s="2"/>
      <c r="R52" s="6">
        <f t="shared" si="34"/>
        <v>0</v>
      </c>
      <c r="S52" s="2"/>
      <c r="T52" s="7">
        <v>60629</v>
      </c>
      <c r="U52" s="2"/>
      <c r="V52" s="6">
        <f t="shared" si="35"/>
        <v>0.22253257478436411</v>
      </c>
      <c r="W52" s="2"/>
      <c r="X52" s="7">
        <f t="shared" si="36"/>
        <v>-55885.8</v>
      </c>
      <c r="Y52" s="2"/>
      <c r="Z52" s="6">
        <f t="shared" si="37"/>
        <v>-0.92176681126193738</v>
      </c>
    </row>
    <row r="53" spans="1:26" s="27" customFormat="1" outlineLevel="1" collapsed="1" x14ac:dyDescent="0.25">
      <c r="A53" s="26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0</v>
      </c>
      <c r="E53" s="1"/>
      <c r="F53" s="5">
        <f t="shared" ref="F53:F67" si="38">IF(D$12=0,0,D53/D$12)</f>
        <v>0</v>
      </c>
      <c r="G53" s="1"/>
      <c r="H53" s="1">
        <f>SUM(OSRRefH22_6x_0)</f>
        <v>0</v>
      </c>
      <c r="I53" s="1"/>
      <c r="J53" s="5">
        <f t="shared" ref="J53:J67" si="39">IF(H$12=0,0,H53/H$12)</f>
        <v>0</v>
      </c>
      <c r="K53" s="1"/>
      <c r="L53" s="1">
        <f t="shared" ref="L53:L67" si="40">+D53-H53</f>
        <v>0</v>
      </c>
      <c r="M53" s="1"/>
      <c r="N53" s="5">
        <f t="shared" ref="N53:N67" si="41">IF(H53=0,0,L53/H53)</f>
        <v>0</v>
      </c>
      <c r="O53" s="13"/>
      <c r="P53" s="1">
        <f>SUM(OSRRefP22_6x_0)</f>
        <v>0</v>
      </c>
      <c r="Q53" s="1"/>
      <c r="R53" s="5">
        <f t="shared" ref="R53:R67" si="42">IF(P$12=0,0,P53/P$12)</f>
        <v>0</v>
      </c>
      <c r="S53" s="1"/>
      <c r="T53" s="1">
        <f>SUM(OSRRefT22_6x_0)</f>
        <v>150</v>
      </c>
      <c r="U53" s="1"/>
      <c r="V53" s="5">
        <f t="shared" ref="V53:V67" si="43">IF(T$12=0,0,T53/T$12)</f>
        <v>5.5055973573132683E-4</v>
      </c>
      <c r="W53" s="1"/>
      <c r="X53" s="1">
        <f t="shared" ref="X53:X67" si="44">+P53-T53</f>
        <v>-150</v>
      </c>
      <c r="Y53" s="1"/>
      <c r="Z53" s="5">
        <f t="shared" ref="Z53:Z67" si="45">IF(T53=0,0,X53/T53)</f>
        <v>-1</v>
      </c>
    </row>
    <row r="54" spans="1:26" s="24" customFormat="1" hidden="1" outlineLevel="2" x14ac:dyDescent="0.25">
      <c r="A54" s="25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38"/>
        <v>0</v>
      </c>
      <c r="G54" s="2"/>
      <c r="H54" s="7"/>
      <c r="I54" s="2"/>
      <c r="J54" s="6">
        <f t="shared" si="39"/>
        <v>0</v>
      </c>
      <c r="K54" s="2"/>
      <c r="L54" s="7">
        <f t="shared" si="40"/>
        <v>0</v>
      </c>
      <c r="M54" s="2"/>
      <c r="N54" s="6">
        <f t="shared" si="41"/>
        <v>0</v>
      </c>
      <c r="O54" s="11"/>
      <c r="P54" s="7"/>
      <c r="Q54" s="2"/>
      <c r="R54" s="6">
        <f t="shared" si="42"/>
        <v>0</v>
      </c>
      <c r="S54" s="2"/>
      <c r="T54" s="7">
        <v>150</v>
      </c>
      <c r="U54" s="2"/>
      <c r="V54" s="6">
        <f t="shared" si="43"/>
        <v>5.5055973573132683E-4</v>
      </c>
      <c r="W54" s="2"/>
      <c r="X54" s="7">
        <f t="shared" si="44"/>
        <v>-150</v>
      </c>
      <c r="Y54" s="2"/>
      <c r="Z54" s="6">
        <f t="shared" si="45"/>
        <v>-1</v>
      </c>
    </row>
    <row r="55" spans="1:26" s="27" customFormat="1" outlineLevel="1" collapsed="1" x14ac:dyDescent="0.25">
      <c r="A55" s="26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SUM(OSRRefD22_7x_0)</f>
        <v>0</v>
      </c>
      <c r="E55" s="1"/>
      <c r="F55" s="5">
        <f t="shared" si="38"/>
        <v>0</v>
      </c>
      <c r="G55" s="1"/>
      <c r="H55" s="1">
        <f>SUM(OSRRefH22_7x_0)</f>
        <v>146</v>
      </c>
      <c r="I55" s="1"/>
      <c r="J55" s="5">
        <f t="shared" si="39"/>
        <v>6.8017703237829028E-3</v>
      </c>
      <c r="K55" s="1"/>
      <c r="L55" s="1">
        <f t="shared" si="40"/>
        <v>-146</v>
      </c>
      <c r="M55" s="1"/>
      <c r="N55" s="5">
        <f t="shared" si="41"/>
        <v>-1</v>
      </c>
      <c r="O55" s="13"/>
      <c r="P55" s="1">
        <f>SUM(OSRRefP22_7x_0)</f>
        <v>605.35</v>
      </c>
      <c r="Q55" s="1"/>
      <c r="R55" s="5">
        <f t="shared" si="42"/>
        <v>0</v>
      </c>
      <c r="S55" s="1"/>
      <c r="T55" s="1">
        <f>SUM(OSRRefT22_7x_0)</f>
        <v>1168</v>
      </c>
      <c r="U55" s="1"/>
      <c r="V55" s="5">
        <f t="shared" si="43"/>
        <v>4.2870251422279316E-3</v>
      </c>
      <c r="W55" s="1"/>
      <c r="X55" s="1">
        <f t="shared" si="44"/>
        <v>-562.65</v>
      </c>
      <c r="Y55" s="1"/>
      <c r="Z55" s="5">
        <f t="shared" si="45"/>
        <v>-0.48172089041095889</v>
      </c>
    </row>
    <row r="56" spans="1:26" s="24" customFormat="1" hidden="1" outlineLevel="2" x14ac:dyDescent="0.25">
      <c r="A56" s="25"/>
      <c r="B56" s="11" t="str">
        <f>CONCATENATE("          ", "6351", " - ", "EQUIPMENT RENTAL")</f>
        <v xml:space="preserve">          6351 - EQUIPMENT RENTAL</v>
      </c>
      <c r="C56" s="11"/>
      <c r="D56" s="7"/>
      <c r="E56" s="2"/>
      <c r="F56" s="6">
        <f t="shared" si="38"/>
        <v>0</v>
      </c>
      <c r="G56" s="2"/>
      <c r="H56" s="7">
        <v>146</v>
      </c>
      <c r="I56" s="2"/>
      <c r="J56" s="6">
        <f t="shared" si="39"/>
        <v>6.8017703237829028E-3</v>
      </c>
      <c r="K56" s="2"/>
      <c r="L56" s="7">
        <f t="shared" si="40"/>
        <v>-146</v>
      </c>
      <c r="M56" s="2"/>
      <c r="N56" s="6">
        <f t="shared" si="41"/>
        <v>-1</v>
      </c>
      <c r="O56" s="11"/>
      <c r="P56" s="7">
        <v>605.35</v>
      </c>
      <c r="Q56" s="2"/>
      <c r="R56" s="6">
        <f t="shared" si="42"/>
        <v>0</v>
      </c>
      <c r="S56" s="2"/>
      <c r="T56" s="7">
        <v>1168</v>
      </c>
      <c r="U56" s="2"/>
      <c r="V56" s="6">
        <f t="shared" si="43"/>
        <v>4.2870251422279316E-3</v>
      </c>
      <c r="W56" s="2"/>
      <c r="X56" s="7">
        <f t="shared" si="44"/>
        <v>-562.65</v>
      </c>
      <c r="Y56" s="2"/>
      <c r="Z56" s="6">
        <f t="shared" si="45"/>
        <v>-0.48172089041095889</v>
      </c>
    </row>
    <row r="57" spans="1:26" s="27" customFormat="1" outlineLevel="1" collapsed="1" x14ac:dyDescent="0.25">
      <c r="A57" s="26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SUM(OSRRefD22_8x_0)</f>
        <v>0</v>
      </c>
      <c r="E57" s="1"/>
      <c r="F57" s="5">
        <f t="shared" si="38"/>
        <v>0</v>
      </c>
      <c r="G57" s="1"/>
      <c r="H57" s="1">
        <f>SUM(OSRRefH22_8x_0)</f>
        <v>0</v>
      </c>
      <c r="I57" s="1"/>
      <c r="J57" s="5">
        <f t="shared" si="39"/>
        <v>0</v>
      </c>
      <c r="K57" s="1"/>
      <c r="L57" s="1">
        <f t="shared" si="40"/>
        <v>0</v>
      </c>
      <c r="M57" s="1"/>
      <c r="N57" s="5">
        <f t="shared" si="41"/>
        <v>0</v>
      </c>
      <c r="O57" s="13"/>
      <c r="P57" s="1">
        <f>SUM(OSRRefP22_8x_0)</f>
        <v>914.55</v>
      </c>
      <c r="Q57" s="1"/>
      <c r="R57" s="5">
        <f t="shared" si="42"/>
        <v>0</v>
      </c>
      <c r="S57" s="1"/>
      <c r="T57" s="1">
        <f>SUM(OSRRefT22_8x_0)</f>
        <v>800</v>
      </c>
      <c r="U57" s="1"/>
      <c r="V57" s="5">
        <f t="shared" si="43"/>
        <v>2.9363185905670764E-3</v>
      </c>
      <c r="W57" s="1"/>
      <c r="X57" s="1">
        <f t="shared" si="44"/>
        <v>114.54999999999995</v>
      </c>
      <c r="Y57" s="1"/>
      <c r="Z57" s="5">
        <f t="shared" si="45"/>
        <v>0.14318749999999994</v>
      </c>
    </row>
    <row r="58" spans="1:26" s="24" customFormat="1" hidden="1" outlineLevel="2" x14ac:dyDescent="0.25">
      <c r="A58" s="25"/>
      <c r="B58" s="11" t="str">
        <f>CONCATENATE("          ", "6279", " - ", "GENERAL EXPENSE")</f>
        <v xml:space="preserve">          6279 - GENERAL EXPENSE</v>
      </c>
      <c r="C58" s="11"/>
      <c r="D58" s="7"/>
      <c r="E58" s="2"/>
      <c r="F58" s="6">
        <f t="shared" si="38"/>
        <v>0</v>
      </c>
      <c r="G58" s="2"/>
      <c r="H58" s="7"/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>
        <v>914.55</v>
      </c>
      <c r="Q58" s="2"/>
      <c r="R58" s="6">
        <f t="shared" si="42"/>
        <v>0</v>
      </c>
      <c r="S58" s="2"/>
      <c r="T58" s="7">
        <v>800</v>
      </c>
      <c r="U58" s="2"/>
      <c r="V58" s="6">
        <f t="shared" si="43"/>
        <v>2.9363185905670764E-3</v>
      </c>
      <c r="W58" s="2"/>
      <c r="X58" s="7">
        <f t="shared" si="44"/>
        <v>114.54999999999995</v>
      </c>
      <c r="Y58" s="2"/>
      <c r="Z58" s="6">
        <f t="shared" si="45"/>
        <v>0.14318749999999994</v>
      </c>
    </row>
    <row r="59" spans="1:26" s="27" customFormat="1" outlineLevel="1" collapsed="1" x14ac:dyDescent="0.25">
      <c r="A59" s="26"/>
      <c r="B59" s="13" t="str">
        <f>CONCATENATE("     ","Insurance                                         ")</f>
        <v xml:space="preserve">     Insurance                                         </v>
      </c>
      <c r="C59" s="13"/>
      <c r="D59" s="1">
        <f>SUM(OSRRefD22_9x_0)</f>
        <v>243.54</v>
      </c>
      <c r="E59" s="1"/>
      <c r="F59" s="5">
        <f t="shared" si="38"/>
        <v>0</v>
      </c>
      <c r="G59" s="1"/>
      <c r="H59" s="1">
        <f>SUM(OSRRefH22_9x_0)</f>
        <v>270</v>
      </c>
      <c r="I59" s="1"/>
      <c r="J59" s="5">
        <f t="shared" si="39"/>
        <v>1.2578616352201259E-2</v>
      </c>
      <c r="K59" s="1"/>
      <c r="L59" s="1">
        <f t="shared" si="40"/>
        <v>-26.460000000000008</v>
      </c>
      <c r="M59" s="1"/>
      <c r="N59" s="5">
        <f t="shared" si="41"/>
        <v>-9.8000000000000032E-2</v>
      </c>
      <c r="O59" s="13"/>
      <c r="P59" s="1">
        <f>SUM(OSRRefP22_9x_0)</f>
        <v>2678.94</v>
      </c>
      <c r="Q59" s="1"/>
      <c r="R59" s="5">
        <f t="shared" si="42"/>
        <v>0</v>
      </c>
      <c r="S59" s="1"/>
      <c r="T59" s="1">
        <f>SUM(OSRRefT22_9x_0)</f>
        <v>2970</v>
      </c>
      <c r="U59" s="1"/>
      <c r="V59" s="5">
        <f t="shared" si="43"/>
        <v>1.0901082767480271E-2</v>
      </c>
      <c r="W59" s="1"/>
      <c r="X59" s="1">
        <f t="shared" si="44"/>
        <v>-291.05999999999995</v>
      </c>
      <c r="Y59" s="1"/>
      <c r="Z59" s="5">
        <f t="shared" si="45"/>
        <v>-9.7999999999999976E-2</v>
      </c>
    </row>
    <row r="60" spans="1:26" s="24" customFormat="1" hidden="1" outlineLevel="2" x14ac:dyDescent="0.25">
      <c r="A60" s="25"/>
      <c r="B60" s="11" t="str">
        <f>CONCATENATE("          ", "6314", " - ", "LIABILITY INSURANCE")</f>
        <v xml:space="preserve">          6314 - LIABILITY INSURANCE</v>
      </c>
      <c r="C60" s="11"/>
      <c r="D60" s="7">
        <v>243.54</v>
      </c>
      <c r="E60" s="2"/>
      <c r="F60" s="6">
        <f t="shared" si="38"/>
        <v>0</v>
      </c>
      <c r="G60" s="2"/>
      <c r="H60" s="7">
        <v>270</v>
      </c>
      <c r="I60" s="2"/>
      <c r="J60" s="6">
        <f t="shared" si="39"/>
        <v>1.2578616352201259E-2</v>
      </c>
      <c r="K60" s="2"/>
      <c r="L60" s="7">
        <f t="shared" si="40"/>
        <v>-26.460000000000008</v>
      </c>
      <c r="M60" s="2"/>
      <c r="N60" s="6">
        <f t="shared" si="41"/>
        <v>-9.8000000000000032E-2</v>
      </c>
      <c r="O60" s="11"/>
      <c r="P60" s="7">
        <v>2678.94</v>
      </c>
      <c r="Q60" s="2"/>
      <c r="R60" s="6">
        <f t="shared" si="42"/>
        <v>0</v>
      </c>
      <c r="S60" s="2"/>
      <c r="T60" s="7">
        <v>2970</v>
      </c>
      <c r="U60" s="2"/>
      <c r="V60" s="6">
        <f t="shared" si="43"/>
        <v>1.0901082767480271E-2</v>
      </c>
      <c r="W60" s="2"/>
      <c r="X60" s="7">
        <f t="shared" si="44"/>
        <v>-291.05999999999995</v>
      </c>
      <c r="Y60" s="2"/>
      <c r="Z60" s="6">
        <f t="shared" si="45"/>
        <v>-9.7999999999999976E-2</v>
      </c>
    </row>
    <row r="61" spans="1:26" s="27" customFormat="1" outlineLevel="1" collapsed="1" x14ac:dyDescent="0.25">
      <c r="A61" s="26"/>
      <c r="B61" s="13" t="str">
        <f>CONCATENATE("     ","Interest                                          ")</f>
        <v xml:space="preserve">     Interest                                          </v>
      </c>
      <c r="C61" s="13"/>
      <c r="D61" s="1">
        <f>SUM(OSRRefD22_10x_0)</f>
        <v>4044</v>
      </c>
      <c r="E61" s="1"/>
      <c r="F61" s="5">
        <f t="shared" si="38"/>
        <v>0</v>
      </c>
      <c r="G61" s="1"/>
      <c r="H61" s="1">
        <f>SUM(OSRRefH22_10x_0)</f>
        <v>3905</v>
      </c>
      <c r="I61" s="1"/>
      <c r="J61" s="5">
        <f t="shared" si="39"/>
        <v>0.18192406242720707</v>
      </c>
      <c r="K61" s="1"/>
      <c r="L61" s="1">
        <f t="shared" si="40"/>
        <v>139</v>
      </c>
      <c r="M61" s="1"/>
      <c r="N61" s="5">
        <f t="shared" si="41"/>
        <v>3.559539052496799E-2</v>
      </c>
      <c r="O61" s="13"/>
      <c r="P61" s="1">
        <f>SUM(OSRRefP22_10x_0)</f>
        <v>43390.85</v>
      </c>
      <c r="Q61" s="1"/>
      <c r="R61" s="5">
        <f t="shared" si="42"/>
        <v>0</v>
      </c>
      <c r="S61" s="1"/>
      <c r="T61" s="1">
        <f>SUM(OSRRefT22_10x_0)</f>
        <v>44345</v>
      </c>
      <c r="U61" s="1"/>
      <c r="V61" s="5">
        <f t="shared" si="43"/>
        <v>0.16276380987337127</v>
      </c>
      <c r="W61" s="1"/>
      <c r="X61" s="1">
        <f t="shared" si="44"/>
        <v>-954.15000000000146</v>
      </c>
      <c r="Y61" s="1"/>
      <c r="Z61" s="5">
        <f t="shared" si="45"/>
        <v>-2.1516518209493775E-2</v>
      </c>
    </row>
    <row r="62" spans="1:26" s="24" customFormat="1" hidden="1" outlineLevel="2" x14ac:dyDescent="0.25">
      <c r="A62" s="25"/>
      <c r="B62" s="11" t="str">
        <f>CONCATENATE("          ", "6401", " - ", "INTEREST EXPENSE")</f>
        <v xml:space="preserve">          6401 - INTEREST EXPENSE</v>
      </c>
      <c r="C62" s="11"/>
      <c r="D62" s="7">
        <v>4044</v>
      </c>
      <c r="E62" s="2"/>
      <c r="F62" s="6">
        <f t="shared" si="38"/>
        <v>0</v>
      </c>
      <c r="G62" s="2"/>
      <c r="H62" s="7">
        <v>3905</v>
      </c>
      <c r="I62" s="2"/>
      <c r="J62" s="6">
        <f t="shared" si="39"/>
        <v>0.18192406242720707</v>
      </c>
      <c r="K62" s="2"/>
      <c r="L62" s="7">
        <f t="shared" si="40"/>
        <v>139</v>
      </c>
      <c r="M62" s="2"/>
      <c r="N62" s="6">
        <f t="shared" si="41"/>
        <v>3.559539052496799E-2</v>
      </c>
      <c r="O62" s="11"/>
      <c r="P62" s="7">
        <v>43390.85</v>
      </c>
      <c r="Q62" s="2"/>
      <c r="R62" s="6">
        <f t="shared" si="42"/>
        <v>0</v>
      </c>
      <c r="S62" s="2"/>
      <c r="T62" s="7">
        <v>44345</v>
      </c>
      <c r="U62" s="2"/>
      <c r="V62" s="6">
        <f t="shared" si="43"/>
        <v>0.16276380987337127</v>
      </c>
      <c r="W62" s="2"/>
      <c r="X62" s="7">
        <f t="shared" si="44"/>
        <v>-954.15000000000146</v>
      </c>
      <c r="Y62" s="2"/>
      <c r="Z62" s="6">
        <f t="shared" si="45"/>
        <v>-2.1516518209493775E-2</v>
      </c>
    </row>
    <row r="63" spans="1:26" s="27" customFormat="1" outlineLevel="1" collapsed="1" x14ac:dyDescent="0.25">
      <c r="A63" s="26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SUM(OSRRefD22_11x_0)</f>
        <v>205.13</v>
      </c>
      <c r="E63" s="1"/>
      <c r="F63" s="5">
        <f t="shared" si="38"/>
        <v>0</v>
      </c>
      <c r="G63" s="1"/>
      <c r="H63" s="1">
        <f>SUM(OSRRefH22_11x_0)</f>
        <v>20</v>
      </c>
      <c r="I63" s="1"/>
      <c r="J63" s="5">
        <f t="shared" si="39"/>
        <v>9.3174935942231542E-4</v>
      </c>
      <c r="K63" s="1"/>
      <c r="L63" s="1">
        <f t="shared" si="40"/>
        <v>185.13</v>
      </c>
      <c r="M63" s="1"/>
      <c r="N63" s="5">
        <f t="shared" si="41"/>
        <v>9.2564999999999991</v>
      </c>
      <c r="O63" s="13"/>
      <c r="P63" s="1">
        <f>SUM(OSRRefP22_11x_0)</f>
        <v>842.29</v>
      </c>
      <c r="Q63" s="1"/>
      <c r="R63" s="5">
        <f t="shared" si="42"/>
        <v>0</v>
      </c>
      <c r="S63" s="1"/>
      <c r="T63" s="1">
        <f>SUM(OSRRefT22_11x_0)</f>
        <v>1247</v>
      </c>
      <c r="U63" s="1"/>
      <c r="V63" s="5">
        <f t="shared" si="43"/>
        <v>4.5769866030464304E-3</v>
      </c>
      <c r="W63" s="1"/>
      <c r="X63" s="1">
        <f t="shared" si="44"/>
        <v>-404.71000000000004</v>
      </c>
      <c r="Y63" s="1"/>
      <c r="Z63" s="5">
        <f t="shared" si="45"/>
        <v>-0.32454691259021656</v>
      </c>
    </row>
    <row r="64" spans="1:26" s="24" customFormat="1" hidden="1" outlineLevel="2" x14ac:dyDescent="0.25">
      <c r="A64" s="25"/>
      <c r="B64" s="11" t="str">
        <f>CONCATENATE("          ", "6371", " - ", "COMPUTER SOFTWARE MAINTENANCE")</f>
        <v xml:space="preserve">          6371 - COMPUTER SOFTWARE MAINTENANCE</v>
      </c>
      <c r="C64" s="11"/>
      <c r="D64" s="7"/>
      <c r="E64" s="2"/>
      <c r="F64" s="6">
        <f t="shared" si="38"/>
        <v>0</v>
      </c>
      <c r="G64" s="2"/>
      <c r="H64" s="7"/>
      <c r="I64" s="2"/>
      <c r="J64" s="6">
        <f t="shared" si="39"/>
        <v>0</v>
      </c>
      <c r="K64" s="2"/>
      <c r="L64" s="7">
        <f t="shared" si="40"/>
        <v>0</v>
      </c>
      <c r="M64" s="2"/>
      <c r="N64" s="6">
        <f t="shared" si="41"/>
        <v>0</v>
      </c>
      <c r="O64" s="11"/>
      <c r="P64" s="7"/>
      <c r="Q64" s="2"/>
      <c r="R64" s="6">
        <f t="shared" si="42"/>
        <v>0</v>
      </c>
      <c r="S64" s="2"/>
      <c r="T64" s="7">
        <v>43</v>
      </c>
      <c r="U64" s="2"/>
      <c r="V64" s="6">
        <f t="shared" si="43"/>
        <v>1.5782712424298036E-4</v>
      </c>
      <c r="W64" s="2"/>
      <c r="X64" s="7">
        <f t="shared" si="44"/>
        <v>-43</v>
      </c>
      <c r="Y64" s="2"/>
      <c r="Z64" s="6">
        <f t="shared" si="45"/>
        <v>-1</v>
      </c>
    </row>
    <row r="65" spans="1:26" s="24" customFormat="1" hidden="1" outlineLevel="2" x14ac:dyDescent="0.25">
      <c r="A65" s="25"/>
      <c r="B65" s="11" t="str">
        <f>CONCATENATE("          ", "6372", " - ", "COMPUTER HARDWARE MAINTENANCE")</f>
        <v xml:space="preserve">          6372 - COMPUTER HARDWARE MAINTENANCE</v>
      </c>
      <c r="C65" s="11"/>
      <c r="D65" s="7"/>
      <c r="E65" s="2"/>
      <c r="F65" s="6">
        <f t="shared" si="38"/>
        <v>0</v>
      </c>
      <c r="G65" s="2"/>
      <c r="H65" s="7"/>
      <c r="I65" s="2"/>
      <c r="J65" s="6">
        <f t="shared" si="39"/>
        <v>0</v>
      </c>
      <c r="K65" s="2"/>
      <c r="L65" s="7">
        <f t="shared" si="40"/>
        <v>0</v>
      </c>
      <c r="M65" s="2"/>
      <c r="N65" s="6">
        <f t="shared" si="41"/>
        <v>0</v>
      </c>
      <c r="O65" s="11"/>
      <c r="P65" s="7"/>
      <c r="Q65" s="2"/>
      <c r="R65" s="6">
        <f t="shared" si="42"/>
        <v>0</v>
      </c>
      <c r="S65" s="2"/>
      <c r="T65" s="7">
        <v>437</v>
      </c>
      <c r="U65" s="2"/>
      <c r="V65" s="6">
        <f t="shared" si="43"/>
        <v>1.6039640300972656E-3</v>
      </c>
      <c r="W65" s="2"/>
      <c r="X65" s="7">
        <f t="shared" si="44"/>
        <v>-437</v>
      </c>
      <c r="Y65" s="2"/>
      <c r="Z65" s="6">
        <f t="shared" si="45"/>
        <v>-1</v>
      </c>
    </row>
    <row r="66" spans="1:26" s="24" customFormat="1" hidden="1" outlineLevel="2" x14ac:dyDescent="0.25">
      <c r="A66" s="25"/>
      <c r="B66" s="11" t="str">
        <f>CONCATENATE("          ", "6373", " - ", "MAINTENANCE CONTRACTS")</f>
        <v xml:space="preserve">          6373 - MAINTENANCE CONTRACTS</v>
      </c>
      <c r="C66" s="11"/>
      <c r="D66" s="7"/>
      <c r="E66" s="2"/>
      <c r="F66" s="6">
        <f t="shared" si="38"/>
        <v>0</v>
      </c>
      <c r="G66" s="2"/>
      <c r="H66" s="7"/>
      <c r="I66" s="2"/>
      <c r="J66" s="6">
        <f t="shared" si="39"/>
        <v>0</v>
      </c>
      <c r="K66" s="2"/>
      <c r="L66" s="7">
        <f t="shared" si="40"/>
        <v>0</v>
      </c>
      <c r="M66" s="2"/>
      <c r="N66" s="6">
        <f t="shared" si="41"/>
        <v>0</v>
      </c>
      <c r="O66" s="11"/>
      <c r="P66" s="7">
        <v>404.16</v>
      </c>
      <c r="Q66" s="2"/>
      <c r="R66" s="6">
        <f t="shared" si="42"/>
        <v>0</v>
      </c>
      <c r="S66" s="2"/>
      <c r="T66" s="7">
        <v>231</v>
      </c>
      <c r="U66" s="2"/>
      <c r="V66" s="6">
        <f t="shared" si="43"/>
        <v>8.4786199302624337E-4</v>
      </c>
      <c r="W66" s="2"/>
      <c r="X66" s="7">
        <f t="shared" si="44"/>
        <v>173.16000000000003</v>
      </c>
      <c r="Y66" s="2"/>
      <c r="Z66" s="6">
        <f t="shared" si="45"/>
        <v>0.74961038961038973</v>
      </c>
    </row>
    <row r="67" spans="1:26" s="24" customFormat="1" hidden="1" outlineLevel="2" x14ac:dyDescent="0.25">
      <c r="A67" s="25"/>
      <c r="B67" s="11" t="str">
        <f>CONCATENATE("          ", "6375", " - ", "OUTSIDE REPAIRS &amp; MAINTENANCE")</f>
        <v xml:space="preserve">          6375 - OUTSIDE REPAIRS &amp; MAINTENANCE</v>
      </c>
      <c r="C67" s="11"/>
      <c r="D67" s="7">
        <v>205.13</v>
      </c>
      <c r="E67" s="2"/>
      <c r="F67" s="6">
        <f t="shared" si="38"/>
        <v>0</v>
      </c>
      <c r="G67" s="2"/>
      <c r="H67" s="7">
        <v>20</v>
      </c>
      <c r="I67" s="2"/>
      <c r="J67" s="6">
        <f t="shared" si="39"/>
        <v>9.3174935942231542E-4</v>
      </c>
      <c r="K67" s="2"/>
      <c r="L67" s="7">
        <f t="shared" si="40"/>
        <v>185.13</v>
      </c>
      <c r="M67" s="2"/>
      <c r="N67" s="6">
        <f t="shared" si="41"/>
        <v>9.2564999999999991</v>
      </c>
      <c r="O67" s="11"/>
      <c r="P67" s="7">
        <v>438.13</v>
      </c>
      <c r="Q67" s="2"/>
      <c r="R67" s="6">
        <f t="shared" si="42"/>
        <v>0</v>
      </c>
      <c r="S67" s="2"/>
      <c r="T67" s="7">
        <v>536</v>
      </c>
      <c r="U67" s="2"/>
      <c r="V67" s="6">
        <f t="shared" si="43"/>
        <v>1.9673334556799412E-3</v>
      </c>
      <c r="W67" s="2"/>
      <c r="X67" s="7">
        <f t="shared" si="44"/>
        <v>-97.87</v>
      </c>
      <c r="Y67" s="2"/>
      <c r="Z67" s="6">
        <f t="shared" si="45"/>
        <v>-0.18259328358208957</v>
      </c>
    </row>
    <row r="68" spans="1:26" s="27" customFormat="1" outlineLevel="1" collapsed="1" x14ac:dyDescent="0.25">
      <c r="A68" s="26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SUM(OSRRefD22_12x_0)</f>
        <v>457.4</v>
      </c>
      <c r="E68" s="1"/>
      <c r="F68" s="5">
        <f t="shared" ref="F68:F71" si="46">IF(D$12=0,0,D68/D$12)</f>
        <v>0</v>
      </c>
      <c r="G68" s="1"/>
      <c r="H68" s="1">
        <f>SUM(OSRRefH22_12x_0)</f>
        <v>541</v>
      </c>
      <c r="I68" s="1"/>
      <c r="J68" s="5">
        <f t="shared" ref="J68:J71" si="47">IF(H$12=0,0,H68/H$12)</f>
        <v>2.5203820172373631E-2</v>
      </c>
      <c r="K68" s="1"/>
      <c r="L68" s="1">
        <f t="shared" ref="L68:L71" si="48">+D68-H68</f>
        <v>-83.600000000000023</v>
      </c>
      <c r="M68" s="1"/>
      <c r="N68" s="5">
        <f t="shared" ref="N68:N71" si="49">IF(H68=0,0,L68/H68)</f>
        <v>-0.15452865064695012</v>
      </c>
      <c r="O68" s="13"/>
      <c r="P68" s="1">
        <f>SUM(OSRRefP22_12x_0)</f>
        <v>2408.15</v>
      </c>
      <c r="Q68" s="1"/>
      <c r="R68" s="5">
        <f t="shared" ref="R68:R71" si="50">IF(P$12=0,0,P68/P$12)</f>
        <v>0</v>
      </c>
      <c r="S68" s="1"/>
      <c r="T68" s="1">
        <f>SUM(OSRRefT22_12x_0)</f>
        <v>5879</v>
      </c>
      <c r="U68" s="1"/>
      <c r="V68" s="5">
        <f t="shared" ref="V68:V71" si="51">IF(T$12=0,0,T68/T$12)</f>
        <v>2.1578271242429805E-2</v>
      </c>
      <c r="W68" s="1"/>
      <c r="X68" s="1">
        <f t="shared" ref="X68:X71" si="52">+P68-T68</f>
        <v>-3470.85</v>
      </c>
      <c r="Y68" s="1"/>
      <c r="Z68" s="5">
        <f t="shared" ref="Z68:Z71" si="53">IF(T68=0,0,X68/T68)</f>
        <v>-0.59038101717979241</v>
      </c>
    </row>
    <row r="69" spans="1:26" s="24" customFormat="1" hidden="1" outlineLevel="2" x14ac:dyDescent="0.25">
      <c r="A69" s="25"/>
      <c r="B69" s="11" t="str">
        <f>CONCATENATE("          ", "6282", " - ", "JANITORIAL/EXTERMINATOR EXPENS")</f>
        <v xml:space="preserve">          6282 - JANITORIAL/EXTERMINATOR EXPENS</v>
      </c>
      <c r="C69" s="11"/>
      <c r="D69" s="7">
        <v>168.4</v>
      </c>
      <c r="E69" s="2"/>
      <c r="F69" s="6">
        <f t="shared" si="46"/>
        <v>0</v>
      </c>
      <c r="G69" s="2"/>
      <c r="H69" s="7">
        <v>200</v>
      </c>
      <c r="I69" s="2"/>
      <c r="J69" s="6">
        <f t="shared" si="47"/>
        <v>9.3174935942231547E-3</v>
      </c>
      <c r="K69" s="2"/>
      <c r="L69" s="7">
        <f t="shared" si="48"/>
        <v>-31.599999999999994</v>
      </c>
      <c r="M69" s="2"/>
      <c r="N69" s="6">
        <f t="shared" si="49"/>
        <v>-0.15799999999999997</v>
      </c>
      <c r="O69" s="11"/>
      <c r="P69" s="7">
        <v>955.15</v>
      </c>
      <c r="Q69" s="2"/>
      <c r="R69" s="6">
        <f t="shared" si="50"/>
        <v>0</v>
      </c>
      <c r="S69" s="2"/>
      <c r="T69" s="7">
        <v>1616</v>
      </c>
      <c r="U69" s="2"/>
      <c r="V69" s="6">
        <f t="shared" si="51"/>
        <v>5.9313635529454943E-3</v>
      </c>
      <c r="W69" s="2"/>
      <c r="X69" s="7">
        <f t="shared" si="52"/>
        <v>-660.85</v>
      </c>
      <c r="Y69" s="2"/>
      <c r="Z69" s="6">
        <f t="shared" si="53"/>
        <v>-0.40894183168316833</v>
      </c>
    </row>
    <row r="70" spans="1:26" s="24" customFormat="1" hidden="1" outlineLevel="2" x14ac:dyDescent="0.25">
      <c r="A70" s="25"/>
      <c r="B70" s="11" t="str">
        <f>CONCATENATE("          ", "6284", " - ", "TRASH REMOVAL EXPENSE")</f>
        <v xml:space="preserve">          6284 - TRASH REMOVAL EXPENSE</v>
      </c>
      <c r="C70" s="11"/>
      <c r="D70" s="7">
        <v>289</v>
      </c>
      <c r="E70" s="2"/>
      <c r="F70" s="6">
        <f t="shared" si="46"/>
        <v>0</v>
      </c>
      <c r="G70" s="2"/>
      <c r="H70" s="7">
        <v>237</v>
      </c>
      <c r="I70" s="2"/>
      <c r="J70" s="6">
        <f t="shared" si="47"/>
        <v>1.1041229909154437E-2</v>
      </c>
      <c r="K70" s="2"/>
      <c r="L70" s="7">
        <f t="shared" si="48"/>
        <v>52</v>
      </c>
      <c r="M70" s="2"/>
      <c r="N70" s="6">
        <f t="shared" si="49"/>
        <v>0.21940928270042195</v>
      </c>
      <c r="O70" s="11"/>
      <c r="P70" s="7">
        <v>1453</v>
      </c>
      <c r="Q70" s="2"/>
      <c r="R70" s="6">
        <f t="shared" si="50"/>
        <v>0</v>
      </c>
      <c r="S70" s="2"/>
      <c r="T70" s="7">
        <v>3126</v>
      </c>
      <c r="U70" s="2"/>
      <c r="V70" s="6">
        <f t="shared" si="51"/>
        <v>1.1473664892640852E-2</v>
      </c>
      <c r="W70" s="2"/>
      <c r="X70" s="7">
        <f t="shared" si="52"/>
        <v>-1673</v>
      </c>
      <c r="Y70" s="2"/>
      <c r="Z70" s="6">
        <f t="shared" si="53"/>
        <v>-0.53518873960332691</v>
      </c>
    </row>
    <row r="71" spans="1:26" s="24" customFormat="1" hidden="1" outlineLevel="2" x14ac:dyDescent="0.25">
      <c r="A71" s="25"/>
      <c r="B71" s="11" t="str">
        <f>CONCATENATE("          ", "6286", " - ", "LAUNDRY EXPENSE")</f>
        <v xml:space="preserve">          6286 - LAUNDRY EXPENSE</v>
      </c>
      <c r="C71" s="11"/>
      <c r="D71" s="7"/>
      <c r="E71" s="2"/>
      <c r="F71" s="6">
        <f t="shared" si="46"/>
        <v>0</v>
      </c>
      <c r="G71" s="2"/>
      <c r="H71" s="7">
        <v>104</v>
      </c>
      <c r="I71" s="2"/>
      <c r="J71" s="6">
        <f t="shared" si="47"/>
        <v>4.8450966689960401E-3</v>
      </c>
      <c r="K71" s="2"/>
      <c r="L71" s="7">
        <f t="shared" si="48"/>
        <v>-104</v>
      </c>
      <c r="M71" s="2"/>
      <c r="N71" s="6">
        <f t="shared" si="49"/>
        <v>-1</v>
      </c>
      <c r="O71" s="11"/>
      <c r="P71" s="7"/>
      <c r="Q71" s="2"/>
      <c r="R71" s="6">
        <f t="shared" si="50"/>
        <v>0</v>
      </c>
      <c r="S71" s="2"/>
      <c r="T71" s="7">
        <v>1137</v>
      </c>
      <c r="U71" s="2"/>
      <c r="V71" s="6">
        <f t="shared" si="51"/>
        <v>4.1732427968434573E-3</v>
      </c>
      <c r="W71" s="2"/>
      <c r="X71" s="7">
        <f t="shared" si="52"/>
        <v>-1137</v>
      </c>
      <c r="Y71" s="2"/>
      <c r="Z71" s="6">
        <f t="shared" si="53"/>
        <v>-1</v>
      </c>
    </row>
    <row r="72" spans="1:26" s="27" customFormat="1" outlineLevel="1" collapsed="1" x14ac:dyDescent="0.25">
      <c r="A72" s="26"/>
      <c r="B72" s="13" t="str">
        <f>CONCATENATE("     ","Subscriptions &amp; Dues                              ")</f>
        <v xml:space="preserve">     Subscriptions &amp; Dues                              </v>
      </c>
      <c r="C72" s="13"/>
      <c r="D72" s="1">
        <f>SUM(OSRRefD22_13x_0)</f>
        <v>0</v>
      </c>
      <c r="E72" s="1"/>
      <c r="F72" s="5">
        <f t="shared" ref="F72:F79" si="54">IF(D$12=0,0,D72/D$12)</f>
        <v>0</v>
      </c>
      <c r="G72" s="1"/>
      <c r="H72" s="1">
        <f>SUM(OSRRefH22_13x_0)</f>
        <v>176</v>
      </c>
      <c r="I72" s="1"/>
      <c r="J72" s="5">
        <f t="shared" ref="J72:J79" si="55">IF(H$12=0,0,H72/H$12)</f>
        <v>8.1993943629163762E-3</v>
      </c>
      <c r="K72" s="1"/>
      <c r="L72" s="1">
        <f t="shared" ref="L72:L79" si="56">+D72-H72</f>
        <v>-176</v>
      </c>
      <c r="M72" s="1"/>
      <c r="N72" s="5">
        <f t="shared" ref="N72:N79" si="57">IF(H72=0,0,L72/H72)</f>
        <v>-1</v>
      </c>
      <c r="O72" s="13"/>
      <c r="P72" s="1">
        <f>SUM(OSRRefP22_13x_0)</f>
        <v>0</v>
      </c>
      <c r="Q72" s="1"/>
      <c r="R72" s="5">
        <f t="shared" ref="R72:R79" si="58">IF(P$12=0,0,P72/P$12)</f>
        <v>0</v>
      </c>
      <c r="S72" s="1"/>
      <c r="T72" s="1">
        <f>SUM(OSRRefT22_13x_0)</f>
        <v>1936</v>
      </c>
      <c r="U72" s="1"/>
      <c r="V72" s="5">
        <f t="shared" ref="V72:V79" si="59">IF(T$12=0,0,T72/T$12)</f>
        <v>7.1058909891723249E-3</v>
      </c>
      <c r="W72" s="1"/>
      <c r="X72" s="1">
        <f t="shared" ref="X72:X79" si="60">+P72-T72</f>
        <v>-1936</v>
      </c>
      <c r="Y72" s="1"/>
      <c r="Z72" s="5">
        <f t="shared" ref="Z72:Z79" si="61">IF(T72=0,0,X72/T72)</f>
        <v>-1</v>
      </c>
    </row>
    <row r="73" spans="1:26" s="24" customFormat="1" hidden="1" outlineLevel="2" x14ac:dyDescent="0.25">
      <c r="A73" s="25"/>
      <c r="B73" s="11" t="str">
        <f>CONCATENATE("          ", "6275", " - ", "SUBSCRIPTIONS")</f>
        <v xml:space="preserve">          6275 - SUBSCRIPTIONS</v>
      </c>
      <c r="C73" s="11"/>
      <c r="D73" s="7"/>
      <c r="E73" s="2"/>
      <c r="F73" s="6">
        <f t="shared" si="54"/>
        <v>0</v>
      </c>
      <c r="G73" s="2"/>
      <c r="H73" s="7">
        <v>176</v>
      </c>
      <c r="I73" s="2"/>
      <c r="J73" s="6">
        <f t="shared" si="55"/>
        <v>8.1993943629163762E-3</v>
      </c>
      <c r="K73" s="2"/>
      <c r="L73" s="7">
        <f t="shared" si="56"/>
        <v>-176</v>
      </c>
      <c r="M73" s="2"/>
      <c r="N73" s="6">
        <f t="shared" si="57"/>
        <v>-1</v>
      </c>
      <c r="O73" s="11"/>
      <c r="P73" s="7"/>
      <c r="Q73" s="2"/>
      <c r="R73" s="6">
        <f t="shared" si="58"/>
        <v>0</v>
      </c>
      <c r="S73" s="2"/>
      <c r="T73" s="7">
        <v>1936</v>
      </c>
      <c r="U73" s="2"/>
      <c r="V73" s="6">
        <f t="shared" si="59"/>
        <v>7.1058909891723249E-3</v>
      </c>
      <c r="W73" s="2"/>
      <c r="X73" s="7">
        <f t="shared" si="60"/>
        <v>-1936</v>
      </c>
      <c r="Y73" s="2"/>
      <c r="Z73" s="6">
        <f t="shared" si="61"/>
        <v>-1</v>
      </c>
    </row>
    <row r="74" spans="1:26" s="27" customFormat="1" outlineLevel="1" collapsed="1" x14ac:dyDescent="0.25">
      <c r="A74" s="26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SUM(OSRRefD22_14x_0)</f>
        <v>0</v>
      </c>
      <c r="E74" s="1"/>
      <c r="F74" s="5">
        <f t="shared" si="54"/>
        <v>0</v>
      </c>
      <c r="G74" s="1"/>
      <c r="H74" s="1">
        <f>SUM(OSRRefH22_14x_0)</f>
        <v>535</v>
      </c>
      <c r="I74" s="1"/>
      <c r="J74" s="5">
        <f t="shared" si="55"/>
        <v>2.4924295364546937E-2</v>
      </c>
      <c r="K74" s="1"/>
      <c r="L74" s="1">
        <f t="shared" si="56"/>
        <v>-535</v>
      </c>
      <c r="M74" s="1"/>
      <c r="N74" s="5">
        <f t="shared" si="57"/>
        <v>-1</v>
      </c>
      <c r="O74" s="13"/>
      <c r="P74" s="1">
        <f>SUM(OSRRefP22_14x_0)</f>
        <v>634.24</v>
      </c>
      <c r="Q74" s="1"/>
      <c r="R74" s="5">
        <f t="shared" si="58"/>
        <v>0</v>
      </c>
      <c r="S74" s="1"/>
      <c r="T74" s="1">
        <f>SUM(OSRRefT22_14x_0)</f>
        <v>13903</v>
      </c>
      <c r="U74" s="1"/>
      <c r="V74" s="5">
        <f t="shared" si="59"/>
        <v>5.102954670581758E-2</v>
      </c>
      <c r="W74" s="1"/>
      <c r="X74" s="1">
        <f t="shared" si="60"/>
        <v>-13268.76</v>
      </c>
      <c r="Y74" s="1"/>
      <c r="Z74" s="5">
        <f t="shared" si="61"/>
        <v>-0.95438106883406459</v>
      </c>
    </row>
    <row r="75" spans="1:26" s="24" customFormat="1" hidden="1" outlineLevel="2" x14ac:dyDescent="0.25">
      <c r="A75" s="25"/>
      <c r="B75" s="11" t="str">
        <f>CONCATENATE("          ", "6234", " - ", "EXPENDABLE SUPPLIES &amp; EQUIPMEN")</f>
        <v xml:space="preserve">          6234 - EXPENDABLE SUPPLIES &amp; EQUIPMEN</v>
      </c>
      <c r="C75" s="11"/>
      <c r="D75" s="7"/>
      <c r="E75" s="2"/>
      <c r="F75" s="6">
        <f t="shared" si="54"/>
        <v>0</v>
      </c>
      <c r="G75" s="2"/>
      <c r="H75" s="7"/>
      <c r="I75" s="2"/>
      <c r="J75" s="6">
        <f t="shared" si="55"/>
        <v>0</v>
      </c>
      <c r="K75" s="2"/>
      <c r="L75" s="7">
        <f t="shared" si="56"/>
        <v>0</v>
      </c>
      <c r="M75" s="2"/>
      <c r="N75" s="6">
        <f t="shared" si="57"/>
        <v>0</v>
      </c>
      <c r="O75" s="11"/>
      <c r="P75" s="7">
        <v>316.67</v>
      </c>
      <c r="Q75" s="2"/>
      <c r="R75" s="6">
        <f t="shared" si="58"/>
        <v>0</v>
      </c>
      <c r="S75" s="2"/>
      <c r="T75" s="7">
        <v>28</v>
      </c>
      <c r="U75" s="2"/>
      <c r="V75" s="6">
        <f t="shared" si="59"/>
        <v>1.0277115066984767E-4</v>
      </c>
      <c r="W75" s="2"/>
      <c r="X75" s="7">
        <f t="shared" si="60"/>
        <v>288.67</v>
      </c>
      <c r="Y75" s="2"/>
      <c r="Z75" s="6">
        <f t="shared" si="61"/>
        <v>10.309642857142858</v>
      </c>
    </row>
    <row r="76" spans="1:26" s="24" customFormat="1" hidden="1" outlineLevel="2" x14ac:dyDescent="0.25">
      <c r="A76" s="25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54"/>
        <v>0</v>
      </c>
      <c r="G76" s="2"/>
      <c r="H76" s="7">
        <v>100</v>
      </c>
      <c r="I76" s="2"/>
      <c r="J76" s="6">
        <f t="shared" si="55"/>
        <v>4.6587467971115773E-3</v>
      </c>
      <c r="K76" s="2"/>
      <c r="L76" s="7">
        <f t="shared" si="56"/>
        <v>-100</v>
      </c>
      <c r="M76" s="2"/>
      <c r="N76" s="6">
        <f t="shared" si="57"/>
        <v>-1</v>
      </c>
      <c r="O76" s="11"/>
      <c r="P76" s="7"/>
      <c r="Q76" s="2"/>
      <c r="R76" s="6">
        <f t="shared" si="58"/>
        <v>0</v>
      </c>
      <c r="S76" s="2"/>
      <c r="T76" s="7">
        <v>2800</v>
      </c>
      <c r="U76" s="2"/>
      <c r="V76" s="6">
        <f t="shared" si="59"/>
        <v>1.0277115066984768E-2</v>
      </c>
      <c r="W76" s="2"/>
      <c r="X76" s="7">
        <f t="shared" si="60"/>
        <v>-2800</v>
      </c>
      <c r="Y76" s="2"/>
      <c r="Z76" s="6">
        <f t="shared" si="61"/>
        <v>-1</v>
      </c>
    </row>
    <row r="77" spans="1:26" s="24" customFormat="1" hidden="1" outlineLevel="2" x14ac:dyDescent="0.25">
      <c r="A77" s="25"/>
      <c r="B77" s="11" t="str">
        <f>CONCATENATE("          ", "6237", " - ", "JANITORIAL SUPPLIES")</f>
        <v xml:space="preserve">          6237 - JANITORIAL SUPPLIES</v>
      </c>
      <c r="C77" s="11"/>
      <c r="D77" s="7"/>
      <c r="E77" s="2"/>
      <c r="F77" s="6">
        <f t="shared" si="54"/>
        <v>0</v>
      </c>
      <c r="G77" s="2"/>
      <c r="H77" s="7">
        <v>350</v>
      </c>
      <c r="I77" s="2"/>
      <c r="J77" s="6">
        <f t="shared" si="55"/>
        <v>1.6305613789890521E-2</v>
      </c>
      <c r="K77" s="2"/>
      <c r="L77" s="7">
        <f t="shared" si="56"/>
        <v>-350</v>
      </c>
      <c r="M77" s="2"/>
      <c r="N77" s="6">
        <f t="shared" si="57"/>
        <v>-1</v>
      </c>
      <c r="O77" s="11"/>
      <c r="P77" s="7">
        <v>317.57</v>
      </c>
      <c r="Q77" s="2"/>
      <c r="R77" s="6">
        <f t="shared" si="58"/>
        <v>0</v>
      </c>
      <c r="S77" s="2"/>
      <c r="T77" s="7">
        <v>1774</v>
      </c>
      <c r="U77" s="2"/>
      <c r="V77" s="6">
        <f t="shared" si="59"/>
        <v>6.511286474582492E-3</v>
      </c>
      <c r="W77" s="2"/>
      <c r="X77" s="7">
        <f t="shared" si="60"/>
        <v>-1456.43</v>
      </c>
      <c r="Y77" s="2"/>
      <c r="Z77" s="6">
        <f t="shared" si="61"/>
        <v>-0.82098647125140933</v>
      </c>
    </row>
    <row r="78" spans="1:26" s="24" customFormat="1" hidden="1" outlineLevel="2" x14ac:dyDescent="0.25">
      <c r="A78" s="25"/>
      <c r="B78" s="11" t="str">
        <f>CONCATENATE("          ", "6243", " - ", "PAPER SUPPLIES")</f>
        <v xml:space="preserve">          6243 - PAPER SUPPLIES</v>
      </c>
      <c r="C78" s="11"/>
      <c r="D78" s="7"/>
      <c r="E78" s="2"/>
      <c r="F78" s="6">
        <f t="shared" si="54"/>
        <v>0</v>
      </c>
      <c r="G78" s="2"/>
      <c r="H78" s="7">
        <v>85</v>
      </c>
      <c r="I78" s="2"/>
      <c r="J78" s="6">
        <f t="shared" si="55"/>
        <v>3.9599347775448402E-3</v>
      </c>
      <c r="K78" s="2"/>
      <c r="L78" s="7">
        <f t="shared" si="56"/>
        <v>-85</v>
      </c>
      <c r="M78" s="2"/>
      <c r="N78" s="6">
        <f t="shared" si="57"/>
        <v>-1</v>
      </c>
      <c r="O78" s="11"/>
      <c r="P78" s="7"/>
      <c r="Q78" s="2"/>
      <c r="R78" s="6">
        <f t="shared" si="58"/>
        <v>0</v>
      </c>
      <c r="S78" s="2"/>
      <c r="T78" s="7">
        <v>1507</v>
      </c>
      <c r="U78" s="2"/>
      <c r="V78" s="6">
        <f t="shared" si="59"/>
        <v>5.53129014498073E-3</v>
      </c>
      <c r="W78" s="2"/>
      <c r="X78" s="7">
        <f t="shared" si="60"/>
        <v>-1507</v>
      </c>
      <c r="Y78" s="2"/>
      <c r="Z78" s="6">
        <f t="shared" si="61"/>
        <v>-1</v>
      </c>
    </row>
    <row r="79" spans="1:26" s="24" customFormat="1" hidden="1" outlineLevel="2" x14ac:dyDescent="0.25">
      <c r="A79" s="25"/>
      <c r="B79" s="11" t="str">
        <f>CONCATENATE("          ", "6247", " - ", "STORE SUPPLIES")</f>
        <v xml:space="preserve">          6247 - STORE SUPPLIES</v>
      </c>
      <c r="C79" s="11"/>
      <c r="D79" s="7"/>
      <c r="E79" s="2"/>
      <c r="F79" s="6">
        <f t="shared" si="54"/>
        <v>0</v>
      </c>
      <c r="G79" s="2"/>
      <c r="H79" s="7"/>
      <c r="I79" s="2"/>
      <c r="J79" s="6">
        <f t="shared" si="55"/>
        <v>0</v>
      </c>
      <c r="K79" s="2"/>
      <c r="L79" s="7">
        <f t="shared" si="56"/>
        <v>0</v>
      </c>
      <c r="M79" s="2"/>
      <c r="N79" s="6">
        <f t="shared" si="57"/>
        <v>0</v>
      </c>
      <c r="O79" s="11"/>
      <c r="P79" s="7"/>
      <c r="Q79" s="2"/>
      <c r="R79" s="6">
        <f t="shared" si="58"/>
        <v>0</v>
      </c>
      <c r="S79" s="2"/>
      <c r="T79" s="7">
        <v>7794</v>
      </c>
      <c r="U79" s="2"/>
      <c r="V79" s="6">
        <f t="shared" si="59"/>
        <v>2.8607083868599743E-2</v>
      </c>
      <c r="W79" s="2"/>
      <c r="X79" s="7">
        <f t="shared" si="60"/>
        <v>-7794</v>
      </c>
      <c r="Y79" s="2"/>
      <c r="Z79" s="6">
        <f t="shared" si="61"/>
        <v>-1</v>
      </c>
    </row>
    <row r="80" spans="1:26" s="27" customFormat="1" outlineLevel="1" collapsed="1" x14ac:dyDescent="0.25">
      <c r="A80" s="26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SUM(OSRRefD22_15x_0)</f>
        <v>-128</v>
      </c>
      <c r="E80" s="1"/>
      <c r="F80" s="5">
        <f t="shared" ref="F80:F82" si="62">IF(D$12=0,0,D80/D$12)</f>
        <v>0</v>
      </c>
      <c r="G80" s="1"/>
      <c r="H80" s="1">
        <f>SUM(OSRRefH22_15x_0)</f>
        <v>40</v>
      </c>
      <c r="I80" s="1"/>
      <c r="J80" s="5">
        <f t="shared" ref="J80:J82" si="63">IF(H$12=0,0,H80/H$12)</f>
        <v>1.8634987188446308E-3</v>
      </c>
      <c r="K80" s="1"/>
      <c r="L80" s="1">
        <f t="shared" ref="L80:L82" si="64">+D80-H80</f>
        <v>-168</v>
      </c>
      <c r="M80" s="1"/>
      <c r="N80" s="5">
        <f t="shared" ref="N80:N82" si="65">IF(H80=0,0,L80/H80)</f>
        <v>-4.2</v>
      </c>
      <c r="O80" s="13"/>
      <c r="P80" s="1">
        <f>SUM(OSRRefP22_15x_0)</f>
        <v>997.87</v>
      </c>
      <c r="Q80" s="1"/>
      <c r="R80" s="5">
        <f t="shared" ref="R80:R82" si="66">IF(P$12=0,0,P80/P$12)</f>
        <v>0</v>
      </c>
      <c r="S80" s="1"/>
      <c r="T80" s="1">
        <f>SUM(OSRRefT22_15x_0)</f>
        <v>1035</v>
      </c>
      <c r="U80" s="1"/>
      <c r="V80" s="5">
        <f t="shared" ref="V80:V82" si="67">IF(T$12=0,0,T80/T$12)</f>
        <v>3.7988621765461554E-3</v>
      </c>
      <c r="W80" s="1"/>
      <c r="X80" s="1">
        <f t="shared" ref="X80:X82" si="68">+P80-T80</f>
        <v>-37.129999999999995</v>
      </c>
      <c r="Y80" s="1"/>
      <c r="Z80" s="5">
        <f t="shared" ref="Z80:Z82" si="69">IF(T80=0,0,X80/T80)</f>
        <v>-3.5874396135265697E-2</v>
      </c>
    </row>
    <row r="81" spans="1:26" s="24" customFormat="1" hidden="1" outlineLevel="2" x14ac:dyDescent="0.25">
      <c r="A81" s="25"/>
      <c r="B81" s="11" t="str">
        <f>CONCATENATE("          ", "6303", " - ", "DATA PHONE LINES")</f>
        <v xml:space="preserve">          6303 - DATA PHONE LINES</v>
      </c>
      <c r="C81" s="11"/>
      <c r="D81" s="7"/>
      <c r="E81" s="2"/>
      <c r="F81" s="6">
        <f t="shared" si="62"/>
        <v>0</v>
      </c>
      <c r="G81" s="2"/>
      <c r="H81" s="7">
        <v>40</v>
      </c>
      <c r="I81" s="2"/>
      <c r="J81" s="6">
        <f t="shared" si="63"/>
        <v>1.8634987188446308E-3</v>
      </c>
      <c r="K81" s="2"/>
      <c r="L81" s="7">
        <f t="shared" si="64"/>
        <v>-40</v>
      </c>
      <c r="M81" s="2"/>
      <c r="N81" s="6">
        <f t="shared" si="65"/>
        <v>-1</v>
      </c>
      <c r="O81" s="11"/>
      <c r="P81" s="7"/>
      <c r="Q81" s="2"/>
      <c r="R81" s="6">
        <f t="shared" si="66"/>
        <v>0</v>
      </c>
      <c r="S81" s="2"/>
      <c r="T81" s="7">
        <v>435</v>
      </c>
      <c r="U81" s="2"/>
      <c r="V81" s="6">
        <f t="shared" si="67"/>
        <v>1.5966232336208478E-3</v>
      </c>
      <c r="W81" s="2"/>
      <c r="X81" s="7">
        <f t="shared" si="68"/>
        <v>-435</v>
      </c>
      <c r="Y81" s="2"/>
      <c r="Z81" s="6">
        <f t="shared" si="69"/>
        <v>-1</v>
      </c>
    </row>
    <row r="82" spans="1:26" s="24" customFormat="1" hidden="1" outlineLevel="2" x14ac:dyDescent="0.25">
      <c r="A82" s="25"/>
      <c r="B82" s="11" t="str">
        <f>CONCATENATE("          ", "6309", " - ", "TELEPHONE")</f>
        <v xml:space="preserve">          6309 - TELEPHONE</v>
      </c>
      <c r="C82" s="11"/>
      <c r="D82" s="7">
        <v>-128</v>
      </c>
      <c r="E82" s="2"/>
      <c r="F82" s="6">
        <f t="shared" si="62"/>
        <v>0</v>
      </c>
      <c r="G82" s="2"/>
      <c r="H82" s="7"/>
      <c r="I82" s="2"/>
      <c r="J82" s="6">
        <f t="shared" si="63"/>
        <v>0</v>
      </c>
      <c r="K82" s="2"/>
      <c r="L82" s="7">
        <f t="shared" si="64"/>
        <v>-128</v>
      </c>
      <c r="M82" s="2"/>
      <c r="N82" s="6">
        <f t="shared" si="65"/>
        <v>0</v>
      </c>
      <c r="O82" s="11"/>
      <c r="P82" s="7">
        <v>997.87</v>
      </c>
      <c r="Q82" s="2"/>
      <c r="R82" s="6">
        <f t="shared" si="66"/>
        <v>0</v>
      </c>
      <c r="S82" s="2"/>
      <c r="T82" s="7">
        <v>600</v>
      </c>
      <c r="U82" s="2"/>
      <c r="V82" s="6">
        <f t="shared" si="67"/>
        <v>2.2022389429253073E-3</v>
      </c>
      <c r="W82" s="2"/>
      <c r="X82" s="7">
        <f t="shared" si="68"/>
        <v>397.87</v>
      </c>
      <c r="Y82" s="2"/>
      <c r="Z82" s="6">
        <f t="shared" si="69"/>
        <v>0.66311666666666669</v>
      </c>
    </row>
    <row r="83" spans="1:26" s="27" customFormat="1" outlineLevel="1" collapsed="1" x14ac:dyDescent="0.25">
      <c r="A83" s="26"/>
      <c r="B83" s="13" t="str">
        <f>CONCATENATE("     ","Travel                                            ")</f>
        <v xml:space="preserve">     Travel                                            </v>
      </c>
      <c r="C83" s="13"/>
      <c r="D83" s="1">
        <f>SUM(OSRRefD22_16x_0)</f>
        <v>0</v>
      </c>
      <c r="E83" s="1"/>
      <c r="F83" s="5">
        <f t="shared" ref="F83:F86" si="70">IF(D$12=0,0,D83/D$12)</f>
        <v>0</v>
      </c>
      <c r="G83" s="1"/>
      <c r="H83" s="1">
        <f>SUM(OSRRefH22_16x_0)</f>
        <v>0</v>
      </c>
      <c r="I83" s="1"/>
      <c r="J83" s="5">
        <f t="shared" ref="J83:J86" si="71">IF(H$12=0,0,H83/H$12)</f>
        <v>0</v>
      </c>
      <c r="K83" s="1"/>
      <c r="L83" s="1">
        <f t="shared" ref="L83:L86" si="72">+D83-H83</f>
        <v>0</v>
      </c>
      <c r="M83" s="1"/>
      <c r="N83" s="5">
        <f t="shared" ref="N83:N86" si="73">IF(H83=0,0,L83/H83)</f>
        <v>0</v>
      </c>
      <c r="O83" s="13"/>
      <c r="P83" s="1">
        <f>SUM(OSRRefP22_16x_0)</f>
        <v>0</v>
      </c>
      <c r="Q83" s="1"/>
      <c r="R83" s="5">
        <f t="shared" ref="R83:R86" si="74">IF(P$12=0,0,P83/P$12)</f>
        <v>0</v>
      </c>
      <c r="S83" s="1"/>
      <c r="T83" s="1">
        <f>SUM(OSRRefT22_16x_0)</f>
        <v>1500</v>
      </c>
      <c r="U83" s="1"/>
      <c r="V83" s="5">
        <f t="shared" ref="V83:V86" si="75">IF(T$12=0,0,T83/T$12)</f>
        <v>5.5055973573132685E-3</v>
      </c>
      <c r="W83" s="1"/>
      <c r="X83" s="1">
        <f t="shared" ref="X83:X86" si="76">+P83-T83</f>
        <v>-1500</v>
      </c>
      <c r="Y83" s="1"/>
      <c r="Z83" s="5">
        <f t="shared" ref="Z83:Z86" si="77">IF(T83=0,0,X83/T83)</f>
        <v>-1</v>
      </c>
    </row>
    <row r="84" spans="1:26" s="24" customFormat="1" hidden="1" outlineLevel="2" x14ac:dyDescent="0.25">
      <c r="A84" s="25"/>
      <c r="B84" s="11" t="str">
        <f>CONCATENATE("          ", "6292", " - ", "TRAVEL/CONFERENCE")</f>
        <v xml:space="preserve">          6292 - TRAVEL/CONFERENCE</v>
      </c>
      <c r="C84" s="11"/>
      <c r="D84" s="7"/>
      <c r="E84" s="2"/>
      <c r="F84" s="6">
        <f t="shared" si="70"/>
        <v>0</v>
      </c>
      <c r="G84" s="2"/>
      <c r="H84" s="7"/>
      <c r="I84" s="2"/>
      <c r="J84" s="6">
        <f t="shared" si="71"/>
        <v>0</v>
      </c>
      <c r="K84" s="2"/>
      <c r="L84" s="7">
        <f t="shared" si="72"/>
        <v>0</v>
      </c>
      <c r="M84" s="2"/>
      <c r="N84" s="6">
        <f t="shared" si="73"/>
        <v>0</v>
      </c>
      <c r="O84" s="11"/>
      <c r="P84" s="7"/>
      <c r="Q84" s="2"/>
      <c r="R84" s="6">
        <f t="shared" si="74"/>
        <v>0</v>
      </c>
      <c r="S84" s="2"/>
      <c r="T84" s="7">
        <v>1500</v>
      </c>
      <c r="U84" s="2"/>
      <c r="V84" s="6">
        <f t="shared" si="75"/>
        <v>5.5055973573132685E-3</v>
      </c>
      <c r="W84" s="2"/>
      <c r="X84" s="7">
        <f t="shared" si="76"/>
        <v>-1500</v>
      </c>
      <c r="Y84" s="2"/>
      <c r="Z84" s="6">
        <f t="shared" si="77"/>
        <v>-1</v>
      </c>
    </row>
    <row r="85" spans="1:26" s="27" customFormat="1" outlineLevel="1" collapsed="1" x14ac:dyDescent="0.25">
      <c r="A85" s="26"/>
      <c r="B85" s="13" t="str">
        <f>CONCATENATE("     ","Utilities                                         ")</f>
        <v xml:space="preserve">     Utilities                                         </v>
      </c>
      <c r="C85" s="13"/>
      <c r="D85" s="1">
        <f>SUM(OSRRefD22_17x_0)</f>
        <v>878</v>
      </c>
      <c r="E85" s="1"/>
      <c r="F85" s="5">
        <f t="shared" si="70"/>
        <v>0</v>
      </c>
      <c r="G85" s="1"/>
      <c r="H85" s="1">
        <f>SUM(OSRRefH22_17x_0)</f>
        <v>800</v>
      </c>
      <c r="I85" s="1"/>
      <c r="J85" s="5">
        <f t="shared" si="71"/>
        <v>3.7269974376892619E-2</v>
      </c>
      <c r="K85" s="1"/>
      <c r="L85" s="1">
        <f t="shared" si="72"/>
        <v>78</v>
      </c>
      <c r="M85" s="1"/>
      <c r="N85" s="5">
        <f t="shared" si="73"/>
        <v>9.7500000000000003E-2</v>
      </c>
      <c r="O85" s="13"/>
      <c r="P85" s="1">
        <f>SUM(OSRRefP22_17x_0)</f>
        <v>5207</v>
      </c>
      <c r="Q85" s="1"/>
      <c r="R85" s="5">
        <f t="shared" si="74"/>
        <v>0</v>
      </c>
      <c r="S85" s="1"/>
      <c r="T85" s="1">
        <f>SUM(OSRRefT22_17x_0)</f>
        <v>9094</v>
      </c>
      <c r="U85" s="1"/>
      <c r="V85" s="5">
        <f t="shared" si="75"/>
        <v>3.3378601578271244E-2</v>
      </c>
      <c r="W85" s="1"/>
      <c r="X85" s="1">
        <f t="shared" si="76"/>
        <v>-3887</v>
      </c>
      <c r="Y85" s="1"/>
      <c r="Z85" s="5">
        <f t="shared" si="77"/>
        <v>-0.42742467561029251</v>
      </c>
    </row>
    <row r="86" spans="1:26" s="24" customFormat="1" hidden="1" outlineLevel="2" x14ac:dyDescent="0.25">
      <c r="A86" s="25"/>
      <c r="B86" s="11" t="str">
        <f>CONCATENATE("          ", "6274", " - ", "UTILITIES")</f>
        <v xml:space="preserve">          6274 - UTILITIES</v>
      </c>
      <c r="C86" s="11"/>
      <c r="D86" s="7">
        <v>878</v>
      </c>
      <c r="E86" s="2"/>
      <c r="F86" s="6">
        <f t="shared" si="70"/>
        <v>0</v>
      </c>
      <c r="G86" s="2"/>
      <c r="H86" s="7">
        <v>800</v>
      </c>
      <c r="I86" s="2"/>
      <c r="J86" s="6">
        <f t="shared" si="71"/>
        <v>3.7269974376892619E-2</v>
      </c>
      <c r="K86" s="2"/>
      <c r="L86" s="7">
        <f t="shared" si="72"/>
        <v>78</v>
      </c>
      <c r="M86" s="2"/>
      <c r="N86" s="6">
        <f t="shared" si="73"/>
        <v>9.7500000000000003E-2</v>
      </c>
      <c r="O86" s="11"/>
      <c r="P86" s="7">
        <v>5207</v>
      </c>
      <c r="Q86" s="2"/>
      <c r="R86" s="6">
        <f t="shared" si="74"/>
        <v>0</v>
      </c>
      <c r="S86" s="2"/>
      <c r="T86" s="7">
        <v>9094</v>
      </c>
      <c r="U86" s="2"/>
      <c r="V86" s="6">
        <f t="shared" si="75"/>
        <v>3.3378601578271244E-2</v>
      </c>
      <c r="W86" s="2"/>
      <c r="X86" s="7">
        <f t="shared" si="76"/>
        <v>-3887</v>
      </c>
      <c r="Y86" s="2"/>
      <c r="Z86" s="6">
        <f t="shared" si="77"/>
        <v>-0.42742467561029251</v>
      </c>
    </row>
    <row r="87" spans="1:26" s="56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9" t="s">
        <v>293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8" t="s">
        <v>277</v>
      </c>
      <c r="C90" s="28"/>
      <c r="D90" s="20">
        <f>+D21-D23+D88</f>
        <v>-11171.279999999999</v>
      </c>
      <c r="E90" s="14"/>
      <c r="F90" s="21">
        <f>IF(D$12=0,0,D90/D$12)</f>
        <v>0</v>
      </c>
      <c r="G90" s="14"/>
      <c r="H90" s="20">
        <f>+H21-H23+H88</f>
        <v>-13292.748663999999</v>
      </c>
      <c r="I90" s="14"/>
      <c r="J90" s="21">
        <f>IF(H$12=0,0,H90/H$12)</f>
        <v>-0.61927550263219189</v>
      </c>
      <c r="K90" s="15"/>
      <c r="L90" s="20">
        <f>+D90-H90</f>
        <v>2121.468664</v>
      </c>
      <c r="M90" s="15"/>
      <c r="N90" s="21">
        <f>IF(H90=0,0,L90/H90)</f>
        <v>-0.15959593592147378</v>
      </c>
      <c r="O90" s="29"/>
      <c r="P90" s="20">
        <f>+P21-P23+P88</f>
        <v>-133075.81</v>
      </c>
      <c r="Q90" s="14"/>
      <c r="R90" s="21">
        <f>IF(P$12=0,0,P90/P$12)</f>
        <v>0</v>
      </c>
      <c r="S90" s="14"/>
      <c r="T90" s="20">
        <f>+T21-T23+T88</f>
        <v>-153363.47963199997</v>
      </c>
      <c r="U90" s="14"/>
      <c r="V90" s="21">
        <f>IF(T$12=0,0,T90/T$12)</f>
        <v>-0.56290504544687092</v>
      </c>
      <c r="W90" s="15"/>
      <c r="X90" s="20">
        <f>+P90-T90</f>
        <v>20287.669631999976</v>
      </c>
      <c r="Y90" s="15"/>
      <c r="Z90" s="21">
        <f>IF(T90=0,0,X90/T90)</f>
        <v>-0.13228488086395024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128</v>
      </c>
      <c r="C92" s="10"/>
      <c r="D92" s="4"/>
      <c r="E92" s="4"/>
      <c r="F92" s="12">
        <f>IF(D$12=0,0,D92/D$12)</f>
        <v>0</v>
      </c>
      <c r="G92" s="4"/>
      <c r="H92" s="4">
        <v>4833</v>
      </c>
      <c r="I92" s="4"/>
      <c r="J92" s="12">
        <f>IF(H$12=0,0,H92/H$12)</f>
        <v>0.22515723270440252</v>
      </c>
      <c r="K92" s="4"/>
      <c r="L92" s="4">
        <f>+D92-H92</f>
        <v>-4833</v>
      </c>
      <c r="M92" s="4"/>
      <c r="N92" s="12">
        <f>IF(H92=0,0,L92/H92)</f>
        <v>-1</v>
      </c>
      <c r="O92" s="10"/>
      <c r="P92" s="4"/>
      <c r="Q92" s="4"/>
      <c r="R92" s="12">
        <f>IF(P$12=0,0,P92/P$12)</f>
        <v>0</v>
      </c>
      <c r="S92" s="4"/>
      <c r="T92" s="4">
        <v>50297</v>
      </c>
      <c r="U92" s="4"/>
      <c r="V92" s="12">
        <f>IF(T$12=0,0,T92/T$12)</f>
        <v>0.1846100201871903</v>
      </c>
      <c r="W92" s="4"/>
      <c r="X92" s="4">
        <f>+P92-T92</f>
        <v>-50297</v>
      </c>
      <c r="Y92" s="4"/>
      <c r="Z92" s="12">
        <f>IF(T92=0,0,X92/T92)</f>
        <v>-1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126</v>
      </c>
      <c r="C94" s="28"/>
      <c r="D94" s="35">
        <f>+D90-D92</f>
        <v>-11171.279999999999</v>
      </c>
      <c r="E94" s="14"/>
      <c r="F94" s="34">
        <f>IF(D$12=0,0,D94/D$12)</f>
        <v>0</v>
      </c>
      <c r="G94" s="14"/>
      <c r="H94" s="35">
        <f>+H90-H92</f>
        <v>-18125.748663999999</v>
      </c>
      <c r="I94" s="14"/>
      <c r="J94" s="34">
        <f>IF(H$12=0,0,H94/H$12)</f>
        <v>-0.84443273533659435</v>
      </c>
      <c r="K94" s="15"/>
      <c r="L94" s="35">
        <f>D94-H94</f>
        <v>6954.468664</v>
      </c>
      <c r="M94" s="15"/>
      <c r="N94" s="34">
        <f>IF(H94=0,0,L94/H94)</f>
        <v>-0.38367897475111984</v>
      </c>
      <c r="O94" s="29"/>
      <c r="P94" s="35">
        <f>+P90-P92</f>
        <v>-133075.81</v>
      </c>
      <c r="Q94" s="14"/>
      <c r="R94" s="34">
        <f>IF(P$12=0,0,P94/P$12)</f>
        <v>0</v>
      </c>
      <c r="S94" s="14"/>
      <c r="T94" s="35">
        <f>+T90-T92</f>
        <v>-203660.47963199997</v>
      </c>
      <c r="U94" s="14"/>
      <c r="V94" s="34">
        <f>IF(T$12=0,0,T94/T$12)</f>
        <v>-0.74751506563406123</v>
      </c>
      <c r="W94" s="15"/>
      <c r="X94" s="35">
        <f>P94-T94</f>
        <v>70584.669631999976</v>
      </c>
      <c r="Y94" s="15"/>
      <c r="Z94" s="34">
        <f>IF(T94=0,0,X94/T94)</f>
        <v>-0.34658010115434013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294</v>
      </c>
      <c r="C97" s="28"/>
      <c r="D97" s="33">
        <f>SUM(D94:D96)</f>
        <v>-11171.279999999999</v>
      </c>
      <c r="E97" s="14"/>
      <c r="F97" s="32">
        <f>IF(D$12=0,0,D97/D$12)</f>
        <v>0</v>
      </c>
      <c r="G97" s="14"/>
      <c r="H97" s="33">
        <f>SUM(H94:H96)</f>
        <v>-18125.748663999999</v>
      </c>
      <c r="I97" s="14"/>
      <c r="J97" s="32">
        <f>IF(H$12=0,0,H97/H$12)</f>
        <v>-0.84443273533659435</v>
      </c>
      <c r="K97" s="15"/>
      <c r="L97" s="33">
        <f>+D97-H97</f>
        <v>6954.468664</v>
      </c>
      <c r="M97" s="15"/>
      <c r="N97" s="32">
        <f>IF(H97=0,0,L97/H97)</f>
        <v>-0.38367897475111984</v>
      </c>
      <c r="O97" s="29"/>
      <c r="P97" s="33">
        <f>SUM(P94:P96)</f>
        <v>-133075.81</v>
      </c>
      <c r="Q97" s="14"/>
      <c r="R97" s="32">
        <f>IF(P$12=0,0,P97/P$12)</f>
        <v>0</v>
      </c>
      <c r="S97" s="14"/>
      <c r="T97" s="33">
        <f>SUM(T94:T96)</f>
        <v>-203660.47963199997</v>
      </c>
      <c r="U97" s="14"/>
      <c r="V97" s="32">
        <f>IF(T$12=0,0,T97/T$12)</f>
        <v>-0.74751506563406123</v>
      </c>
      <c r="W97" s="15"/>
      <c r="X97" s="33">
        <f>+P97-T97</f>
        <v>70584.669631999976</v>
      </c>
      <c r="Y97" s="15"/>
      <c r="Z97" s="32">
        <f>IF(T97=0,0,X97/T97)</f>
        <v>-0.34658010115434013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6" x14ac:dyDescent="0.25">
      <c r="A99" s="9"/>
      <c r="B99" s="60">
        <v>44356.891834571761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55" t="s">
        <v>56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63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218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","327", " - ", "C-Store Vending Machine(s)")</f>
        <v>Department 327 - C-Store Vending Machine(s)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4</v>
      </c>
      <c r="E12" s="4"/>
      <c r="F12" s="12"/>
      <c r="G12" s="4"/>
      <c r="H12" s="4">
        <f>SUM(OSRRefH13x_0)</f>
        <v>731</v>
      </c>
      <c r="I12" s="4"/>
      <c r="J12" s="12"/>
      <c r="K12" s="4"/>
      <c r="L12" s="4">
        <f t="shared" ref="L12:L14" si="0">+D12-H12</f>
        <v>-727</v>
      </c>
      <c r="M12" s="4"/>
      <c r="N12" s="12">
        <f t="shared" ref="N12:N14" si="1">IF(H12=0,0,L12/H12)</f>
        <v>-0.99452804377564974</v>
      </c>
      <c r="O12" s="10"/>
      <c r="P12" s="4">
        <f>SUM(OSRRefP13x_0)</f>
        <v>400.45</v>
      </c>
      <c r="Q12" s="4"/>
      <c r="R12" s="12"/>
      <c r="S12" s="4"/>
      <c r="T12" s="4">
        <f>SUM(OSRRefT13x_0)</f>
        <v>4988</v>
      </c>
      <c r="U12" s="4"/>
      <c r="V12" s="12"/>
      <c r="W12" s="4"/>
      <c r="X12" s="4">
        <f t="shared" ref="X12:X14" si="2">+P12-T12</f>
        <v>-4587.55</v>
      </c>
      <c r="Y12" s="4"/>
      <c r="Z12" s="12">
        <f t="shared" ref="Z12:Z14" si="3">IF(T12=0,0,X12/T12)</f>
        <v>-0.91971732157177233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731</v>
      </c>
      <c r="I13" s="2"/>
      <c r="J13" s="19"/>
      <c r="K13" s="2"/>
      <c r="L13" s="2">
        <f t="shared" si="0"/>
        <v>-731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4988</v>
      </c>
      <c r="U13" s="2"/>
      <c r="V13" s="19"/>
      <c r="W13" s="2"/>
      <c r="X13" s="2">
        <f t="shared" si="2"/>
        <v>-4988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--4</f>
        <v>4</v>
      </c>
      <c r="E14" s="2"/>
      <c r="F14" s="19"/>
      <c r="G14" s="2"/>
      <c r="H14" s="2"/>
      <c r="I14" s="2"/>
      <c r="J14" s="19"/>
      <c r="K14" s="2"/>
      <c r="L14" s="2">
        <f t="shared" si="0"/>
        <v>4</v>
      </c>
      <c r="M14" s="2"/>
      <c r="N14" s="19">
        <f t="shared" si="1"/>
        <v>0</v>
      </c>
      <c r="O14" s="11"/>
      <c r="P14" s="2">
        <f>--400.45</f>
        <v>400.45</v>
      </c>
      <c r="Q14" s="2"/>
      <c r="R14" s="19"/>
      <c r="S14" s="2"/>
      <c r="T14" s="2"/>
      <c r="U14" s="2"/>
      <c r="V14" s="19"/>
      <c r="W14" s="2"/>
      <c r="X14" s="2">
        <f t="shared" si="2"/>
        <v>400.45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-29</v>
      </c>
      <c r="E16" s="4"/>
      <c r="F16" s="12">
        <f t="shared" ref="F16:F19" si="4">IF(D$12=0,0,D16/D$12)</f>
        <v>-7.25</v>
      </c>
      <c r="G16" s="4"/>
      <c r="H16" s="4">
        <f>SUM(OSRRefH16x_0)</f>
        <v>366</v>
      </c>
      <c r="I16" s="4"/>
      <c r="J16" s="12">
        <f t="shared" ref="J16:J19" si="5">IF(H$12=0,0,H16/H$12)</f>
        <v>0.5006839945280438</v>
      </c>
      <c r="K16" s="4"/>
      <c r="L16" s="4">
        <f t="shared" ref="L16:L19" si="6">+D16-H16</f>
        <v>-395</v>
      </c>
      <c r="M16" s="4"/>
      <c r="N16" s="12">
        <f t="shared" ref="N16:N19" si="7">IF(H16=0,0,L16/H16)</f>
        <v>-1.0792349726775956</v>
      </c>
      <c r="O16" s="10"/>
      <c r="P16" s="4">
        <f>SUM(OSRRefP16x_0)</f>
        <v>-347.01</v>
      </c>
      <c r="Q16" s="4"/>
      <c r="R16" s="12">
        <f t="shared" ref="R16:R19" si="8">IF(P$12=0,0,P16/P$12)</f>
        <v>-0.86655013110250967</v>
      </c>
      <c r="S16" s="4"/>
      <c r="T16" s="4">
        <f>SUM(OSRRefT16x_0)</f>
        <v>2496</v>
      </c>
      <c r="U16" s="4"/>
      <c r="V16" s="12">
        <f t="shared" ref="V16:V19" si="9">IF(T$12=0,0,T16/T$12)</f>
        <v>0.5004009623095429</v>
      </c>
      <c r="W16" s="4"/>
      <c r="X16" s="4">
        <f t="shared" ref="X16:X19" si="10">+P16-T16</f>
        <v>-2843.01</v>
      </c>
      <c r="Y16" s="4"/>
      <c r="Z16" s="12">
        <f t="shared" ref="Z16:Z19" si="11">IF(T16=0,0,X16/T16)</f>
        <v>-1.1390264423076923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366</v>
      </c>
      <c r="I17" s="2"/>
      <c r="J17" s="19">
        <f t="shared" si="5"/>
        <v>0.5006839945280438</v>
      </c>
      <c r="K17" s="2"/>
      <c r="L17" s="2">
        <f t="shared" si="6"/>
        <v>-366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2496</v>
      </c>
      <c r="U17" s="2"/>
      <c r="V17" s="19">
        <f t="shared" si="9"/>
        <v>0.5004009623095429</v>
      </c>
      <c r="W17" s="2"/>
      <c r="X17" s="2">
        <f t="shared" si="10"/>
        <v>-2496</v>
      </c>
      <c r="Y17" s="2"/>
      <c r="Z17" s="19">
        <f t="shared" si="11"/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-29</v>
      </c>
      <c r="E18" s="2"/>
      <c r="F18" s="19">
        <f t="shared" si="4"/>
        <v>-7.25</v>
      </c>
      <c r="G18" s="2"/>
      <c r="H18" s="2"/>
      <c r="I18" s="2"/>
      <c r="J18" s="19">
        <f t="shared" si="5"/>
        <v>0</v>
      </c>
      <c r="K18" s="2"/>
      <c r="L18" s="2">
        <f t="shared" si="6"/>
        <v>-29</v>
      </c>
      <c r="M18" s="2"/>
      <c r="N18" s="19">
        <f t="shared" si="7"/>
        <v>0</v>
      </c>
      <c r="O18" s="11"/>
      <c r="P18" s="2">
        <v>-29</v>
      </c>
      <c r="Q18" s="2"/>
      <c r="R18" s="19">
        <f t="shared" si="8"/>
        <v>-7.241852915470097E-2</v>
      </c>
      <c r="S18" s="2"/>
      <c r="T18" s="2"/>
      <c r="U18" s="2"/>
      <c r="V18" s="19">
        <f t="shared" si="9"/>
        <v>0</v>
      </c>
      <c r="W18" s="2"/>
      <c r="X18" s="2">
        <f t="shared" si="10"/>
        <v>-29</v>
      </c>
      <c r="Y18" s="2"/>
      <c r="Z18" s="19">
        <f t="shared" si="11"/>
        <v>0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4"/>
        <v>0</v>
      </c>
      <c r="G19" s="2"/>
      <c r="H19" s="2"/>
      <c r="I19" s="2"/>
      <c r="J19" s="19">
        <f t="shared" si="5"/>
        <v>0</v>
      </c>
      <c r="K19" s="2"/>
      <c r="L19" s="2">
        <f t="shared" si="6"/>
        <v>0</v>
      </c>
      <c r="M19" s="2"/>
      <c r="N19" s="19">
        <f t="shared" si="7"/>
        <v>0</v>
      </c>
      <c r="O19" s="11"/>
      <c r="P19" s="2">
        <v>-318.01</v>
      </c>
      <c r="Q19" s="2"/>
      <c r="R19" s="19">
        <f t="shared" si="8"/>
        <v>-0.79413160194780874</v>
      </c>
      <c r="S19" s="2"/>
      <c r="T19" s="2"/>
      <c r="U19" s="2"/>
      <c r="V19" s="19">
        <f t="shared" si="9"/>
        <v>0</v>
      </c>
      <c r="W19" s="2"/>
      <c r="X19" s="2">
        <f t="shared" si="10"/>
        <v>-318.01</v>
      </c>
      <c r="Y19" s="2"/>
      <c r="Z19" s="19">
        <f t="shared" si="11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108</v>
      </c>
      <c r="C21" s="28"/>
      <c r="D21" s="20">
        <f>D12-D16</f>
        <v>33</v>
      </c>
      <c r="E21" s="14"/>
      <c r="F21" s="21">
        <f>IF(D$12=0,0,D21/D$12)</f>
        <v>8.25</v>
      </c>
      <c r="G21" s="14"/>
      <c r="H21" s="20">
        <f>H12-H16</f>
        <v>365</v>
      </c>
      <c r="I21" s="14"/>
      <c r="J21" s="21">
        <f>IF(H$12=0,0,H21/H$12)</f>
        <v>0.4993160054719562</v>
      </c>
      <c r="K21" s="15"/>
      <c r="L21" s="20">
        <f>+D21-H21</f>
        <v>-332</v>
      </c>
      <c r="M21" s="15"/>
      <c r="N21" s="21">
        <f>IF(H21=0,0,L21/H21)</f>
        <v>-0.90958904109589045</v>
      </c>
      <c r="O21" s="29"/>
      <c r="P21" s="20">
        <f>P12-P16</f>
        <v>747.46</v>
      </c>
      <c r="Q21" s="14"/>
      <c r="R21" s="21">
        <f>IF(P$12=0,0,P21/P$12)</f>
        <v>1.8665501311025099</v>
      </c>
      <c r="S21" s="14"/>
      <c r="T21" s="20">
        <f>T12-T16</f>
        <v>2492</v>
      </c>
      <c r="U21" s="14"/>
      <c r="V21" s="21">
        <f>IF(T$12=0,0,T21/T$12)</f>
        <v>0.4995990376904571</v>
      </c>
      <c r="W21" s="15"/>
      <c r="X21" s="20">
        <f>+P21-T21</f>
        <v>-1744.54</v>
      </c>
      <c r="Y21" s="15"/>
      <c r="Z21" s="21">
        <f>IF(T21=0,0,X21/T21)</f>
        <v>-0.7000561797752809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295</v>
      </c>
      <c r="C23" s="10"/>
      <c r="D23" s="22">
        <f>SUM(OSRRefD22x_0)</f>
        <v>43.04</v>
      </c>
      <c r="E23" s="22"/>
      <c r="F23" s="31">
        <f t="shared" ref="F23:F27" si="12">IF(D$12=0,0,D23/D$12)</f>
        <v>10.76</v>
      </c>
      <c r="G23" s="22"/>
      <c r="H23" s="22">
        <f>SUM(OSRRefH22x_0)</f>
        <v>63</v>
      </c>
      <c r="I23" s="22"/>
      <c r="J23" s="31">
        <f t="shared" ref="J23:J27" si="13">IF(H$12=0,0,H23/H$12)</f>
        <v>8.6183310533515731E-2</v>
      </c>
      <c r="K23" s="4"/>
      <c r="L23" s="22">
        <f t="shared" ref="L23:L27" si="14">+D23-H23</f>
        <v>-19.96</v>
      </c>
      <c r="M23" s="4"/>
      <c r="N23" s="31">
        <f t="shared" ref="N23:N27" si="15">IF(H23=0,0,L23/H23)</f>
        <v>-0.31682539682539684</v>
      </c>
      <c r="O23" s="10"/>
      <c r="P23" s="22">
        <f>SUM(OSRRefP22x_0)</f>
        <v>674.63</v>
      </c>
      <c r="Q23" s="22"/>
      <c r="R23" s="31">
        <f t="shared" ref="R23:R27" si="16">IF(P$12=0,0,P23/P$12)</f>
        <v>1.68467973529779</v>
      </c>
      <c r="S23" s="22"/>
      <c r="T23" s="22">
        <f>SUM(OSRRefT22x_0)</f>
        <v>434</v>
      </c>
      <c r="U23" s="22"/>
      <c r="V23" s="31">
        <f t="shared" ref="V23:V27" si="17">IF(T$12=0,0,T23/T$12)</f>
        <v>8.700882117080995E-2</v>
      </c>
      <c r="W23" s="4"/>
      <c r="X23" s="22">
        <f t="shared" ref="X23:X27" si="18">+P23-T23</f>
        <v>240.63</v>
      </c>
      <c r="Y23" s="4"/>
      <c r="Z23" s="31">
        <f t="shared" ref="Z23:Z27" si="19">IF(T23=0,0,X23/T23)</f>
        <v>0.55444700460829488</v>
      </c>
    </row>
    <row r="24" spans="1:26" s="27" customFormat="1" outlineLevel="1" collapsed="1" x14ac:dyDescent="0.25">
      <c r="A24" s="26"/>
      <c r="B24" s="13" t="str">
        <f>CONCATENATE("     ","Bank/card Fees                                    ")</f>
        <v xml:space="preserve">     Bank/card Fees                                    </v>
      </c>
      <c r="C24" s="13"/>
      <c r="D24" s="1">
        <f>SUM(OSRRefD22_0x_0)</f>
        <v>43.04</v>
      </c>
      <c r="E24" s="1"/>
      <c r="F24" s="5">
        <f t="shared" si="12"/>
        <v>10.76</v>
      </c>
      <c r="G24" s="1"/>
      <c r="H24" s="1">
        <f>SUM(OSRRefH22_0x_0)</f>
        <v>63</v>
      </c>
      <c r="I24" s="1"/>
      <c r="J24" s="5">
        <f t="shared" si="13"/>
        <v>8.6183310533515731E-2</v>
      </c>
      <c r="K24" s="1"/>
      <c r="L24" s="1">
        <f t="shared" si="14"/>
        <v>-19.96</v>
      </c>
      <c r="M24" s="1"/>
      <c r="N24" s="5">
        <f t="shared" si="15"/>
        <v>-0.31682539682539684</v>
      </c>
      <c r="O24" s="13"/>
      <c r="P24" s="1">
        <f>SUM(OSRRefP22_0x_0)</f>
        <v>554.63</v>
      </c>
      <c r="Q24" s="1"/>
      <c r="R24" s="5">
        <f t="shared" si="16"/>
        <v>1.3850168560369585</v>
      </c>
      <c r="S24" s="1"/>
      <c r="T24" s="1">
        <f>SUM(OSRRefT22_0x_0)</f>
        <v>434</v>
      </c>
      <c r="U24" s="1"/>
      <c r="V24" s="5">
        <f t="shared" si="17"/>
        <v>8.700882117080995E-2</v>
      </c>
      <c r="W24" s="1"/>
      <c r="X24" s="1">
        <f t="shared" si="18"/>
        <v>120.63</v>
      </c>
      <c r="Y24" s="1"/>
      <c r="Z24" s="5">
        <f t="shared" si="19"/>
        <v>0.27794930875576035</v>
      </c>
    </row>
    <row r="25" spans="1:26" s="24" customFormat="1" hidden="1" outlineLevel="2" x14ac:dyDescent="0.25">
      <c r="A25" s="25"/>
      <c r="B25" s="11" t="str">
        <f>CONCATENATE("          ", "6381", " - ", "BANK/CREDIT CARD FEES")</f>
        <v xml:space="preserve">          6381 - BANK/CREDIT CARD FEES</v>
      </c>
      <c r="C25" s="11"/>
      <c r="D25" s="7">
        <v>43.04</v>
      </c>
      <c r="E25" s="2"/>
      <c r="F25" s="6">
        <f t="shared" si="12"/>
        <v>10.76</v>
      </c>
      <c r="G25" s="2"/>
      <c r="H25" s="7">
        <v>63</v>
      </c>
      <c r="I25" s="2"/>
      <c r="J25" s="6">
        <f t="shared" si="13"/>
        <v>8.6183310533515731E-2</v>
      </c>
      <c r="K25" s="2"/>
      <c r="L25" s="7">
        <f t="shared" si="14"/>
        <v>-19.96</v>
      </c>
      <c r="M25" s="2"/>
      <c r="N25" s="6">
        <f t="shared" si="15"/>
        <v>-0.31682539682539684</v>
      </c>
      <c r="O25" s="11"/>
      <c r="P25" s="7">
        <v>554.63</v>
      </c>
      <c r="Q25" s="2"/>
      <c r="R25" s="6">
        <f t="shared" si="16"/>
        <v>1.3850168560369585</v>
      </c>
      <c r="S25" s="2"/>
      <c r="T25" s="7">
        <v>434</v>
      </c>
      <c r="U25" s="2"/>
      <c r="V25" s="6">
        <f t="shared" si="17"/>
        <v>8.700882117080995E-2</v>
      </c>
      <c r="W25" s="2"/>
      <c r="X25" s="7">
        <f t="shared" si="18"/>
        <v>120.63</v>
      </c>
      <c r="Y25" s="2"/>
      <c r="Z25" s="6">
        <f t="shared" si="19"/>
        <v>0.27794930875576035</v>
      </c>
    </row>
    <row r="26" spans="1:26" s="27" customFormat="1" outlineLevel="1" collapsed="1" x14ac:dyDescent="0.25">
      <c r="A26" s="26"/>
      <c r="B26" s="13" t="str">
        <f>CONCATENATE("     ","General                                           ")</f>
        <v xml:space="preserve">     General                                           </v>
      </c>
      <c r="C26" s="13"/>
      <c r="D26" s="1">
        <f>SUM(OSRRefD22_1x_0)</f>
        <v>0</v>
      </c>
      <c r="E26" s="1"/>
      <c r="F26" s="5">
        <f t="shared" si="12"/>
        <v>0</v>
      </c>
      <c r="G26" s="1"/>
      <c r="H26" s="1">
        <f>SUM(OSRRefH22_1x_0)</f>
        <v>0</v>
      </c>
      <c r="I26" s="1"/>
      <c r="J26" s="5">
        <f t="shared" si="13"/>
        <v>0</v>
      </c>
      <c r="K26" s="1"/>
      <c r="L26" s="1">
        <f t="shared" si="14"/>
        <v>0</v>
      </c>
      <c r="M26" s="1"/>
      <c r="N26" s="5">
        <f t="shared" si="15"/>
        <v>0</v>
      </c>
      <c r="O26" s="13"/>
      <c r="P26" s="1">
        <f>SUM(OSRRefP22_1x_0)</f>
        <v>120</v>
      </c>
      <c r="Q26" s="1"/>
      <c r="R26" s="5">
        <f t="shared" si="16"/>
        <v>0.29966287926083157</v>
      </c>
      <c r="S26" s="1"/>
      <c r="T26" s="1">
        <f>SUM(OSRRefT22_1x_0)</f>
        <v>0</v>
      </c>
      <c r="U26" s="1"/>
      <c r="V26" s="5">
        <f t="shared" si="17"/>
        <v>0</v>
      </c>
      <c r="W26" s="1"/>
      <c r="X26" s="1">
        <f t="shared" si="18"/>
        <v>120</v>
      </c>
      <c r="Y26" s="1"/>
      <c r="Z26" s="5">
        <f t="shared" si="19"/>
        <v>0</v>
      </c>
    </row>
    <row r="27" spans="1:26" s="24" customFormat="1" hidden="1" outlineLevel="2" x14ac:dyDescent="0.25">
      <c r="A27" s="25"/>
      <c r="B27" s="11" t="str">
        <f>CONCATENATE("          ", "6279", " - ", "GENERAL EXPENSE")</f>
        <v xml:space="preserve">          6279 - GENERAL EXPENSE</v>
      </c>
      <c r="C27" s="11"/>
      <c r="D27" s="7"/>
      <c r="E27" s="2"/>
      <c r="F27" s="6">
        <f t="shared" si="12"/>
        <v>0</v>
      </c>
      <c r="G27" s="2"/>
      <c r="H27" s="7"/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>
        <v>120</v>
      </c>
      <c r="Q27" s="2"/>
      <c r="R27" s="6">
        <f t="shared" si="16"/>
        <v>0.29966287926083157</v>
      </c>
      <c r="S27" s="2"/>
      <c r="T27" s="7"/>
      <c r="U27" s="2"/>
      <c r="V27" s="6">
        <f t="shared" si="17"/>
        <v>0</v>
      </c>
      <c r="W27" s="2"/>
      <c r="X27" s="7">
        <f t="shared" si="18"/>
        <v>120</v>
      </c>
      <c r="Y27" s="2"/>
      <c r="Z27" s="6">
        <f t="shared" si="19"/>
        <v>0</v>
      </c>
    </row>
    <row r="28" spans="1:26" s="56" customFormat="1" x14ac:dyDescent="0.25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9" t="s">
        <v>293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8" t="s">
        <v>277</v>
      </c>
      <c r="C31" s="28"/>
      <c r="D31" s="20">
        <f>+D21-D23+D29</f>
        <v>-10.039999999999999</v>
      </c>
      <c r="E31" s="14"/>
      <c r="F31" s="21">
        <f>IF(D$12=0,0,D31/D$12)</f>
        <v>-2.5099999999999998</v>
      </c>
      <c r="G31" s="14"/>
      <c r="H31" s="20">
        <f>+H21-H23+H29</f>
        <v>302</v>
      </c>
      <c r="I31" s="14"/>
      <c r="J31" s="21">
        <f>IF(H$12=0,0,H31/H$12)</f>
        <v>0.41313269493844051</v>
      </c>
      <c r="K31" s="15"/>
      <c r="L31" s="20">
        <f>+D31-H31</f>
        <v>-312.04000000000002</v>
      </c>
      <c r="M31" s="15"/>
      <c r="N31" s="21">
        <f>IF(H31=0,0,L31/H31)</f>
        <v>-1.0332450331125829</v>
      </c>
      <c r="O31" s="29"/>
      <c r="P31" s="20">
        <f>+P21-P23+P29</f>
        <v>72.830000000000041</v>
      </c>
      <c r="Q31" s="14"/>
      <c r="R31" s="21">
        <f>IF(P$12=0,0,P31/P$12)</f>
        <v>0.18187039580471981</v>
      </c>
      <c r="S31" s="14"/>
      <c r="T31" s="20">
        <f>+T21-T23+T29</f>
        <v>2058</v>
      </c>
      <c r="U31" s="14"/>
      <c r="V31" s="21">
        <f>IF(T$12=0,0,T31/T$12)</f>
        <v>0.41259021651964717</v>
      </c>
      <c r="W31" s="15"/>
      <c r="X31" s="20">
        <f>+P31-T31</f>
        <v>-1985.17</v>
      </c>
      <c r="Y31" s="15"/>
      <c r="Z31" s="21">
        <f>IF(T31=0,0,X31/T31)</f>
        <v>-0.96461127308066086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128</v>
      </c>
      <c r="C33" s="10"/>
      <c r="D33" s="4">
        <v>2.63</v>
      </c>
      <c r="E33" s="4"/>
      <c r="F33" s="12">
        <f>IF(D$12=0,0,D33/D$12)</f>
        <v>0.65749999999999997</v>
      </c>
      <c r="G33" s="4"/>
      <c r="H33" s="4">
        <v>150</v>
      </c>
      <c r="I33" s="4"/>
      <c r="J33" s="12">
        <f>IF(H$12=0,0,H33/H$12)</f>
        <v>0.20519835841313269</v>
      </c>
      <c r="K33" s="4"/>
      <c r="L33" s="4">
        <f>+D33-H33</f>
        <v>-147.37</v>
      </c>
      <c r="M33" s="4"/>
      <c r="N33" s="12">
        <f>IF(H33=0,0,L33/H33)</f>
        <v>-0.98246666666666671</v>
      </c>
      <c r="O33" s="10"/>
      <c r="P33" s="4">
        <v>85.57</v>
      </c>
      <c r="Q33" s="4"/>
      <c r="R33" s="12">
        <f>IF(P$12=0,0,P33/P$12)</f>
        <v>0.21368460481957796</v>
      </c>
      <c r="S33" s="4"/>
      <c r="T33" s="4">
        <v>920</v>
      </c>
      <c r="U33" s="4"/>
      <c r="V33" s="12">
        <f>IF(T$12=0,0,T33/T$12)</f>
        <v>0.18444266238973536</v>
      </c>
      <c r="W33" s="4"/>
      <c r="X33" s="4">
        <f>+P33-T33</f>
        <v>-834.43000000000006</v>
      </c>
      <c r="Y33" s="4"/>
      <c r="Z33" s="12">
        <f>IF(T33=0,0,X33/T33)</f>
        <v>-0.90698913043478269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8" t="s">
        <v>126</v>
      </c>
      <c r="C35" s="28"/>
      <c r="D35" s="35">
        <f>+D31-D33</f>
        <v>-12.669999999999998</v>
      </c>
      <c r="E35" s="14"/>
      <c r="F35" s="34">
        <f>IF(D$12=0,0,D35/D$12)</f>
        <v>-3.1674999999999995</v>
      </c>
      <c r="G35" s="14"/>
      <c r="H35" s="35">
        <f>+H31-H33</f>
        <v>152</v>
      </c>
      <c r="I35" s="14"/>
      <c r="J35" s="34">
        <f>IF(H$12=0,0,H35/H$12)</f>
        <v>0.20793433652530779</v>
      </c>
      <c r="K35" s="15"/>
      <c r="L35" s="35">
        <f>D35-H35</f>
        <v>-164.67</v>
      </c>
      <c r="M35" s="15"/>
      <c r="N35" s="34">
        <f>IF(H35=0,0,L35/H35)</f>
        <v>-1.0833552631578947</v>
      </c>
      <c r="O35" s="29"/>
      <c r="P35" s="35">
        <f>+P31-P33</f>
        <v>-12.739999999999952</v>
      </c>
      <c r="Q35" s="14"/>
      <c r="R35" s="34">
        <f>IF(P$12=0,0,P35/P$12)</f>
        <v>-3.1814209014858166E-2</v>
      </c>
      <c r="S35" s="14"/>
      <c r="T35" s="35">
        <f>+T31-T33</f>
        <v>1138</v>
      </c>
      <c r="U35" s="14"/>
      <c r="V35" s="34">
        <f>IF(T$12=0,0,T35/T$12)</f>
        <v>0.22814755412991178</v>
      </c>
      <c r="W35" s="15"/>
      <c r="X35" s="35">
        <f>P35-T35</f>
        <v>-1150.74</v>
      </c>
      <c r="Y35" s="15"/>
      <c r="Z35" s="34">
        <f>IF(T35=0,0,X35/T35)</f>
        <v>-1.0111950790861159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8" t="s">
        <v>294</v>
      </c>
      <c r="C38" s="28"/>
      <c r="D38" s="33">
        <f>SUM(D35:D37)</f>
        <v>-12.669999999999998</v>
      </c>
      <c r="E38" s="14"/>
      <c r="F38" s="32">
        <f>IF(D$12=0,0,D38/D$12)</f>
        <v>-3.1674999999999995</v>
      </c>
      <c r="G38" s="14"/>
      <c r="H38" s="33">
        <f>SUM(H35:H37)</f>
        <v>152</v>
      </c>
      <c r="I38" s="14"/>
      <c r="J38" s="32">
        <f>IF(H$12=0,0,H38/H$12)</f>
        <v>0.20793433652530779</v>
      </c>
      <c r="K38" s="15"/>
      <c r="L38" s="33">
        <f>+D38-H38</f>
        <v>-164.67</v>
      </c>
      <c r="M38" s="15"/>
      <c r="N38" s="32">
        <f>IF(H38=0,0,L38/H38)</f>
        <v>-1.0833552631578947</v>
      </c>
      <c r="O38" s="29"/>
      <c r="P38" s="33">
        <f>SUM(P35:P37)</f>
        <v>-12.739999999999952</v>
      </c>
      <c r="Q38" s="14"/>
      <c r="R38" s="32">
        <f>IF(P$12=0,0,P38/P$12)</f>
        <v>-3.1814209014858166E-2</v>
      </c>
      <c r="S38" s="14"/>
      <c r="T38" s="33">
        <f>SUM(T35:T37)</f>
        <v>1138</v>
      </c>
      <c r="U38" s="14"/>
      <c r="V38" s="32">
        <f>IF(T$12=0,0,T38/T$12)</f>
        <v>0.22814755412991178</v>
      </c>
      <c r="W38" s="15"/>
      <c r="X38" s="33">
        <f>+P38-T38</f>
        <v>-1150.74</v>
      </c>
      <c r="Y38" s="15"/>
      <c r="Z38" s="32">
        <f>IF(T38=0,0,X38/T38)</f>
        <v>-1.0111950790861159</v>
      </c>
    </row>
    <row r="39" spans="1:26" ht="15.75" thickTop="1" x14ac:dyDescent="0.25">
      <c r="A39" s="9"/>
      <c r="C39" s="9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>
        <v>44356.891834571761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5" t="s">
        <v>56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63"/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4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200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112283.45</v>
      </c>
      <c r="E12" s="4"/>
      <c r="F12" s="12"/>
      <c r="G12" s="4"/>
      <c r="H12" s="4">
        <f>SUM(OSRRefH13x_0)</f>
        <v>301636</v>
      </c>
      <c r="I12" s="4"/>
      <c r="J12" s="12"/>
      <c r="K12" s="4"/>
      <c r="L12" s="4">
        <f t="shared" ref="L12:L21" si="0">+D12-H12</f>
        <v>-189352.55</v>
      </c>
      <c r="M12" s="4"/>
      <c r="N12" s="12">
        <f t="shared" ref="N12:N21" si="1">IF(H12=0,0,L12/H12)</f>
        <v>-0.62775182670503515</v>
      </c>
      <c r="O12" s="10"/>
      <c r="P12" s="4">
        <f>SUM(OSRRefP13x_0)</f>
        <v>1510259.66</v>
      </c>
      <c r="Q12" s="4"/>
      <c r="R12" s="12"/>
      <c r="S12" s="4"/>
      <c r="T12" s="4">
        <f>SUM(OSRRefT13x_0)</f>
        <v>4159067</v>
      </c>
      <c r="U12" s="4"/>
      <c r="V12" s="12"/>
      <c r="W12" s="4"/>
      <c r="X12" s="4">
        <f t="shared" ref="X12:X21" si="2">+P12-T12</f>
        <v>-2648807.34</v>
      </c>
      <c r="Y12" s="4"/>
      <c r="Z12" s="12">
        <f t="shared" ref="Z12:Z21" si="3">IF(T12=0,0,X12/T12)</f>
        <v>-0.63687537132727123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4070</v>
      </c>
      <c r="I13" s="2"/>
      <c r="J13" s="19"/>
      <c r="K13" s="2"/>
      <c r="L13" s="2">
        <f t="shared" si="0"/>
        <v>-4070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69292</v>
      </c>
      <c r="U13" s="2"/>
      <c r="V13" s="19"/>
      <c r="W13" s="2"/>
      <c r="X13" s="2">
        <f t="shared" si="2"/>
        <v>-69292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--7161.66</f>
        <v>7161.66</v>
      </c>
      <c r="E14" s="2"/>
      <c r="F14" s="19"/>
      <c r="G14" s="2"/>
      <c r="H14" s="2"/>
      <c r="I14" s="2"/>
      <c r="J14" s="19"/>
      <c r="K14" s="2"/>
      <c r="L14" s="2">
        <f t="shared" si="0"/>
        <v>7161.66</v>
      </c>
      <c r="M14" s="2"/>
      <c r="N14" s="19">
        <f t="shared" si="1"/>
        <v>0</v>
      </c>
      <c r="O14" s="11"/>
      <c r="P14" s="2">
        <f>--39282.92</f>
        <v>39282.92</v>
      </c>
      <c r="Q14" s="2"/>
      <c r="R14" s="19"/>
      <c r="S14" s="2"/>
      <c r="T14" s="2"/>
      <c r="U14" s="2"/>
      <c r="V14" s="19"/>
      <c r="W14" s="2"/>
      <c r="X14" s="2">
        <f t="shared" si="2"/>
        <v>39282.92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--47978.22</f>
        <v>47978.22</v>
      </c>
      <c r="E15" s="2"/>
      <c r="F15" s="19"/>
      <c r="G15" s="2"/>
      <c r="H15" s="2"/>
      <c r="I15" s="2"/>
      <c r="J15" s="19"/>
      <c r="K15" s="2"/>
      <c r="L15" s="2">
        <f t="shared" si="0"/>
        <v>47978.22</v>
      </c>
      <c r="M15" s="2"/>
      <c r="N15" s="19">
        <f t="shared" si="1"/>
        <v>0</v>
      </c>
      <c r="O15" s="11"/>
      <c r="P15" s="2">
        <f>--428653.01</f>
        <v>428653.01</v>
      </c>
      <c r="Q15" s="2"/>
      <c r="R15" s="19"/>
      <c r="S15" s="2"/>
      <c r="T15" s="2"/>
      <c r="U15" s="2"/>
      <c r="V15" s="19"/>
      <c r="W15" s="2"/>
      <c r="X15" s="2">
        <f t="shared" si="2"/>
        <v>428653.01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--21.66</f>
        <v>21.66</v>
      </c>
      <c r="E16" s="2"/>
      <c r="F16" s="19"/>
      <c r="G16" s="2"/>
      <c r="H16" s="2"/>
      <c r="I16" s="2"/>
      <c r="J16" s="19"/>
      <c r="K16" s="2"/>
      <c r="L16" s="2">
        <f t="shared" si="0"/>
        <v>21.66</v>
      </c>
      <c r="M16" s="2"/>
      <c r="N16" s="19">
        <f t="shared" si="1"/>
        <v>0</v>
      </c>
      <c r="O16" s="11"/>
      <c r="P16" s="2">
        <f>--1106.56</f>
        <v>1106.56</v>
      </c>
      <c r="Q16" s="2"/>
      <c r="R16" s="19"/>
      <c r="S16" s="2"/>
      <c r="T16" s="2"/>
      <c r="U16" s="2"/>
      <c r="V16" s="19"/>
      <c r="W16" s="2"/>
      <c r="X16" s="2">
        <f t="shared" si="2"/>
        <v>1106.56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--974.91</f>
        <v>974.91</v>
      </c>
      <c r="Q17" s="2"/>
      <c r="R17" s="19"/>
      <c r="S17" s="2"/>
      <c r="T17" s="2"/>
      <c r="U17" s="2"/>
      <c r="V17" s="19"/>
      <c r="W17" s="2"/>
      <c r="X17" s="2">
        <f t="shared" si="2"/>
        <v>974.91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 t="shared" si="4"/>
        <v>0</v>
      </c>
      <c r="E18" s="2"/>
      <c r="F18" s="19"/>
      <c r="G18" s="2"/>
      <c r="H18" s="2">
        <v>297566</v>
      </c>
      <c r="I18" s="2"/>
      <c r="J18" s="19"/>
      <c r="K18" s="2"/>
      <c r="L18" s="2">
        <f t="shared" si="0"/>
        <v>-297566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4089775</v>
      </c>
      <c r="U18" s="2"/>
      <c r="V18" s="19"/>
      <c r="W18" s="2"/>
      <c r="X18" s="2">
        <f t="shared" si="2"/>
        <v>-4089775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--54229.87</f>
        <v>54229.87</v>
      </c>
      <c r="E19" s="2"/>
      <c r="F19" s="19"/>
      <c r="G19" s="2"/>
      <c r="H19" s="2"/>
      <c r="I19" s="2"/>
      <c r="J19" s="19"/>
      <c r="K19" s="2"/>
      <c r="L19" s="2">
        <f t="shared" si="0"/>
        <v>54229.87</v>
      </c>
      <c r="M19" s="2"/>
      <c r="N19" s="19">
        <f t="shared" si="1"/>
        <v>0</v>
      </c>
      <c r="O19" s="11"/>
      <c r="P19" s="2">
        <f>--978326.99</f>
        <v>978326.99</v>
      </c>
      <c r="Q19" s="2"/>
      <c r="R19" s="19"/>
      <c r="S19" s="2"/>
      <c r="T19" s="2"/>
      <c r="U19" s="2"/>
      <c r="V19" s="19"/>
      <c r="W19" s="2"/>
      <c r="X19" s="2">
        <f t="shared" si="2"/>
        <v>978326.99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--11580.95</f>
        <v>11580.95</v>
      </c>
      <c r="Q20" s="2"/>
      <c r="R20" s="19"/>
      <c r="S20" s="2"/>
      <c r="T20" s="2"/>
      <c r="U20" s="2"/>
      <c r="V20" s="19"/>
      <c r="W20" s="2"/>
      <c r="X20" s="2">
        <f t="shared" si="2"/>
        <v>11580.95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--2892.04</f>
        <v>2892.04</v>
      </c>
      <c r="E21" s="2"/>
      <c r="F21" s="19"/>
      <c r="G21" s="2"/>
      <c r="H21" s="2"/>
      <c r="I21" s="2"/>
      <c r="J21" s="19"/>
      <c r="K21" s="2"/>
      <c r="L21" s="2">
        <f t="shared" si="0"/>
        <v>2892.04</v>
      </c>
      <c r="M21" s="2"/>
      <c r="N21" s="19">
        <f t="shared" si="1"/>
        <v>0</v>
      </c>
      <c r="O21" s="11"/>
      <c r="P21" s="2">
        <f>--50334.32</f>
        <v>50334.32</v>
      </c>
      <c r="Q21" s="2"/>
      <c r="R21" s="19"/>
      <c r="S21" s="2"/>
      <c r="T21" s="2"/>
      <c r="U21" s="2"/>
      <c r="V21" s="19"/>
      <c r="W21" s="2"/>
      <c r="X21" s="2">
        <f t="shared" si="2"/>
        <v>50334.32</v>
      </c>
      <c r="Y21" s="2"/>
      <c r="Z21" s="19">
        <f t="shared" si="3"/>
        <v>0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9" t="s">
        <v>257</v>
      </c>
      <c r="C23" s="10"/>
      <c r="D23" s="4">
        <f>SUM(OSRRefD16x_0)</f>
        <v>29424.93</v>
      </c>
      <c r="E23" s="4"/>
      <c r="F23" s="12">
        <f t="shared" ref="F23:F26" si="5">IF(D$12=0,0,D23/D$12)</f>
        <v>0.26205936849998823</v>
      </c>
      <c r="G23" s="4"/>
      <c r="H23" s="4">
        <f>SUM(OSRRefH16x_0)</f>
        <v>83839</v>
      </c>
      <c r="I23" s="4"/>
      <c r="J23" s="12">
        <f t="shared" ref="J23:J26" si="6">IF(H$12=0,0,H23/H$12)</f>
        <v>0.27794759246243816</v>
      </c>
      <c r="K23" s="4"/>
      <c r="L23" s="4">
        <f t="shared" ref="L23:L26" si="7">+D23-H23</f>
        <v>-54414.07</v>
      </c>
      <c r="M23" s="4"/>
      <c r="N23" s="12">
        <f t="shared" ref="N23:N26" si="8">IF(H23=0,0,L23/H23)</f>
        <v>-0.64903052278772411</v>
      </c>
      <c r="O23" s="10"/>
      <c r="P23" s="4">
        <f>SUM(OSRRefP16x_0)</f>
        <v>458835.41</v>
      </c>
      <c r="Q23" s="4"/>
      <c r="R23" s="12">
        <f t="shared" ref="R23:R26" si="9">IF(P$12=0,0,P23/P$12)</f>
        <v>0.30381226629598251</v>
      </c>
      <c r="S23" s="4"/>
      <c r="T23" s="4">
        <f>SUM(OSRRefT16x_0)</f>
        <v>1134888</v>
      </c>
      <c r="U23" s="4"/>
      <c r="V23" s="12">
        <f t="shared" ref="V23:V26" si="10">IF(T$12=0,0,T23/T$12)</f>
        <v>0.27287081453604861</v>
      </c>
      <c r="W23" s="4"/>
      <c r="X23" s="4">
        <f t="shared" ref="X23:X26" si="11">+P23-T23</f>
        <v>-676052.59000000008</v>
      </c>
      <c r="Y23" s="4"/>
      <c r="Z23" s="12">
        <f t="shared" ref="Z23:Z26" si="12">IF(T23=0,0,X23/T23)</f>
        <v>-0.59569983117276781</v>
      </c>
    </row>
    <row r="24" spans="1:26" s="24" customFormat="1" hidden="1" outlineLevel="1" x14ac:dyDescent="0.25">
      <c r="A24" s="44"/>
      <c r="B24" s="11" t="str">
        <f>CONCATENATE("          ", "5000", " - ", "PURCHASES @ COST")</f>
        <v xml:space="preserve">          5000 - PURCHASES @ COST</v>
      </c>
      <c r="C24" s="11"/>
      <c r="D24" s="2"/>
      <c r="E24" s="2"/>
      <c r="F24" s="19">
        <f t="shared" si="5"/>
        <v>0</v>
      </c>
      <c r="G24" s="2"/>
      <c r="H24" s="2">
        <v>83839</v>
      </c>
      <c r="I24" s="2"/>
      <c r="J24" s="19">
        <f t="shared" si="6"/>
        <v>0.27794759246243816</v>
      </c>
      <c r="K24" s="2"/>
      <c r="L24" s="2">
        <f t="shared" si="7"/>
        <v>-83839</v>
      </c>
      <c r="M24" s="2"/>
      <c r="N24" s="19">
        <f t="shared" si="8"/>
        <v>-1</v>
      </c>
      <c r="O24" s="11"/>
      <c r="P24" s="2"/>
      <c r="Q24" s="2"/>
      <c r="R24" s="19">
        <f t="shared" si="9"/>
        <v>0</v>
      </c>
      <c r="S24" s="2"/>
      <c r="T24" s="2">
        <v>1134888</v>
      </c>
      <c r="U24" s="2"/>
      <c r="V24" s="19">
        <f t="shared" si="10"/>
        <v>0.27287081453604861</v>
      </c>
      <c r="W24" s="2"/>
      <c r="X24" s="2">
        <f t="shared" si="11"/>
        <v>-1134888</v>
      </c>
      <c r="Y24" s="2"/>
      <c r="Z24" s="19">
        <f t="shared" si="12"/>
        <v>-1</v>
      </c>
    </row>
    <row r="25" spans="1:26" s="24" customFormat="1" hidden="1" outlineLevel="1" x14ac:dyDescent="0.25">
      <c r="A25" s="44"/>
      <c r="B25" s="11" t="str">
        <f>CONCATENATE("          ", "5053", " - ", "PURCHASES @ COST-FOOD")</f>
        <v xml:space="preserve">          5053 - PURCHASES @ COST-FOOD</v>
      </c>
      <c r="C25" s="11"/>
      <c r="D25" s="2">
        <v>28069.93</v>
      </c>
      <c r="E25" s="2"/>
      <c r="F25" s="19">
        <f t="shared" si="5"/>
        <v>0.24999169512514979</v>
      </c>
      <c r="G25" s="2"/>
      <c r="H25" s="2"/>
      <c r="I25" s="2"/>
      <c r="J25" s="19">
        <f t="shared" si="6"/>
        <v>0</v>
      </c>
      <c r="K25" s="2"/>
      <c r="L25" s="2">
        <f t="shared" si="7"/>
        <v>28069.93</v>
      </c>
      <c r="M25" s="2"/>
      <c r="N25" s="19">
        <f t="shared" si="8"/>
        <v>0</v>
      </c>
      <c r="O25" s="11"/>
      <c r="P25" s="2">
        <v>455876.1</v>
      </c>
      <c r="Q25" s="2"/>
      <c r="R25" s="19">
        <f t="shared" si="9"/>
        <v>0.30185279530011416</v>
      </c>
      <c r="S25" s="2"/>
      <c r="T25" s="2"/>
      <c r="U25" s="2"/>
      <c r="V25" s="19">
        <f t="shared" si="10"/>
        <v>0</v>
      </c>
      <c r="W25" s="2"/>
      <c r="X25" s="2">
        <f t="shared" si="11"/>
        <v>455876.1</v>
      </c>
      <c r="Y25" s="2"/>
      <c r="Z25" s="19">
        <f t="shared" si="12"/>
        <v>0</v>
      </c>
    </row>
    <row r="26" spans="1:26" s="24" customFormat="1" hidden="1" outlineLevel="1" x14ac:dyDescent="0.25">
      <c r="A26" s="44"/>
      <c r="B26" s="11" t="str">
        <f>CONCATENATE("          ", "5059", " - ", "PURCHASES @ COST-FOOD")</f>
        <v xml:space="preserve">          5059 - PURCHASES @ COST-FOOD</v>
      </c>
      <c r="C26" s="11"/>
      <c r="D26" s="2">
        <v>1355</v>
      </c>
      <c r="E26" s="2"/>
      <c r="F26" s="19">
        <f t="shared" si="5"/>
        <v>1.2067673374838411E-2</v>
      </c>
      <c r="G26" s="2"/>
      <c r="H26" s="2"/>
      <c r="I26" s="2"/>
      <c r="J26" s="19">
        <f t="shared" si="6"/>
        <v>0</v>
      </c>
      <c r="K26" s="2"/>
      <c r="L26" s="2">
        <f t="shared" si="7"/>
        <v>1355</v>
      </c>
      <c r="M26" s="2"/>
      <c r="N26" s="19">
        <f t="shared" si="8"/>
        <v>0</v>
      </c>
      <c r="O26" s="11"/>
      <c r="P26" s="2">
        <v>2959.31</v>
      </c>
      <c r="Q26" s="2"/>
      <c r="R26" s="19">
        <f t="shared" si="9"/>
        <v>1.9594709958683531E-3</v>
      </c>
      <c r="S26" s="2"/>
      <c r="T26" s="2"/>
      <c r="U26" s="2"/>
      <c r="V26" s="19">
        <f t="shared" si="10"/>
        <v>0</v>
      </c>
      <c r="W26" s="2"/>
      <c r="X26" s="2">
        <f t="shared" si="11"/>
        <v>2959.31</v>
      </c>
      <c r="Y26" s="2"/>
      <c r="Z26" s="19">
        <f t="shared" si="12"/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108</v>
      </c>
      <c r="C28" s="28"/>
      <c r="D28" s="20">
        <f>D12-D23</f>
        <v>82858.51999999999</v>
      </c>
      <c r="E28" s="14"/>
      <c r="F28" s="21">
        <f>IF(D$12=0,0,D28/D$12)</f>
        <v>0.73794063150001177</v>
      </c>
      <c r="G28" s="14"/>
      <c r="H28" s="20">
        <f>H12-H23</f>
        <v>217797</v>
      </c>
      <c r="I28" s="14"/>
      <c r="J28" s="21">
        <f>IF(H$12=0,0,H28/H$12)</f>
        <v>0.72205240753756184</v>
      </c>
      <c r="K28" s="15"/>
      <c r="L28" s="20">
        <f>+D28-H28</f>
        <v>-134938.48000000001</v>
      </c>
      <c r="M28" s="15"/>
      <c r="N28" s="21">
        <f>IF(H28=0,0,L28/H28)</f>
        <v>-0.61956078366552347</v>
      </c>
      <c r="O28" s="29"/>
      <c r="P28" s="20">
        <f>P12-P23</f>
        <v>1051424.25</v>
      </c>
      <c r="Q28" s="14"/>
      <c r="R28" s="21">
        <f>IF(P$12=0,0,P28/P$12)</f>
        <v>0.69618773370401754</v>
      </c>
      <c r="S28" s="14"/>
      <c r="T28" s="20">
        <f>T12-T23</f>
        <v>3024179</v>
      </c>
      <c r="U28" s="14"/>
      <c r="V28" s="21">
        <f>IF(T$12=0,0,T28/T$12)</f>
        <v>0.72712918546395144</v>
      </c>
      <c r="W28" s="15"/>
      <c r="X28" s="20">
        <f>+P28-T28</f>
        <v>-1972754.75</v>
      </c>
      <c r="Y28" s="15"/>
      <c r="Z28" s="21">
        <f>IF(T28=0,0,X28/T28)</f>
        <v>-0.65232737546289421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295</v>
      </c>
      <c r="C30" s="10"/>
      <c r="D30" s="22">
        <f>SUM(OSRRefD22x_0)</f>
        <v>320142.31</v>
      </c>
      <c r="E30" s="22"/>
      <c r="F30" s="31">
        <f t="shared" ref="F30:F41" si="13">IF(D$12=0,0,D30/D$12)</f>
        <v>2.8511976609197527</v>
      </c>
      <c r="G30" s="22"/>
      <c r="H30" s="22">
        <f>SUM(OSRRefH22x_0)</f>
        <v>437910.48994475562</v>
      </c>
      <c r="I30" s="22"/>
      <c r="J30" s="31">
        <f t="shared" ref="J30:J41" si="14">IF(H$12=0,0,H30/H$12)</f>
        <v>1.4517845679718455</v>
      </c>
      <c r="K30" s="4"/>
      <c r="L30" s="22">
        <f t="shared" ref="L30:L41" si="15">+D30-H30</f>
        <v>-117768.17994475563</v>
      </c>
      <c r="M30" s="4"/>
      <c r="N30" s="31">
        <f t="shared" ref="N30:N41" si="16">IF(H30=0,0,L30/H30)</f>
        <v>-0.26893208235229216</v>
      </c>
      <c r="O30" s="10"/>
      <c r="P30" s="22">
        <f>SUM(OSRRefP22x_0)</f>
        <v>3701530.9100000011</v>
      </c>
      <c r="Q30" s="22"/>
      <c r="R30" s="31">
        <f t="shared" ref="R30:R41" si="17">IF(P$12=0,0,P30/P$12)</f>
        <v>2.4509235120535506</v>
      </c>
      <c r="S30" s="22"/>
      <c r="T30" s="22">
        <f>SUM(OSRRefT22x_0)</f>
        <v>5241793.099953318</v>
      </c>
      <c r="U30" s="22"/>
      <c r="V30" s="31">
        <f t="shared" ref="V30:V41" si="18">IF(T$12=0,0,T30/T$12)</f>
        <v>1.2603290834106107</v>
      </c>
      <c r="W30" s="4"/>
      <c r="X30" s="22">
        <f t="shared" ref="X30:X41" si="19">+P30-T30</f>
        <v>-1540262.1899533169</v>
      </c>
      <c r="Y30" s="4"/>
      <c r="Z30" s="31">
        <f t="shared" ref="Z30:Z41" si="20">IF(T30=0,0,X30/T30)</f>
        <v>-0.29384261465166073</v>
      </c>
    </row>
    <row r="31" spans="1:26" s="27" customFormat="1" outlineLevel="1" collapsed="1" x14ac:dyDescent="0.25">
      <c r="A31" s="26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94959.360000000001</v>
      </c>
      <c r="E31" s="1"/>
      <c r="F31" s="5">
        <f t="shared" si="13"/>
        <v>0.8457110998994064</v>
      </c>
      <c r="G31" s="1"/>
      <c r="H31" s="1">
        <f>SUM(OSRRefH22_0x_0)</f>
        <v>110973.38912565311</v>
      </c>
      <c r="I31" s="1"/>
      <c r="J31" s="5">
        <f t="shared" si="14"/>
        <v>0.36790498854796211</v>
      </c>
      <c r="K31" s="1"/>
      <c r="L31" s="1">
        <f t="shared" si="15"/>
        <v>-16014.029125653105</v>
      </c>
      <c r="M31" s="1"/>
      <c r="N31" s="5">
        <f t="shared" si="16"/>
        <v>-0.14430512802957399</v>
      </c>
      <c r="O31" s="13"/>
      <c r="P31" s="1">
        <f>SUM(OSRRefP22_0x_0)</f>
        <v>1077004.99</v>
      </c>
      <c r="Q31" s="1"/>
      <c r="R31" s="5">
        <f t="shared" si="17"/>
        <v>0.7131257084626097</v>
      </c>
      <c r="S31" s="1"/>
      <c r="T31" s="1">
        <f>SUM(OSRRefT22_0x_0)</f>
        <v>1300110.2150374223</v>
      </c>
      <c r="U31" s="1"/>
      <c r="V31" s="5">
        <f t="shared" si="18"/>
        <v>0.31259660280476903</v>
      </c>
      <c r="W31" s="1"/>
      <c r="X31" s="1">
        <f t="shared" si="19"/>
        <v>-223105.22503742226</v>
      </c>
      <c r="Y31" s="1"/>
      <c r="Z31" s="5">
        <f t="shared" si="20"/>
        <v>-0.17160485507838305</v>
      </c>
    </row>
    <row r="32" spans="1:26" s="24" customFormat="1" hidden="1" outlineLevel="2" x14ac:dyDescent="0.25">
      <c r="A32" s="25"/>
      <c r="B32" s="11" t="str">
        <f>CONCATENATE("          ", "6111", " - ", "F.I.C.A.")</f>
        <v xml:space="preserve">          6111 - F.I.C.A.</v>
      </c>
      <c r="C32" s="11"/>
      <c r="D32" s="7">
        <v>9496.7199999999993</v>
      </c>
      <c r="E32" s="2"/>
      <c r="F32" s="6">
        <f t="shared" si="13"/>
        <v>8.4578092319037221E-2</v>
      </c>
      <c r="G32" s="2"/>
      <c r="H32" s="7">
        <v>11601.0196793262</v>
      </c>
      <c r="I32" s="2"/>
      <c r="J32" s="6">
        <f t="shared" si="14"/>
        <v>3.8460328605757273E-2</v>
      </c>
      <c r="K32" s="2"/>
      <c r="L32" s="7">
        <f t="shared" si="15"/>
        <v>-2104.2996793262009</v>
      </c>
      <c r="M32" s="2"/>
      <c r="N32" s="6">
        <f t="shared" si="16"/>
        <v>-0.18138920004387243</v>
      </c>
      <c r="O32" s="11"/>
      <c r="P32" s="7">
        <v>117270.02</v>
      </c>
      <c r="Q32" s="2"/>
      <c r="R32" s="6">
        <f t="shared" si="17"/>
        <v>7.7648912373121326E-2</v>
      </c>
      <c r="S32" s="2"/>
      <c r="T32" s="7">
        <v>137236.005023114</v>
      </c>
      <c r="U32" s="2"/>
      <c r="V32" s="6">
        <f t="shared" si="18"/>
        <v>3.2996824774189498E-2</v>
      </c>
      <c r="W32" s="2"/>
      <c r="X32" s="7">
        <f t="shared" si="19"/>
        <v>-19965.985023114001</v>
      </c>
      <c r="Y32" s="2"/>
      <c r="Z32" s="6">
        <f t="shared" si="20"/>
        <v>-0.14548649255529716</v>
      </c>
    </row>
    <row r="33" spans="1:26" s="24" customFormat="1" hidden="1" outlineLevel="2" x14ac:dyDescent="0.25">
      <c r="A33" s="25"/>
      <c r="B33" s="11" t="str">
        <f>CONCATENATE("          ", "6112", " - ", "COMPENSATION INSURANCE")</f>
        <v xml:space="preserve">          6112 - COMPENSATION INSURANCE</v>
      </c>
      <c r="C33" s="11"/>
      <c r="D33" s="7">
        <v>7453.04</v>
      </c>
      <c r="E33" s="2"/>
      <c r="F33" s="6">
        <f t="shared" si="13"/>
        <v>6.6377012818897171E-2</v>
      </c>
      <c r="G33" s="2"/>
      <c r="H33" s="7">
        <v>7633.1825798884602</v>
      </c>
      <c r="I33" s="2"/>
      <c r="J33" s="6">
        <f t="shared" si="14"/>
        <v>2.5305940205706416E-2</v>
      </c>
      <c r="K33" s="2"/>
      <c r="L33" s="7">
        <f t="shared" si="15"/>
        <v>-180.1425798884602</v>
      </c>
      <c r="M33" s="2"/>
      <c r="N33" s="6">
        <f t="shared" si="16"/>
        <v>-2.3599930697726416E-2</v>
      </c>
      <c r="O33" s="11"/>
      <c r="P33" s="7">
        <v>63243.02</v>
      </c>
      <c r="Q33" s="2"/>
      <c r="R33" s="6">
        <f t="shared" si="17"/>
        <v>4.1875593763790263E-2</v>
      </c>
      <c r="S33" s="2"/>
      <c r="T33" s="7">
        <v>91139.683738061605</v>
      </c>
      <c r="U33" s="2"/>
      <c r="V33" s="6">
        <f t="shared" si="18"/>
        <v>2.1913492554474744E-2</v>
      </c>
      <c r="W33" s="2"/>
      <c r="X33" s="7">
        <f t="shared" si="19"/>
        <v>-27896.663738061608</v>
      </c>
      <c r="Y33" s="2"/>
      <c r="Z33" s="6">
        <f t="shared" si="20"/>
        <v>-0.30608690521943788</v>
      </c>
    </row>
    <row r="34" spans="1:26" s="24" customFormat="1" hidden="1" outlineLevel="2" x14ac:dyDescent="0.25">
      <c r="A34" s="25"/>
      <c r="B34" s="11" t="str">
        <f>CONCATENATE("          ", "6113", " - ", "GROUP INSURANCE")</f>
        <v xml:space="preserve">          6113 - GROUP INSURANCE</v>
      </c>
      <c r="C34" s="11"/>
      <c r="D34" s="7">
        <v>53385.82</v>
      </c>
      <c r="E34" s="2"/>
      <c r="F34" s="6">
        <f t="shared" si="13"/>
        <v>0.47545582185086049</v>
      </c>
      <c r="G34" s="2"/>
      <c r="H34" s="7">
        <v>66855.384615384595</v>
      </c>
      <c r="I34" s="2"/>
      <c r="J34" s="6">
        <f t="shared" si="14"/>
        <v>0.22164259112103527</v>
      </c>
      <c r="K34" s="2"/>
      <c r="L34" s="7">
        <f t="shared" si="15"/>
        <v>-13469.564615384596</v>
      </c>
      <c r="M34" s="2"/>
      <c r="N34" s="6">
        <f t="shared" si="16"/>
        <v>-0.20147314525036794</v>
      </c>
      <c r="O34" s="11"/>
      <c r="P34" s="7">
        <v>597224.24</v>
      </c>
      <c r="Q34" s="2"/>
      <c r="R34" s="6">
        <f t="shared" si="17"/>
        <v>0.39544474093944881</v>
      </c>
      <c r="S34" s="2"/>
      <c r="T34" s="7">
        <v>777659.5</v>
      </c>
      <c r="U34" s="2"/>
      <c r="V34" s="6">
        <f t="shared" si="18"/>
        <v>0.1869793153127853</v>
      </c>
      <c r="W34" s="2"/>
      <c r="X34" s="7">
        <f t="shared" si="19"/>
        <v>-180435.26</v>
      </c>
      <c r="Y34" s="2"/>
      <c r="Z34" s="6">
        <f t="shared" si="20"/>
        <v>-0.23202347556996347</v>
      </c>
    </row>
    <row r="35" spans="1:26" s="24" customFormat="1" hidden="1" outlineLevel="2" x14ac:dyDescent="0.25">
      <c r="A35" s="25"/>
      <c r="B35" s="11" t="str">
        <f>CONCATENATE("          ", "6114", " - ", "STATE UNEMPLOYMENT INSURANCE")</f>
        <v xml:space="preserve">          6114 - STATE UNEMPLOYMENT INSURANCE</v>
      </c>
      <c r="C35" s="11"/>
      <c r="D35" s="7">
        <v>514.4</v>
      </c>
      <c r="E35" s="2"/>
      <c r="F35" s="6">
        <f t="shared" si="13"/>
        <v>4.5812628664331206E-3</v>
      </c>
      <c r="G35" s="2"/>
      <c r="H35" s="7">
        <v>489.1832799</v>
      </c>
      <c r="I35" s="2"/>
      <c r="J35" s="6">
        <f t="shared" si="14"/>
        <v>1.6217668975188639E-3</v>
      </c>
      <c r="K35" s="2"/>
      <c r="L35" s="7">
        <f t="shared" si="15"/>
        <v>25.216720099999975</v>
      </c>
      <c r="M35" s="2"/>
      <c r="N35" s="6">
        <f t="shared" si="16"/>
        <v>5.1548614059652317E-2</v>
      </c>
      <c r="O35" s="11"/>
      <c r="P35" s="7">
        <v>4470.87</v>
      </c>
      <c r="Q35" s="2"/>
      <c r="R35" s="6">
        <f t="shared" si="17"/>
        <v>2.9603320001277134E-3</v>
      </c>
      <c r="S35" s="2"/>
      <c r="T35" s="7">
        <v>5842.4110424</v>
      </c>
      <c r="U35" s="2"/>
      <c r="V35" s="6">
        <f t="shared" si="18"/>
        <v>1.4047407849885564E-3</v>
      </c>
      <c r="W35" s="2"/>
      <c r="X35" s="7">
        <f t="shared" si="19"/>
        <v>-1371.5410424000002</v>
      </c>
      <c r="Y35" s="2"/>
      <c r="Z35" s="6">
        <f t="shared" si="20"/>
        <v>-0.23475599926919652</v>
      </c>
    </row>
    <row r="36" spans="1:26" s="24" customFormat="1" hidden="1" outlineLevel="2" x14ac:dyDescent="0.25">
      <c r="A36" s="25"/>
      <c r="B36" s="11" t="str">
        <f>CONCATENATE("          ", "6115", " - ", "P.E.R.S.")</f>
        <v xml:space="preserve">          6115 - P.E.R.S.</v>
      </c>
      <c r="C36" s="11"/>
      <c r="D36" s="7">
        <v>6377.98</v>
      </c>
      <c r="E36" s="2"/>
      <c r="F36" s="6">
        <f t="shared" si="13"/>
        <v>5.6802494045204342E-2</v>
      </c>
      <c r="G36" s="2"/>
      <c r="H36" s="7">
        <v>5989.2751107692402</v>
      </c>
      <c r="I36" s="2"/>
      <c r="J36" s="6">
        <f t="shared" si="14"/>
        <v>1.9855969150795131E-2</v>
      </c>
      <c r="K36" s="2"/>
      <c r="L36" s="7">
        <f t="shared" si="15"/>
        <v>388.70488923075936</v>
      </c>
      <c r="M36" s="2"/>
      <c r="N36" s="6">
        <f t="shared" si="16"/>
        <v>6.490015603588388E-2</v>
      </c>
      <c r="O36" s="11"/>
      <c r="P36" s="7">
        <v>78547.649999999994</v>
      </c>
      <c r="Q36" s="2"/>
      <c r="R36" s="6">
        <f t="shared" si="17"/>
        <v>5.2009367713628796E-2</v>
      </c>
      <c r="S36" s="2"/>
      <c r="T36" s="7">
        <v>71871.301329230904</v>
      </c>
      <c r="U36" s="2"/>
      <c r="V36" s="6">
        <f t="shared" si="18"/>
        <v>1.7280630807157207E-2</v>
      </c>
      <c r="W36" s="2"/>
      <c r="X36" s="7">
        <f t="shared" si="19"/>
        <v>6676.3486707690899</v>
      </c>
      <c r="Y36" s="2"/>
      <c r="Z36" s="6">
        <f t="shared" si="20"/>
        <v>9.289310959023557E-2</v>
      </c>
    </row>
    <row r="37" spans="1:26" s="24" customFormat="1" hidden="1" outlineLevel="2" x14ac:dyDescent="0.25">
      <c r="A37" s="25"/>
      <c r="B37" s="11" t="str">
        <f>CONCATENATE("          ", "6116", " - ", "EDUCATIONAL BENEFITS")</f>
        <v xml:space="preserve">          6116 - EDUCATIONAL BENEFITS</v>
      </c>
      <c r="C37" s="11"/>
      <c r="D37" s="7"/>
      <c r="E37" s="2"/>
      <c r="F37" s="6">
        <f t="shared" si="13"/>
        <v>0</v>
      </c>
      <c r="G37" s="2"/>
      <c r="H37" s="7">
        <v>0</v>
      </c>
      <c r="I37" s="2"/>
      <c r="J37" s="6">
        <f t="shared" si="14"/>
        <v>0</v>
      </c>
      <c r="K37" s="2"/>
      <c r="L37" s="7">
        <f t="shared" si="15"/>
        <v>0</v>
      </c>
      <c r="M37" s="2"/>
      <c r="N37" s="6">
        <f t="shared" si="16"/>
        <v>0</v>
      </c>
      <c r="O37" s="11"/>
      <c r="P37" s="7"/>
      <c r="Q37" s="2"/>
      <c r="R37" s="6">
        <f t="shared" si="17"/>
        <v>0</v>
      </c>
      <c r="S37" s="2"/>
      <c r="T37" s="7">
        <v>0</v>
      </c>
      <c r="U37" s="2"/>
      <c r="V37" s="6">
        <f t="shared" si="18"/>
        <v>0</v>
      </c>
      <c r="W37" s="2"/>
      <c r="X37" s="7">
        <f t="shared" si="19"/>
        <v>0</v>
      </c>
      <c r="Y37" s="2"/>
      <c r="Z37" s="6">
        <f t="shared" si="20"/>
        <v>0</v>
      </c>
    </row>
    <row r="38" spans="1:26" s="24" customFormat="1" hidden="1" outlineLevel="2" x14ac:dyDescent="0.25">
      <c r="A38" s="25"/>
      <c r="B38" s="11" t="str">
        <f>CONCATENATE("          ", "6117", " - ", "RETIREMENT STAFF HOURLY")</f>
        <v xml:space="preserve">          6117 - RETIREMENT STAFF HOURLY</v>
      </c>
      <c r="C38" s="11"/>
      <c r="D38" s="7">
        <v>1429.07</v>
      </c>
      <c r="E38" s="2"/>
      <c r="F38" s="6">
        <f t="shared" si="13"/>
        <v>1.272734316588954E-2</v>
      </c>
      <c r="G38" s="2"/>
      <c r="H38" s="7"/>
      <c r="I38" s="2"/>
      <c r="J38" s="6">
        <f t="shared" si="14"/>
        <v>0</v>
      </c>
      <c r="K38" s="2"/>
      <c r="L38" s="7">
        <f t="shared" si="15"/>
        <v>1429.07</v>
      </c>
      <c r="M38" s="2"/>
      <c r="N38" s="6">
        <f t="shared" si="16"/>
        <v>0</v>
      </c>
      <c r="O38" s="11"/>
      <c r="P38" s="7">
        <v>16831.96</v>
      </c>
      <c r="Q38" s="2"/>
      <c r="R38" s="6">
        <f t="shared" si="17"/>
        <v>1.1145076867113036E-2</v>
      </c>
      <c r="S38" s="2"/>
      <c r="T38" s="7"/>
      <c r="U38" s="2"/>
      <c r="V38" s="6">
        <f t="shared" si="18"/>
        <v>0</v>
      </c>
      <c r="W38" s="2"/>
      <c r="X38" s="7">
        <f t="shared" si="19"/>
        <v>16831.96</v>
      </c>
      <c r="Y38" s="2"/>
      <c r="Z38" s="6">
        <f t="shared" si="20"/>
        <v>0</v>
      </c>
    </row>
    <row r="39" spans="1:26" s="24" customFormat="1" hidden="1" outlineLevel="2" x14ac:dyDescent="0.25">
      <c r="A39" s="25"/>
      <c r="B39" s="11" t="str">
        <f>CONCATENATE("          ", "6118", " - ", "VACATION")</f>
        <v xml:space="preserve">          6118 - VACATION</v>
      </c>
      <c r="C39" s="11"/>
      <c r="D39" s="7">
        <v>8507.2000000000007</v>
      </c>
      <c r="E39" s="2"/>
      <c r="F39" s="6">
        <f t="shared" si="13"/>
        <v>7.5765395523561138E-2</v>
      </c>
      <c r="G39" s="2"/>
      <c r="H39" s="7">
        <v>8280.2399538461596</v>
      </c>
      <c r="I39" s="2"/>
      <c r="J39" s="6">
        <f t="shared" si="14"/>
        <v>2.7451099848314391E-2</v>
      </c>
      <c r="K39" s="2"/>
      <c r="L39" s="7">
        <f t="shared" si="15"/>
        <v>226.96004615384118</v>
      </c>
      <c r="M39" s="2"/>
      <c r="N39" s="6">
        <f t="shared" si="16"/>
        <v>2.7409839258150794E-2</v>
      </c>
      <c r="O39" s="11"/>
      <c r="P39" s="7">
        <v>102626.95</v>
      </c>
      <c r="Q39" s="2"/>
      <c r="R39" s="6">
        <f t="shared" si="17"/>
        <v>6.7953182302439311E-2</v>
      </c>
      <c r="S39" s="2"/>
      <c r="T39" s="7">
        <v>99250.609446153903</v>
      </c>
      <c r="U39" s="2"/>
      <c r="V39" s="6">
        <f t="shared" si="18"/>
        <v>2.3863671695155166E-2</v>
      </c>
      <c r="W39" s="2"/>
      <c r="X39" s="7">
        <f t="shared" si="19"/>
        <v>3376.3405538460938</v>
      </c>
      <c r="Y39" s="2"/>
      <c r="Z39" s="6">
        <f t="shared" si="20"/>
        <v>3.4018335733019843E-2</v>
      </c>
    </row>
    <row r="40" spans="1:26" s="24" customFormat="1" hidden="1" outlineLevel="2" x14ac:dyDescent="0.25">
      <c r="A40" s="25"/>
      <c r="B40" s="11" t="str">
        <f>CONCATENATE("          ", "6119", " - ", "SICK LEAVE")</f>
        <v xml:space="preserve">          6119 - SICK LEAVE</v>
      </c>
      <c r="C40" s="11"/>
      <c r="D40" s="7">
        <v>5325.16</v>
      </c>
      <c r="E40" s="2"/>
      <c r="F40" s="6">
        <f t="shared" si="13"/>
        <v>4.7426045423435065E-2</v>
      </c>
      <c r="G40" s="2"/>
      <c r="H40" s="7">
        <v>6100.1039065384603</v>
      </c>
      <c r="I40" s="2"/>
      <c r="J40" s="6">
        <f t="shared" si="14"/>
        <v>2.0223394775618495E-2</v>
      </c>
      <c r="K40" s="2"/>
      <c r="L40" s="7">
        <f t="shared" si="15"/>
        <v>-774.9439065384604</v>
      </c>
      <c r="M40" s="2"/>
      <c r="N40" s="6">
        <f t="shared" si="16"/>
        <v>-0.12703782073414005</v>
      </c>
      <c r="O40" s="11"/>
      <c r="P40" s="7">
        <v>66257.05</v>
      </c>
      <c r="Q40" s="2"/>
      <c r="R40" s="6">
        <f t="shared" si="17"/>
        <v>4.3871296939759358E-2</v>
      </c>
      <c r="S40" s="2"/>
      <c r="T40" s="7">
        <v>72835.704458461507</v>
      </c>
      <c r="U40" s="2"/>
      <c r="V40" s="6">
        <f t="shared" si="18"/>
        <v>1.7512510488160327E-2</v>
      </c>
      <c r="W40" s="2"/>
      <c r="X40" s="7">
        <f t="shared" si="19"/>
        <v>-6578.654458461504</v>
      </c>
      <c r="Y40" s="2"/>
      <c r="Z40" s="6">
        <f t="shared" si="20"/>
        <v>-9.0321834701459325E-2</v>
      </c>
    </row>
    <row r="41" spans="1:26" s="24" customFormat="1" hidden="1" outlineLevel="2" x14ac:dyDescent="0.25">
      <c r="A41" s="25"/>
      <c r="B41" s="11" t="str">
        <f>CONCATENATE("          ", "6156", " - ", "EMPLOYEE MEALS")</f>
        <v xml:space="preserve">          6156 - EMPLOYEE MEALS</v>
      </c>
      <c r="C41" s="11"/>
      <c r="D41" s="7">
        <v>2469.9699999999998</v>
      </c>
      <c r="E41" s="2"/>
      <c r="F41" s="6">
        <f t="shared" si="13"/>
        <v>2.1997631886088286E-2</v>
      </c>
      <c r="G41" s="2"/>
      <c r="H41" s="7">
        <v>4025</v>
      </c>
      <c r="I41" s="2"/>
      <c r="J41" s="6">
        <f t="shared" si="14"/>
        <v>1.3343897943216327E-2</v>
      </c>
      <c r="K41" s="2"/>
      <c r="L41" s="7">
        <f t="shared" si="15"/>
        <v>-1555.0300000000002</v>
      </c>
      <c r="M41" s="2"/>
      <c r="N41" s="6">
        <f t="shared" si="16"/>
        <v>-0.38634285714285721</v>
      </c>
      <c r="O41" s="11"/>
      <c r="P41" s="7">
        <v>30533.23</v>
      </c>
      <c r="Q41" s="2"/>
      <c r="R41" s="6">
        <f t="shared" si="17"/>
        <v>2.0217205563181104E-2</v>
      </c>
      <c r="S41" s="2"/>
      <c r="T41" s="7">
        <v>44275</v>
      </c>
      <c r="U41" s="2"/>
      <c r="V41" s="6">
        <f t="shared" si="18"/>
        <v>1.0645416387858143E-2</v>
      </c>
      <c r="W41" s="2"/>
      <c r="X41" s="7">
        <f t="shared" si="19"/>
        <v>-13741.77</v>
      </c>
      <c r="Y41" s="2"/>
      <c r="Z41" s="6">
        <f t="shared" si="20"/>
        <v>-0.31037312252964427</v>
      </c>
    </row>
    <row r="42" spans="1:26" s="27" customFormat="1" outlineLevel="1" collapsed="1" x14ac:dyDescent="0.25">
      <c r="A42" s="26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116472.43000000001</v>
      </c>
      <c r="E42" s="1"/>
      <c r="F42" s="5">
        <f t="shared" ref="F42:F52" si="21">IF(D$12=0,0,D42/D$12)</f>
        <v>1.0373071899732331</v>
      </c>
      <c r="G42" s="1"/>
      <c r="H42" s="1">
        <f>SUM(OSRRefH22_1x_0)</f>
        <v>174388.7674857692</v>
      </c>
      <c r="I42" s="1"/>
      <c r="J42" s="5">
        <f t="shared" ref="J42:J52" si="22">IF(H$12=0,0,H42/H$12)</f>
        <v>0.57814308466419528</v>
      </c>
      <c r="K42" s="1"/>
      <c r="L42" s="1">
        <f t="shared" ref="L42:L52" si="23">+D42-H42</f>
        <v>-57916.337485769196</v>
      </c>
      <c r="M42" s="1"/>
      <c r="N42" s="5">
        <f t="shared" ref="N42:N52" si="24">IF(H42=0,0,L42/H42)</f>
        <v>-0.33211048120112091</v>
      </c>
      <c r="O42" s="13"/>
      <c r="P42" s="1">
        <f>SUM(OSRRefP22_1x_0)</f>
        <v>1477621.1699999997</v>
      </c>
      <c r="Q42" s="1"/>
      <c r="R42" s="5">
        <f t="shared" ref="R42:R52" si="25">IF(P$12=0,0,P42/P$12)</f>
        <v>0.97838882222411994</v>
      </c>
      <c r="S42" s="1"/>
      <c r="T42" s="1">
        <f>SUM(OSRRefT22_1x_0)</f>
        <v>2081305.2182492299</v>
      </c>
      <c r="U42" s="1"/>
      <c r="V42" s="5">
        <f t="shared" ref="V42:V52" si="26">IF(T$12=0,0,T42/T$12)</f>
        <v>0.50042598935031102</v>
      </c>
      <c r="W42" s="1"/>
      <c r="X42" s="1">
        <f t="shared" ref="X42:X52" si="27">+P42-T42</f>
        <v>-603684.04824923025</v>
      </c>
      <c r="Y42" s="1"/>
      <c r="Z42" s="5">
        <f t="shared" ref="Z42:Z52" si="28">IF(T42=0,0,X42/T42)</f>
        <v>-0.29005070614152517</v>
      </c>
    </row>
    <row r="43" spans="1:26" s="24" customFormat="1" hidden="1" outlineLevel="2" x14ac:dyDescent="0.25">
      <c r="A43" s="25"/>
      <c r="B43" s="11" t="str">
        <f>CONCATENATE("          ", "6001", " - ", "ADMINISTRATIVE SALARIES")</f>
        <v xml:space="preserve">          6001 - ADMINISTRATIVE SALARIES</v>
      </c>
      <c r="C43" s="11"/>
      <c r="D43" s="7">
        <v>17261.5</v>
      </c>
      <c r="E43" s="2"/>
      <c r="F43" s="6">
        <f t="shared" si="21"/>
        <v>0.15373147155702821</v>
      </c>
      <c r="G43" s="2"/>
      <c r="H43" s="7">
        <v>9962.3076923076896</v>
      </c>
      <c r="I43" s="2"/>
      <c r="J43" s="6">
        <f t="shared" si="22"/>
        <v>3.3027581894428018E-2</v>
      </c>
      <c r="K43" s="2"/>
      <c r="L43" s="7">
        <f t="shared" si="23"/>
        <v>7299.1923076923104</v>
      </c>
      <c r="M43" s="2"/>
      <c r="N43" s="6">
        <f t="shared" si="24"/>
        <v>0.73268087406377935</v>
      </c>
      <c r="O43" s="11"/>
      <c r="P43" s="7">
        <v>219481.99</v>
      </c>
      <c r="Q43" s="2"/>
      <c r="R43" s="6">
        <f t="shared" si="25"/>
        <v>0.14532732073370747</v>
      </c>
      <c r="S43" s="2"/>
      <c r="T43" s="7">
        <v>119547.69230769201</v>
      </c>
      <c r="U43" s="2"/>
      <c r="V43" s="6">
        <f t="shared" si="26"/>
        <v>2.8743872678101124E-2</v>
      </c>
      <c r="W43" s="2"/>
      <c r="X43" s="7">
        <f t="shared" si="27"/>
        <v>99934.297692307984</v>
      </c>
      <c r="Y43" s="2"/>
      <c r="Z43" s="6">
        <f t="shared" si="28"/>
        <v>0.83593665225336977</v>
      </c>
    </row>
    <row r="44" spans="1:26" s="24" customFormat="1" hidden="1" outlineLevel="2" x14ac:dyDescent="0.25">
      <c r="A44" s="25"/>
      <c r="B44" s="11" t="str">
        <f>CONCATENATE("          ", "6002", " - ", "STAFF SALARIES")</f>
        <v xml:space="preserve">          6002 - STAFF SALARIES</v>
      </c>
      <c r="C44" s="11"/>
      <c r="D44" s="7">
        <v>41127.51</v>
      </c>
      <c r="E44" s="2"/>
      <c r="F44" s="6">
        <f t="shared" si="21"/>
        <v>0.3662829205907015</v>
      </c>
      <c r="G44" s="2"/>
      <c r="H44" s="7">
        <v>52827.443538461499</v>
      </c>
      <c r="I44" s="2"/>
      <c r="J44" s="6">
        <f t="shared" si="22"/>
        <v>0.1751364012865225</v>
      </c>
      <c r="K44" s="2"/>
      <c r="L44" s="7">
        <f t="shared" si="23"/>
        <v>-11699.933538461497</v>
      </c>
      <c r="M44" s="2"/>
      <c r="N44" s="6">
        <f t="shared" si="24"/>
        <v>-0.22147453586208946</v>
      </c>
      <c r="O44" s="11"/>
      <c r="P44" s="7">
        <v>481343.44</v>
      </c>
      <c r="Q44" s="2"/>
      <c r="R44" s="6">
        <f t="shared" si="25"/>
        <v>0.3187156836328397</v>
      </c>
      <c r="S44" s="2"/>
      <c r="T44" s="7">
        <v>633929.32246153802</v>
      </c>
      <c r="U44" s="2"/>
      <c r="V44" s="6">
        <f t="shared" si="26"/>
        <v>0.15242104117619121</v>
      </c>
      <c r="W44" s="2"/>
      <c r="X44" s="7">
        <f t="shared" si="27"/>
        <v>-152585.88246153801</v>
      </c>
      <c r="Y44" s="2"/>
      <c r="Z44" s="6">
        <f t="shared" si="28"/>
        <v>-0.24069857167838415</v>
      </c>
    </row>
    <row r="45" spans="1:26" s="24" customFormat="1" hidden="1" outlineLevel="2" x14ac:dyDescent="0.25">
      <c r="A45" s="25"/>
      <c r="B45" s="11" t="str">
        <f>CONCATENATE("          ", "6003", " - ", "STAFF HOURLY-9 MONTH")</f>
        <v xml:space="preserve">          6003 - STAFF HOURLY-9 MONTH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4" customFormat="1" hidden="1" outlineLevel="2" x14ac:dyDescent="0.25">
      <c r="A46" s="25"/>
      <c r="B46" s="11" t="str">
        <f>CONCATENATE("          ", "6004", " - ", "STAFF HOURLY")</f>
        <v xml:space="preserve">          6004 - STAFF HOURLY</v>
      </c>
      <c r="C46" s="11"/>
      <c r="D46" s="7">
        <v>45128.18</v>
      </c>
      <c r="E46" s="2"/>
      <c r="F46" s="6">
        <f t="shared" si="21"/>
        <v>0.40191301567595228</v>
      </c>
      <c r="G46" s="2"/>
      <c r="H46" s="7">
        <v>74840.849919999993</v>
      </c>
      <c r="I46" s="2"/>
      <c r="J46" s="6">
        <f t="shared" si="22"/>
        <v>0.24811643809094402</v>
      </c>
      <c r="K46" s="2"/>
      <c r="L46" s="7">
        <f t="shared" si="23"/>
        <v>-29712.669919999993</v>
      </c>
      <c r="M46" s="2"/>
      <c r="N46" s="6">
        <f t="shared" si="24"/>
        <v>-0.39701139086155363</v>
      </c>
      <c r="O46" s="11"/>
      <c r="P46" s="7">
        <v>536155.69999999995</v>
      </c>
      <c r="Q46" s="2"/>
      <c r="R46" s="6">
        <f t="shared" si="25"/>
        <v>0.35500895256647458</v>
      </c>
      <c r="S46" s="2"/>
      <c r="T46" s="7">
        <v>867109.33903999999</v>
      </c>
      <c r="U46" s="2"/>
      <c r="V46" s="6">
        <f t="shared" si="26"/>
        <v>0.20848650407411085</v>
      </c>
      <c r="W46" s="2"/>
      <c r="X46" s="7">
        <f t="shared" si="27"/>
        <v>-330953.63904000004</v>
      </c>
      <c r="Y46" s="2"/>
      <c r="Z46" s="6">
        <f t="shared" si="28"/>
        <v>-0.38167463333563872</v>
      </c>
    </row>
    <row r="47" spans="1:26" s="24" customFormat="1" hidden="1" outlineLevel="2" x14ac:dyDescent="0.25">
      <c r="A47" s="25"/>
      <c r="B47" s="11" t="str">
        <f>CONCATENATE("          ", "6005", " - ", "TEMPORARY WAGES-HOURLY")</f>
        <v xml:space="preserve">          6005 - TEMPORARY WAGES-HOURLY</v>
      </c>
      <c r="C47" s="11"/>
      <c r="D47" s="7">
        <v>7133.27</v>
      </c>
      <c r="E47" s="2"/>
      <c r="F47" s="6">
        <f t="shared" si="21"/>
        <v>6.352913096275542E-2</v>
      </c>
      <c r="G47" s="2"/>
      <c r="H47" s="7">
        <v>9828.7340349999995</v>
      </c>
      <c r="I47" s="2"/>
      <c r="J47" s="6">
        <f t="shared" si="22"/>
        <v>3.2584751273057593E-2</v>
      </c>
      <c r="K47" s="2"/>
      <c r="L47" s="7">
        <f t="shared" si="23"/>
        <v>-2695.4640349999991</v>
      </c>
      <c r="M47" s="2"/>
      <c r="N47" s="6">
        <f t="shared" si="24"/>
        <v>-0.27424325710732278</v>
      </c>
      <c r="O47" s="11"/>
      <c r="P47" s="7">
        <v>110398.39</v>
      </c>
      <c r="Q47" s="2"/>
      <c r="R47" s="6">
        <f t="shared" si="25"/>
        <v>7.3098946442097246E-2</v>
      </c>
      <c r="S47" s="2"/>
      <c r="T47" s="7">
        <v>122160.20144</v>
      </c>
      <c r="U47" s="2"/>
      <c r="V47" s="6">
        <f t="shared" si="26"/>
        <v>2.9372020561342246E-2</v>
      </c>
      <c r="W47" s="2"/>
      <c r="X47" s="7">
        <f t="shared" si="27"/>
        <v>-11761.811440000005</v>
      </c>
      <c r="Y47" s="2"/>
      <c r="Z47" s="6">
        <f t="shared" si="28"/>
        <v>-9.6281860224149321E-2</v>
      </c>
    </row>
    <row r="48" spans="1:26" s="24" customFormat="1" hidden="1" outlineLevel="2" x14ac:dyDescent="0.25">
      <c r="A48" s="25"/>
      <c r="B48" s="11" t="str">
        <f>CONCATENATE("          ", "6006", " - ", "TEMPORARY PART TIME")</f>
        <v xml:space="preserve">          6006 - TEMPORARY PART TIME</v>
      </c>
      <c r="C48" s="11"/>
      <c r="D48" s="7">
        <v>252.7</v>
      </c>
      <c r="E48" s="2"/>
      <c r="F48" s="6">
        <f t="shared" si="21"/>
        <v>2.2505542891672814E-3</v>
      </c>
      <c r="G48" s="2"/>
      <c r="H48" s="7">
        <v>0</v>
      </c>
      <c r="I48" s="2"/>
      <c r="J48" s="6">
        <f t="shared" si="22"/>
        <v>0</v>
      </c>
      <c r="K48" s="2"/>
      <c r="L48" s="7">
        <f t="shared" si="23"/>
        <v>252.7</v>
      </c>
      <c r="M48" s="2"/>
      <c r="N48" s="6">
        <f t="shared" si="24"/>
        <v>0</v>
      </c>
      <c r="O48" s="11"/>
      <c r="P48" s="7">
        <v>2427.2199999999998</v>
      </c>
      <c r="Q48" s="2"/>
      <c r="R48" s="6">
        <f t="shared" si="25"/>
        <v>1.6071540969319143E-3</v>
      </c>
      <c r="S48" s="2"/>
      <c r="T48" s="7">
        <v>0</v>
      </c>
      <c r="U48" s="2"/>
      <c r="V48" s="6">
        <f t="shared" si="26"/>
        <v>0</v>
      </c>
      <c r="W48" s="2"/>
      <c r="X48" s="7">
        <f t="shared" si="27"/>
        <v>2427.2199999999998</v>
      </c>
      <c r="Y48" s="2"/>
      <c r="Z48" s="6">
        <f t="shared" si="28"/>
        <v>0</v>
      </c>
    </row>
    <row r="49" spans="1:26" s="24" customFormat="1" hidden="1" outlineLevel="2" x14ac:dyDescent="0.25">
      <c r="A49" s="25"/>
      <c r="B49" s="11" t="str">
        <f>CONCATENATE("          ", "6007", " - ", "STUDENT HOURLY")</f>
        <v xml:space="preserve">          6007 - STUDENT HOURLY</v>
      </c>
      <c r="C49" s="11"/>
      <c r="D49" s="7">
        <v>5569.27</v>
      </c>
      <c r="E49" s="2"/>
      <c r="F49" s="6">
        <f t="shared" si="21"/>
        <v>4.9600096897628287E-2</v>
      </c>
      <c r="G49" s="2"/>
      <c r="H49" s="7">
        <v>1007.7912</v>
      </c>
      <c r="I49" s="2"/>
      <c r="J49" s="6">
        <f t="shared" si="22"/>
        <v>3.3410839554960286E-3</v>
      </c>
      <c r="K49" s="2"/>
      <c r="L49" s="7">
        <f t="shared" si="23"/>
        <v>4561.4788000000008</v>
      </c>
      <c r="M49" s="2"/>
      <c r="N49" s="6">
        <f t="shared" si="24"/>
        <v>4.5262141602347796</v>
      </c>
      <c r="O49" s="11"/>
      <c r="P49" s="7">
        <v>117183.55</v>
      </c>
      <c r="Q49" s="2"/>
      <c r="R49" s="6">
        <f t="shared" si="25"/>
        <v>7.7591657318053509E-2</v>
      </c>
      <c r="S49" s="2"/>
      <c r="T49" s="7">
        <v>17314.461200000002</v>
      </c>
      <c r="U49" s="2"/>
      <c r="V49" s="6">
        <f t="shared" si="26"/>
        <v>4.1630637832956287E-3</v>
      </c>
      <c r="W49" s="2"/>
      <c r="X49" s="7">
        <f t="shared" si="27"/>
        <v>99869.088799999998</v>
      </c>
      <c r="Y49" s="2"/>
      <c r="Z49" s="6">
        <f t="shared" si="28"/>
        <v>5.7679582198029928</v>
      </c>
    </row>
    <row r="50" spans="1:26" s="24" customFormat="1" hidden="1" outlineLevel="2" x14ac:dyDescent="0.25">
      <c r="A50" s="25"/>
      <c r="B50" s="11" t="str">
        <f>CONCATENATE("          ", "6008", " - ", "STUDENT HOURLY-FICA EXEMPT")</f>
        <v xml:space="preserve">          6008 - STUDENT HOURLY-FICA EXEMPT</v>
      </c>
      <c r="C50" s="11"/>
      <c r="D50" s="7"/>
      <c r="E50" s="2"/>
      <c r="F50" s="6">
        <f t="shared" si="21"/>
        <v>0</v>
      </c>
      <c r="G50" s="2"/>
      <c r="H50" s="7">
        <v>25921.641100000001</v>
      </c>
      <c r="I50" s="2"/>
      <c r="J50" s="6">
        <f t="shared" si="22"/>
        <v>8.5936828163747037E-2</v>
      </c>
      <c r="K50" s="2"/>
      <c r="L50" s="7">
        <f t="shared" si="23"/>
        <v>-25921.641100000001</v>
      </c>
      <c r="M50" s="2"/>
      <c r="N50" s="6">
        <f t="shared" si="24"/>
        <v>-1</v>
      </c>
      <c r="O50" s="11"/>
      <c r="P50" s="7">
        <v>10630.88</v>
      </c>
      <c r="Q50" s="2"/>
      <c r="R50" s="6">
        <f t="shared" si="25"/>
        <v>7.0391074340156847E-3</v>
      </c>
      <c r="S50" s="2"/>
      <c r="T50" s="7">
        <v>321244.20179999998</v>
      </c>
      <c r="U50" s="2"/>
      <c r="V50" s="6">
        <f t="shared" si="26"/>
        <v>7.7239487077269964E-2</v>
      </c>
      <c r="W50" s="2"/>
      <c r="X50" s="7">
        <f t="shared" si="27"/>
        <v>-310613.32179999998</v>
      </c>
      <c r="Y50" s="2"/>
      <c r="Z50" s="6">
        <f t="shared" si="28"/>
        <v>-0.96690716924871201</v>
      </c>
    </row>
    <row r="51" spans="1:26" s="24" customFormat="1" hidden="1" outlineLevel="2" x14ac:dyDescent="0.25">
      <c r="A51" s="25"/>
      <c r="B51" s="11" t="str">
        <f>CONCATENATE("          ", "6009", " - ", "TEMPORARY-SEASONAL")</f>
        <v xml:space="preserve">          6009 - TEMPORARY-SEASONAL</v>
      </c>
      <c r="C51" s="11"/>
      <c r="D51" s="7"/>
      <c r="E51" s="2"/>
      <c r="F51" s="6">
        <f t="shared" si="21"/>
        <v>0</v>
      </c>
      <c r="G51" s="2"/>
      <c r="H51" s="7">
        <v>0</v>
      </c>
      <c r="I51" s="2"/>
      <c r="J51" s="6">
        <f t="shared" si="22"/>
        <v>0</v>
      </c>
      <c r="K51" s="2"/>
      <c r="L51" s="7">
        <f t="shared" si="23"/>
        <v>0</v>
      </c>
      <c r="M51" s="2"/>
      <c r="N51" s="6">
        <f t="shared" si="24"/>
        <v>0</v>
      </c>
      <c r="O51" s="11"/>
      <c r="P51" s="7"/>
      <c r="Q51" s="2"/>
      <c r="R51" s="6">
        <f t="shared" si="25"/>
        <v>0</v>
      </c>
      <c r="S51" s="2"/>
      <c r="T51" s="7">
        <v>0</v>
      </c>
      <c r="U51" s="2"/>
      <c r="V51" s="6">
        <f t="shared" si="26"/>
        <v>0</v>
      </c>
      <c r="W51" s="2"/>
      <c r="X51" s="7">
        <f t="shared" si="27"/>
        <v>0</v>
      </c>
      <c r="Y51" s="2"/>
      <c r="Z51" s="6">
        <f t="shared" si="28"/>
        <v>0</v>
      </c>
    </row>
    <row r="52" spans="1:26" s="24" customFormat="1" hidden="1" outlineLevel="2" x14ac:dyDescent="0.25">
      <c r="A52" s="25"/>
      <c r="B52" s="11" t="str">
        <f>CONCATENATE("          ", "6010", " - ", "GRATUITY")</f>
        <v xml:space="preserve">          6010 - GRATUITY</v>
      </c>
      <c r="C52" s="11"/>
      <c r="D52" s="7"/>
      <c r="E52" s="2"/>
      <c r="F52" s="6">
        <f t="shared" si="21"/>
        <v>0</v>
      </c>
      <c r="G52" s="2"/>
      <c r="H52" s="7">
        <v>0</v>
      </c>
      <c r="I52" s="2"/>
      <c r="J52" s="6">
        <f t="shared" si="22"/>
        <v>0</v>
      </c>
      <c r="K52" s="2"/>
      <c r="L52" s="7">
        <f t="shared" si="23"/>
        <v>0</v>
      </c>
      <c r="M52" s="2"/>
      <c r="N52" s="6">
        <f t="shared" si="24"/>
        <v>0</v>
      </c>
      <c r="O52" s="11"/>
      <c r="P52" s="7"/>
      <c r="Q52" s="2"/>
      <c r="R52" s="6">
        <f t="shared" si="25"/>
        <v>0</v>
      </c>
      <c r="S52" s="2"/>
      <c r="T52" s="7">
        <v>0</v>
      </c>
      <c r="U52" s="2"/>
      <c r="V52" s="6">
        <f t="shared" si="26"/>
        <v>0</v>
      </c>
      <c r="W52" s="2"/>
      <c r="X52" s="7">
        <f t="shared" si="27"/>
        <v>0</v>
      </c>
      <c r="Y52" s="2"/>
      <c r="Z52" s="6">
        <f t="shared" si="28"/>
        <v>0</v>
      </c>
    </row>
    <row r="53" spans="1:26" s="27" customFormat="1" outlineLevel="1" collapsed="1" x14ac:dyDescent="0.25">
      <c r="A53" s="26"/>
      <c r="B53" s="13" t="str">
        <f>CONCATENATE("     ","Advertising/Promo                                 ")</f>
        <v xml:space="preserve">     Advertising/Promo                                 </v>
      </c>
      <c r="C53" s="13"/>
      <c r="D53" s="1">
        <f>SUM(OSRRefD22_2x_0)</f>
        <v>6.3</v>
      </c>
      <c r="E53" s="1"/>
      <c r="F53" s="5">
        <f t="shared" ref="F53:F62" si="29">IF(D$12=0,0,D53/D$12)</f>
        <v>5.6108001668990398E-5</v>
      </c>
      <c r="G53" s="1"/>
      <c r="H53" s="1">
        <f>SUM(OSRRefH22_2x_0)</f>
        <v>1469</v>
      </c>
      <c r="I53" s="1"/>
      <c r="J53" s="5">
        <f t="shared" ref="J53:J62" si="30">IF(H$12=0,0,H53/H$12)</f>
        <v>4.8701083425055367E-3</v>
      </c>
      <c r="K53" s="1"/>
      <c r="L53" s="1">
        <f t="shared" ref="L53:L62" si="31">+D53-H53</f>
        <v>-1462.7</v>
      </c>
      <c r="M53" s="1"/>
      <c r="N53" s="5">
        <f t="shared" ref="N53:N62" si="32">IF(H53=0,0,L53/H53)</f>
        <v>-0.99571136827773998</v>
      </c>
      <c r="O53" s="13"/>
      <c r="P53" s="1">
        <f>SUM(OSRRefP22_2x_0)</f>
        <v>2015.38</v>
      </c>
      <c r="Q53" s="1"/>
      <c r="R53" s="5">
        <f t="shared" ref="R53:R62" si="33">IF(P$12=0,0,P53/P$12)</f>
        <v>1.3344592677526725E-3</v>
      </c>
      <c r="S53" s="1"/>
      <c r="T53" s="1">
        <f>SUM(OSRRefT22_2x_0)</f>
        <v>19138</v>
      </c>
      <c r="U53" s="1"/>
      <c r="V53" s="5">
        <f t="shared" ref="V53:V62" si="34">IF(T$12=0,0,T53/T$12)</f>
        <v>4.6015127912101437E-3</v>
      </c>
      <c r="W53" s="1"/>
      <c r="X53" s="1">
        <f t="shared" ref="X53:X62" si="35">+P53-T53</f>
        <v>-17122.62</v>
      </c>
      <c r="Y53" s="1"/>
      <c r="Z53" s="5">
        <f t="shared" ref="Z53:Z62" si="36">IF(T53=0,0,X53/T53)</f>
        <v>-0.89469223534329601</v>
      </c>
    </row>
    <row r="54" spans="1:26" s="24" customFormat="1" hidden="1" outlineLevel="2" x14ac:dyDescent="0.25">
      <c r="A54" s="25"/>
      <c r="B54" s="11" t="str">
        <f>CONCATENATE("          ", "6362", " - ", "ADVERTISING EXPENSE")</f>
        <v xml:space="preserve">          6362 - ADVERTISING EXPENSE</v>
      </c>
      <c r="C54" s="11"/>
      <c r="D54" s="7">
        <v>6.3</v>
      </c>
      <c r="E54" s="2"/>
      <c r="F54" s="6">
        <f t="shared" si="29"/>
        <v>5.6108001668990398E-5</v>
      </c>
      <c r="G54" s="2"/>
      <c r="H54" s="7">
        <v>1469</v>
      </c>
      <c r="I54" s="2"/>
      <c r="J54" s="6">
        <f t="shared" si="30"/>
        <v>4.8701083425055367E-3</v>
      </c>
      <c r="K54" s="2"/>
      <c r="L54" s="7">
        <f t="shared" si="31"/>
        <v>-1462.7</v>
      </c>
      <c r="M54" s="2"/>
      <c r="N54" s="6">
        <f t="shared" si="32"/>
        <v>-0.99571136827773998</v>
      </c>
      <c r="O54" s="11"/>
      <c r="P54" s="7">
        <v>2015.38</v>
      </c>
      <c r="Q54" s="2"/>
      <c r="R54" s="6">
        <f t="shared" si="33"/>
        <v>1.3344592677526725E-3</v>
      </c>
      <c r="S54" s="2"/>
      <c r="T54" s="7">
        <v>19138</v>
      </c>
      <c r="U54" s="2"/>
      <c r="V54" s="6">
        <f t="shared" si="34"/>
        <v>4.6015127912101437E-3</v>
      </c>
      <c r="W54" s="2"/>
      <c r="X54" s="7">
        <f t="shared" si="35"/>
        <v>-17122.62</v>
      </c>
      <c r="Y54" s="2"/>
      <c r="Z54" s="6">
        <f t="shared" si="36"/>
        <v>-0.89469223534329601</v>
      </c>
    </row>
    <row r="55" spans="1:26" s="27" customFormat="1" outlineLevel="1" collapsed="1" x14ac:dyDescent="0.25">
      <c r="A55" s="26"/>
      <c r="B55" s="13" t="str">
        <f>CONCATENATE("     ","Bad Debts/Over/Short                              ")</f>
        <v xml:space="preserve">     Bad Debts/Over/Short                              </v>
      </c>
      <c r="C55" s="13"/>
      <c r="D55" s="1">
        <f>SUM(OSRRefD22_3x_0)</f>
        <v>7.22</v>
      </c>
      <c r="E55" s="1"/>
      <c r="F55" s="5">
        <f t="shared" si="29"/>
        <v>6.4301551119065186E-5</v>
      </c>
      <c r="G55" s="1"/>
      <c r="H55" s="1">
        <f>SUM(OSRRefH22_3x_0)</f>
        <v>36</v>
      </c>
      <c r="I55" s="1"/>
      <c r="J55" s="5">
        <f t="shared" si="30"/>
        <v>1.1934914930578578E-4</v>
      </c>
      <c r="K55" s="1"/>
      <c r="L55" s="1">
        <f t="shared" si="31"/>
        <v>-28.78</v>
      </c>
      <c r="M55" s="1"/>
      <c r="N55" s="5">
        <f t="shared" si="32"/>
        <v>-0.79944444444444451</v>
      </c>
      <c r="O55" s="13"/>
      <c r="P55" s="1">
        <f>SUM(OSRRefP22_3x_0)</f>
        <v>69.739999999999995</v>
      </c>
      <c r="Q55" s="1"/>
      <c r="R55" s="5">
        <f t="shared" si="33"/>
        <v>4.6177489770202823E-5</v>
      </c>
      <c r="S55" s="1"/>
      <c r="T55" s="1">
        <f>SUM(OSRRefT22_3x_0)</f>
        <v>410</v>
      </c>
      <c r="U55" s="1"/>
      <c r="V55" s="5">
        <f t="shared" si="34"/>
        <v>9.8579801671865345E-5</v>
      </c>
      <c r="W55" s="1"/>
      <c r="X55" s="1">
        <f t="shared" si="35"/>
        <v>-340.26</v>
      </c>
      <c r="Y55" s="1"/>
      <c r="Z55" s="5">
        <f t="shared" si="36"/>
        <v>-0.8299024390243902</v>
      </c>
    </row>
    <row r="56" spans="1:26" s="24" customFormat="1" hidden="1" outlineLevel="2" x14ac:dyDescent="0.25">
      <c r="A56" s="25"/>
      <c r="B56" s="11" t="str">
        <f>CONCATENATE("          ", "6272", " - ", "CASH (OVER/SHORT)")</f>
        <v xml:space="preserve">          6272 - CASH (OVER/SHORT)</v>
      </c>
      <c r="C56" s="11"/>
      <c r="D56" s="7">
        <v>7.22</v>
      </c>
      <c r="E56" s="2"/>
      <c r="F56" s="6">
        <f t="shared" si="29"/>
        <v>6.4301551119065186E-5</v>
      </c>
      <c r="G56" s="2"/>
      <c r="H56" s="7">
        <v>36</v>
      </c>
      <c r="I56" s="2"/>
      <c r="J56" s="6">
        <f t="shared" si="30"/>
        <v>1.1934914930578578E-4</v>
      </c>
      <c r="K56" s="2"/>
      <c r="L56" s="7">
        <f t="shared" si="31"/>
        <v>-28.78</v>
      </c>
      <c r="M56" s="2"/>
      <c r="N56" s="6">
        <f t="shared" si="32"/>
        <v>-0.79944444444444451</v>
      </c>
      <c r="O56" s="11"/>
      <c r="P56" s="7">
        <v>69.739999999999995</v>
      </c>
      <c r="Q56" s="2"/>
      <c r="R56" s="6">
        <f t="shared" si="33"/>
        <v>4.6177489770202823E-5</v>
      </c>
      <c r="S56" s="2"/>
      <c r="T56" s="7">
        <v>410</v>
      </c>
      <c r="U56" s="2"/>
      <c r="V56" s="6">
        <f t="shared" si="34"/>
        <v>9.8579801671865345E-5</v>
      </c>
      <c r="W56" s="2"/>
      <c r="X56" s="7">
        <f t="shared" si="35"/>
        <v>-340.26</v>
      </c>
      <c r="Y56" s="2"/>
      <c r="Z56" s="6">
        <f t="shared" si="36"/>
        <v>-0.8299024390243902</v>
      </c>
    </row>
    <row r="57" spans="1:26" s="27" customFormat="1" outlineLevel="1" collapsed="1" x14ac:dyDescent="0.25">
      <c r="A57" s="26"/>
      <c r="B57" s="13" t="str">
        <f>CONCATENATE("     ","Bank/card Fees                                    ")</f>
        <v xml:space="preserve">     Bank/card Fees                                    </v>
      </c>
      <c r="C57" s="13"/>
      <c r="D57" s="1">
        <f>SUM(OSRRefD22_4x_0)</f>
        <v>772.27</v>
      </c>
      <c r="E57" s="1"/>
      <c r="F57" s="5">
        <f t="shared" si="29"/>
        <v>6.8778613410970186E-3</v>
      </c>
      <c r="G57" s="1"/>
      <c r="H57" s="1">
        <f>SUM(OSRRefH22_4x_0)</f>
        <v>1385</v>
      </c>
      <c r="I57" s="1"/>
      <c r="J57" s="5">
        <f t="shared" si="30"/>
        <v>4.5916269941253694E-3</v>
      </c>
      <c r="K57" s="1"/>
      <c r="L57" s="1">
        <f t="shared" si="31"/>
        <v>-612.73</v>
      </c>
      <c r="M57" s="1"/>
      <c r="N57" s="5">
        <f t="shared" si="32"/>
        <v>-0.44240433212996394</v>
      </c>
      <c r="O57" s="13"/>
      <c r="P57" s="1">
        <f>SUM(OSRRefP22_4x_0)</f>
        <v>7441.66</v>
      </c>
      <c r="Q57" s="1"/>
      <c r="R57" s="5">
        <f t="shared" si="33"/>
        <v>4.9274043378739257E-3</v>
      </c>
      <c r="S57" s="1"/>
      <c r="T57" s="1">
        <f>SUM(OSRRefT22_4x_0)</f>
        <v>31708</v>
      </c>
      <c r="U57" s="1"/>
      <c r="V57" s="5">
        <f t="shared" si="34"/>
        <v>7.6238252473451382E-3</v>
      </c>
      <c r="W57" s="1"/>
      <c r="X57" s="1">
        <f t="shared" si="35"/>
        <v>-24266.34</v>
      </c>
      <c r="Y57" s="1"/>
      <c r="Z57" s="5">
        <f t="shared" si="36"/>
        <v>-0.76530654724359781</v>
      </c>
    </row>
    <row r="58" spans="1:26" s="24" customFormat="1" hidden="1" outlineLevel="2" x14ac:dyDescent="0.25">
      <c r="A58" s="25"/>
      <c r="B58" s="11" t="str">
        <f>CONCATENATE("          ", "6381", " - ", "BANK/CREDIT CARD FEES")</f>
        <v xml:space="preserve">          6381 - BANK/CREDIT CARD FEES</v>
      </c>
      <c r="C58" s="11"/>
      <c r="D58" s="7">
        <v>772.27</v>
      </c>
      <c r="E58" s="2"/>
      <c r="F58" s="6">
        <f t="shared" si="29"/>
        <v>6.8778613410970186E-3</v>
      </c>
      <c r="G58" s="2"/>
      <c r="H58" s="7">
        <v>1385</v>
      </c>
      <c r="I58" s="2"/>
      <c r="J58" s="6">
        <f t="shared" si="30"/>
        <v>4.5916269941253694E-3</v>
      </c>
      <c r="K58" s="2"/>
      <c r="L58" s="7">
        <f t="shared" si="31"/>
        <v>-612.73</v>
      </c>
      <c r="M58" s="2"/>
      <c r="N58" s="6">
        <f t="shared" si="32"/>
        <v>-0.44240433212996394</v>
      </c>
      <c r="O58" s="11"/>
      <c r="P58" s="7">
        <v>7441.66</v>
      </c>
      <c r="Q58" s="2"/>
      <c r="R58" s="6">
        <f t="shared" si="33"/>
        <v>4.9274043378739257E-3</v>
      </c>
      <c r="S58" s="2"/>
      <c r="T58" s="7">
        <v>31708</v>
      </c>
      <c r="U58" s="2"/>
      <c r="V58" s="6">
        <f t="shared" si="34"/>
        <v>7.6238252473451382E-3</v>
      </c>
      <c r="W58" s="2"/>
      <c r="X58" s="7">
        <f t="shared" si="35"/>
        <v>-24266.34</v>
      </c>
      <c r="Y58" s="2"/>
      <c r="Z58" s="6">
        <f t="shared" si="36"/>
        <v>-0.76530654724359781</v>
      </c>
    </row>
    <row r="59" spans="1:26" s="27" customFormat="1" outlineLevel="1" collapsed="1" x14ac:dyDescent="0.25">
      <c r="A59" s="26"/>
      <c r="B59" s="13" t="str">
        <f>CONCATENATE("     ","Depreciation                                      ")</f>
        <v xml:space="preserve">     Depreciation                                      </v>
      </c>
      <c r="C59" s="13"/>
      <c r="D59" s="1">
        <f>SUM(OSRRefD22_5x_0)</f>
        <v>37479.230000000003</v>
      </c>
      <c r="E59" s="1"/>
      <c r="F59" s="5">
        <f t="shared" si="29"/>
        <v>0.33379122212578971</v>
      </c>
      <c r="G59" s="1"/>
      <c r="H59" s="1">
        <f>SUM(OSRRefH22_5x_0)</f>
        <v>37930</v>
      </c>
      <c r="I59" s="1"/>
      <c r="J59" s="5">
        <f t="shared" si="30"/>
        <v>0.12574758981023484</v>
      </c>
      <c r="K59" s="1"/>
      <c r="L59" s="1">
        <f t="shared" si="31"/>
        <v>-450.7699999999968</v>
      </c>
      <c r="M59" s="1"/>
      <c r="N59" s="5">
        <f t="shared" si="32"/>
        <v>-1.1884260479831184E-2</v>
      </c>
      <c r="O59" s="13"/>
      <c r="P59" s="1">
        <f>SUM(OSRRefP22_5x_0)</f>
        <v>414566.91</v>
      </c>
      <c r="Q59" s="1"/>
      <c r="R59" s="5">
        <f t="shared" si="33"/>
        <v>0.2745004193517292</v>
      </c>
      <c r="S59" s="1"/>
      <c r="T59" s="1">
        <f>SUM(OSRRefT22_5x_0)</f>
        <v>419834</v>
      </c>
      <c r="U59" s="1"/>
      <c r="V59" s="5">
        <f t="shared" si="34"/>
        <v>0.10094427428074614</v>
      </c>
      <c r="W59" s="1"/>
      <c r="X59" s="1">
        <f t="shared" si="35"/>
        <v>-5267.0900000000256</v>
      </c>
      <c r="Y59" s="1"/>
      <c r="Z59" s="5">
        <f t="shared" si="36"/>
        <v>-1.254564899460269E-2</v>
      </c>
    </row>
    <row r="60" spans="1:26" s="24" customFormat="1" hidden="1" outlineLevel="2" x14ac:dyDescent="0.25">
      <c r="A60" s="25"/>
      <c r="B60" s="11" t="str">
        <f>CONCATENATE("          ", "6321", " - ", "BUILDING DEPRECIATION")</f>
        <v xml:space="preserve">          6321 - BUILDING DEPRECIATION</v>
      </c>
      <c r="C60" s="11"/>
      <c r="D60" s="7">
        <v>23583.49</v>
      </c>
      <c r="E60" s="2"/>
      <c r="F60" s="6">
        <f t="shared" si="29"/>
        <v>0.21003531686993945</v>
      </c>
      <c r="G60" s="2"/>
      <c r="H60" s="7"/>
      <c r="I60" s="2"/>
      <c r="J60" s="6">
        <f t="shared" si="30"/>
        <v>0</v>
      </c>
      <c r="K60" s="2"/>
      <c r="L60" s="7">
        <f t="shared" si="31"/>
        <v>23583.49</v>
      </c>
      <c r="M60" s="2"/>
      <c r="N60" s="6">
        <f t="shared" si="32"/>
        <v>0</v>
      </c>
      <c r="O60" s="11"/>
      <c r="P60" s="7">
        <v>260202.58</v>
      </c>
      <c r="Q60" s="2"/>
      <c r="R60" s="6">
        <f t="shared" si="33"/>
        <v>0.17228996237640354</v>
      </c>
      <c r="S60" s="2"/>
      <c r="T60" s="7"/>
      <c r="U60" s="2"/>
      <c r="V60" s="6">
        <f t="shared" si="34"/>
        <v>0</v>
      </c>
      <c r="W60" s="2"/>
      <c r="X60" s="7">
        <f t="shared" si="35"/>
        <v>260202.58</v>
      </c>
      <c r="Y60" s="2"/>
      <c r="Z60" s="6">
        <f t="shared" si="36"/>
        <v>0</v>
      </c>
    </row>
    <row r="61" spans="1:26" s="24" customFormat="1" hidden="1" outlineLevel="2" x14ac:dyDescent="0.25">
      <c r="A61" s="25"/>
      <c r="B61" s="11" t="str">
        <f>CONCATENATE("          ", "6322", " - ", "EQUIPMENT DEPRECIATION EXPENSE")</f>
        <v xml:space="preserve">          6322 - EQUIPMENT DEPRECIATION EXPENSE</v>
      </c>
      <c r="C61" s="11"/>
      <c r="D61" s="7">
        <v>13895.74</v>
      </c>
      <c r="E61" s="2"/>
      <c r="F61" s="6">
        <f t="shared" si="29"/>
        <v>0.12375590525585026</v>
      </c>
      <c r="G61" s="2"/>
      <c r="H61" s="7">
        <v>37380</v>
      </c>
      <c r="I61" s="2"/>
      <c r="J61" s="6">
        <f t="shared" si="30"/>
        <v>0.12392420002917423</v>
      </c>
      <c r="K61" s="2"/>
      <c r="L61" s="7">
        <f t="shared" si="31"/>
        <v>-23484.260000000002</v>
      </c>
      <c r="M61" s="2"/>
      <c r="N61" s="6">
        <f t="shared" si="32"/>
        <v>-0.62825735687533446</v>
      </c>
      <c r="O61" s="11"/>
      <c r="P61" s="7">
        <v>154364.32999999999</v>
      </c>
      <c r="Q61" s="2"/>
      <c r="R61" s="6">
        <f t="shared" si="33"/>
        <v>0.10221045697532569</v>
      </c>
      <c r="S61" s="2"/>
      <c r="T61" s="7">
        <v>413784</v>
      </c>
      <c r="U61" s="2"/>
      <c r="V61" s="6">
        <f t="shared" si="34"/>
        <v>9.9489621109734472E-2</v>
      </c>
      <c r="W61" s="2"/>
      <c r="X61" s="7">
        <f t="shared" si="35"/>
        <v>-259419.67</v>
      </c>
      <c r="Y61" s="2"/>
      <c r="Z61" s="6">
        <f t="shared" si="36"/>
        <v>-0.6269446619492296</v>
      </c>
    </row>
    <row r="62" spans="1:26" s="24" customFormat="1" hidden="1" outlineLevel="2" x14ac:dyDescent="0.25">
      <c r="A62" s="25"/>
      <c r="B62" s="11" t="str">
        <f>CONCATENATE("          ", "6326", " - ", "VEHICLES DEPRECIATION EXPENSE")</f>
        <v xml:space="preserve">          6326 - VEHICLES DEPRECIATION EXPENSE</v>
      </c>
      <c r="C62" s="11"/>
      <c r="D62" s="7"/>
      <c r="E62" s="2"/>
      <c r="F62" s="6">
        <f t="shared" si="29"/>
        <v>0</v>
      </c>
      <c r="G62" s="2"/>
      <c r="H62" s="7">
        <v>550</v>
      </c>
      <c r="I62" s="2"/>
      <c r="J62" s="6">
        <f t="shared" si="30"/>
        <v>1.8233897810606161E-3</v>
      </c>
      <c r="K62" s="2"/>
      <c r="L62" s="7">
        <f t="shared" si="31"/>
        <v>-550</v>
      </c>
      <c r="M62" s="2"/>
      <c r="N62" s="6">
        <f t="shared" si="32"/>
        <v>-1</v>
      </c>
      <c r="O62" s="11"/>
      <c r="P62" s="7"/>
      <c r="Q62" s="2"/>
      <c r="R62" s="6">
        <f t="shared" si="33"/>
        <v>0</v>
      </c>
      <c r="S62" s="2"/>
      <c r="T62" s="7">
        <v>6050</v>
      </c>
      <c r="U62" s="2"/>
      <c r="V62" s="6">
        <f t="shared" si="34"/>
        <v>1.4546531710116716E-3</v>
      </c>
      <c r="W62" s="2"/>
      <c r="X62" s="7">
        <f t="shared" si="35"/>
        <v>-6050</v>
      </c>
      <c r="Y62" s="2"/>
      <c r="Z62" s="6">
        <f t="shared" si="36"/>
        <v>-1</v>
      </c>
    </row>
    <row r="63" spans="1:26" s="27" customFormat="1" outlineLevel="1" collapsed="1" x14ac:dyDescent="0.25">
      <c r="A63" s="26"/>
      <c r="B63" s="13" t="str">
        <f>CONCATENATE("     ","Donations                                         ")</f>
        <v xml:space="preserve">     Donations                                         </v>
      </c>
      <c r="C63" s="13"/>
      <c r="D63" s="1">
        <f>SUM(OSRRefD22_6x_0)</f>
        <v>3603.41</v>
      </c>
      <c r="E63" s="1"/>
      <c r="F63" s="5">
        <f t="shared" ref="F63:F85" si="37">IF(D$12=0,0,D63/D$12)</f>
        <v>3.2092084808580425E-2</v>
      </c>
      <c r="G63" s="1"/>
      <c r="H63" s="1">
        <f>SUM(OSRRefH22_6x_0)</f>
        <v>10773</v>
      </c>
      <c r="I63" s="1"/>
      <c r="J63" s="5">
        <f t="shared" ref="J63:J85" si="38">IF(H$12=0,0,H63/H$12)</f>
        <v>3.5715232929756396E-2</v>
      </c>
      <c r="K63" s="1"/>
      <c r="L63" s="1">
        <f t="shared" ref="L63:L85" si="39">+D63-H63</f>
        <v>-7169.59</v>
      </c>
      <c r="M63" s="1"/>
      <c r="N63" s="5">
        <f t="shared" ref="N63:N85" si="40">IF(H63=0,0,L63/H63)</f>
        <v>-0.66551471270769513</v>
      </c>
      <c r="O63" s="13"/>
      <c r="P63" s="1">
        <f>SUM(OSRRefP22_6x_0)</f>
        <v>61909.05</v>
      </c>
      <c r="Q63" s="1"/>
      <c r="R63" s="5">
        <f t="shared" ref="R63:R85" si="41">IF(P$12=0,0,P63/P$12)</f>
        <v>4.0992321810409744E-2</v>
      </c>
      <c r="S63" s="1"/>
      <c r="T63" s="1">
        <f>SUM(OSRRefT22_6x_0)</f>
        <v>130730</v>
      </c>
      <c r="U63" s="1"/>
      <c r="V63" s="5">
        <f t="shared" ref="V63:V85" si="42">IF(T$12=0,0,T63/T$12)</f>
        <v>3.1432530420885264E-2</v>
      </c>
      <c r="W63" s="1"/>
      <c r="X63" s="1">
        <f t="shared" ref="X63:X85" si="43">+P63-T63</f>
        <v>-68820.95</v>
      </c>
      <c r="Y63" s="1"/>
      <c r="Z63" s="5">
        <f t="shared" ref="Z63:Z85" si="44">IF(T63=0,0,X63/T63)</f>
        <v>-0.5264357836762793</v>
      </c>
    </row>
    <row r="64" spans="1:26" s="24" customFormat="1" hidden="1" outlineLevel="2" x14ac:dyDescent="0.25">
      <c r="A64" s="25"/>
      <c r="B64" s="11" t="str">
        <f>CONCATENATE("          ", "6399", " - ", "DONATION-ON CAMPUS")</f>
        <v xml:space="preserve">          6399 - DONATION-ON CAMPUS</v>
      </c>
      <c r="C64" s="11"/>
      <c r="D64" s="7">
        <v>3603.41</v>
      </c>
      <c r="E64" s="2"/>
      <c r="F64" s="6">
        <f t="shared" si="37"/>
        <v>3.2092084808580425E-2</v>
      </c>
      <c r="G64" s="2"/>
      <c r="H64" s="7">
        <v>10773</v>
      </c>
      <c r="I64" s="2"/>
      <c r="J64" s="6">
        <f t="shared" si="38"/>
        <v>3.5715232929756396E-2</v>
      </c>
      <c r="K64" s="2"/>
      <c r="L64" s="7">
        <f t="shared" si="39"/>
        <v>-7169.59</v>
      </c>
      <c r="M64" s="2"/>
      <c r="N64" s="6">
        <f t="shared" si="40"/>
        <v>-0.66551471270769513</v>
      </c>
      <c r="O64" s="11"/>
      <c r="P64" s="7">
        <v>61909.05</v>
      </c>
      <c r="Q64" s="2"/>
      <c r="R64" s="6">
        <f t="shared" si="41"/>
        <v>4.0992321810409744E-2</v>
      </c>
      <c r="S64" s="2"/>
      <c r="T64" s="7">
        <v>130730</v>
      </c>
      <c r="U64" s="2"/>
      <c r="V64" s="6">
        <f t="shared" si="42"/>
        <v>3.1432530420885264E-2</v>
      </c>
      <c r="W64" s="2"/>
      <c r="X64" s="7">
        <f t="shared" si="43"/>
        <v>-68820.95</v>
      </c>
      <c r="Y64" s="2"/>
      <c r="Z64" s="6">
        <f t="shared" si="44"/>
        <v>-0.5264357836762793</v>
      </c>
    </row>
    <row r="65" spans="1:26" s="27" customFormat="1" outlineLevel="1" collapsed="1" x14ac:dyDescent="0.25">
      <c r="A65" s="26"/>
      <c r="B65" s="13" t="str">
        <f>CONCATENATE("     ","Employees' Appreciation                           ")</f>
        <v xml:space="preserve">     Employees' Appreciation                           </v>
      </c>
      <c r="C65" s="13"/>
      <c r="D65" s="1">
        <f>SUM(OSRRefD22_7x_0)</f>
        <v>0</v>
      </c>
      <c r="E65" s="1"/>
      <c r="F65" s="5">
        <f t="shared" si="37"/>
        <v>0</v>
      </c>
      <c r="G65" s="1"/>
      <c r="H65" s="1">
        <f>SUM(OSRRefH22_7x_0)</f>
        <v>400</v>
      </c>
      <c r="I65" s="1"/>
      <c r="J65" s="5">
        <f t="shared" si="38"/>
        <v>1.3261016589531753E-3</v>
      </c>
      <c r="K65" s="1"/>
      <c r="L65" s="1">
        <f t="shared" si="39"/>
        <v>-400</v>
      </c>
      <c r="M65" s="1"/>
      <c r="N65" s="5">
        <f t="shared" si="40"/>
        <v>-1</v>
      </c>
      <c r="O65" s="13"/>
      <c r="P65" s="1">
        <f>SUM(OSRRefP22_7x_0)</f>
        <v>10</v>
      </c>
      <c r="Q65" s="1"/>
      <c r="R65" s="5">
        <f t="shared" si="41"/>
        <v>6.621377942386411E-6</v>
      </c>
      <c r="S65" s="1"/>
      <c r="T65" s="1">
        <f>SUM(OSRRefT22_7x_0)</f>
        <v>3300</v>
      </c>
      <c r="U65" s="1"/>
      <c r="V65" s="5">
        <f t="shared" si="42"/>
        <v>7.9344718418818453E-4</v>
      </c>
      <c r="W65" s="1"/>
      <c r="X65" s="1">
        <f t="shared" si="43"/>
        <v>-3290</v>
      </c>
      <c r="Y65" s="1"/>
      <c r="Z65" s="5">
        <f t="shared" si="44"/>
        <v>-0.99696969696969695</v>
      </c>
    </row>
    <row r="66" spans="1:26" s="24" customFormat="1" hidden="1" outlineLevel="2" x14ac:dyDescent="0.25">
      <c r="A66" s="25"/>
      <c r="B66" s="11" t="str">
        <f>CONCATENATE("          ", "6277", " - ", "EMPLOYEE APPRECIATION")</f>
        <v xml:space="preserve">          6277 - EMPLOYEE APPRECIATION</v>
      </c>
      <c r="C66" s="11"/>
      <c r="D66" s="7"/>
      <c r="E66" s="2"/>
      <c r="F66" s="6">
        <f t="shared" si="37"/>
        <v>0</v>
      </c>
      <c r="G66" s="2"/>
      <c r="H66" s="7">
        <v>400</v>
      </c>
      <c r="I66" s="2"/>
      <c r="J66" s="6">
        <f t="shared" si="38"/>
        <v>1.3261016589531753E-3</v>
      </c>
      <c r="K66" s="2"/>
      <c r="L66" s="7">
        <f t="shared" si="39"/>
        <v>-400</v>
      </c>
      <c r="M66" s="2"/>
      <c r="N66" s="6">
        <f t="shared" si="40"/>
        <v>-1</v>
      </c>
      <c r="O66" s="11"/>
      <c r="P66" s="7">
        <v>10</v>
      </c>
      <c r="Q66" s="2"/>
      <c r="R66" s="6">
        <f t="shared" si="41"/>
        <v>6.621377942386411E-6</v>
      </c>
      <c r="S66" s="2"/>
      <c r="T66" s="7">
        <v>3300</v>
      </c>
      <c r="U66" s="2"/>
      <c r="V66" s="6">
        <f t="shared" si="42"/>
        <v>7.9344718418818453E-4</v>
      </c>
      <c r="W66" s="2"/>
      <c r="X66" s="7">
        <f t="shared" si="43"/>
        <v>-3290</v>
      </c>
      <c r="Y66" s="2"/>
      <c r="Z66" s="6">
        <f t="shared" si="44"/>
        <v>-0.99696969696969695</v>
      </c>
    </row>
    <row r="67" spans="1:26" s="27" customFormat="1" outlineLevel="1" collapsed="1" x14ac:dyDescent="0.25">
      <c r="A67" s="26"/>
      <c r="B67" s="13" t="str">
        <f>CONCATENATE("     ","Equipment Rental                                  ")</f>
        <v xml:space="preserve">     Equipment Rental                                  </v>
      </c>
      <c r="C67" s="13"/>
      <c r="D67" s="1">
        <f>SUM(OSRRefD22_8x_0)</f>
        <v>1872.93</v>
      </c>
      <c r="E67" s="1"/>
      <c r="F67" s="5">
        <f t="shared" si="37"/>
        <v>1.6680374534270188E-2</v>
      </c>
      <c r="G67" s="1"/>
      <c r="H67" s="1">
        <f>SUM(OSRRefH22_8x_0)</f>
        <v>1044.3333333333301</v>
      </c>
      <c r="I67" s="1"/>
      <c r="J67" s="5">
        <f t="shared" si="38"/>
        <v>3.4622304145835712E-3</v>
      </c>
      <c r="K67" s="1"/>
      <c r="L67" s="1">
        <f t="shared" si="39"/>
        <v>828.59666666666999</v>
      </c>
      <c r="M67" s="1"/>
      <c r="N67" s="5">
        <f t="shared" si="40"/>
        <v>0.79342164060006948</v>
      </c>
      <c r="O67" s="13"/>
      <c r="P67" s="1">
        <f>SUM(OSRRefP22_8x_0)</f>
        <v>12801.93</v>
      </c>
      <c r="Q67" s="1"/>
      <c r="R67" s="5">
        <f t="shared" si="41"/>
        <v>8.4766416921974869E-3</v>
      </c>
      <c r="S67" s="1"/>
      <c r="T67" s="1">
        <f>SUM(OSRRefT22_8x_0)</f>
        <v>11231.666666666701</v>
      </c>
      <c r="U67" s="1"/>
      <c r="V67" s="5">
        <f t="shared" si="42"/>
        <v>2.7005255425475716E-3</v>
      </c>
      <c r="W67" s="1"/>
      <c r="X67" s="1">
        <f t="shared" si="43"/>
        <v>1570.2633333332997</v>
      </c>
      <c r="Y67" s="1"/>
      <c r="Z67" s="5">
        <f t="shared" si="44"/>
        <v>0.13980679626056935</v>
      </c>
    </row>
    <row r="68" spans="1:26" s="24" customFormat="1" hidden="1" outlineLevel="2" x14ac:dyDescent="0.25">
      <c r="A68" s="25"/>
      <c r="B68" s="11" t="str">
        <f>CONCATENATE("          ", "6351", " - ", "EQUIPMENT RENTAL")</f>
        <v xml:space="preserve">          6351 - EQUIPMENT RENTAL</v>
      </c>
      <c r="C68" s="11"/>
      <c r="D68" s="7">
        <v>1872.93</v>
      </c>
      <c r="E68" s="2"/>
      <c r="F68" s="6">
        <f t="shared" si="37"/>
        <v>1.6680374534270188E-2</v>
      </c>
      <c r="G68" s="2"/>
      <c r="H68" s="7">
        <v>1044.3333333333301</v>
      </c>
      <c r="I68" s="2"/>
      <c r="J68" s="6">
        <f t="shared" si="38"/>
        <v>3.4622304145835712E-3</v>
      </c>
      <c r="K68" s="2"/>
      <c r="L68" s="7">
        <f t="shared" si="39"/>
        <v>828.59666666666999</v>
      </c>
      <c r="M68" s="2"/>
      <c r="N68" s="6">
        <f t="shared" si="40"/>
        <v>0.79342164060006948</v>
      </c>
      <c r="O68" s="11"/>
      <c r="P68" s="7">
        <v>12801.93</v>
      </c>
      <c r="Q68" s="2"/>
      <c r="R68" s="6">
        <f t="shared" si="41"/>
        <v>8.4766416921974869E-3</v>
      </c>
      <c r="S68" s="2"/>
      <c r="T68" s="7">
        <v>11231.666666666701</v>
      </c>
      <c r="U68" s="2"/>
      <c r="V68" s="6">
        <f t="shared" si="42"/>
        <v>2.7005255425475716E-3</v>
      </c>
      <c r="W68" s="2"/>
      <c r="X68" s="7">
        <f t="shared" si="43"/>
        <v>1570.2633333332997</v>
      </c>
      <c r="Y68" s="2"/>
      <c r="Z68" s="6">
        <f t="shared" si="44"/>
        <v>0.13980679626056935</v>
      </c>
    </row>
    <row r="69" spans="1:26" s="27" customFormat="1" outlineLevel="1" collapsed="1" x14ac:dyDescent="0.25">
      <c r="A69" s="26"/>
      <c r="B69" s="13" t="str">
        <f>CONCATENATE("     ","Freight out/Postage                               ")</f>
        <v xml:space="preserve">     Freight out/Postage                               </v>
      </c>
      <c r="C69" s="13"/>
      <c r="D69" s="1">
        <f>SUM(OSRRefD22_9x_0)</f>
        <v>0</v>
      </c>
      <c r="E69" s="1"/>
      <c r="F69" s="5">
        <f t="shared" si="37"/>
        <v>0</v>
      </c>
      <c r="G69" s="1"/>
      <c r="H69" s="1">
        <f>SUM(OSRRefH22_9x_0)</f>
        <v>0</v>
      </c>
      <c r="I69" s="1"/>
      <c r="J69" s="5">
        <f t="shared" si="38"/>
        <v>0</v>
      </c>
      <c r="K69" s="1"/>
      <c r="L69" s="1">
        <f t="shared" si="39"/>
        <v>0</v>
      </c>
      <c r="M69" s="1"/>
      <c r="N69" s="5">
        <f t="shared" si="40"/>
        <v>0</v>
      </c>
      <c r="O69" s="13"/>
      <c r="P69" s="1">
        <f>SUM(OSRRefP22_9x_0)</f>
        <v>-2.4500000000000002</v>
      </c>
      <c r="Q69" s="1"/>
      <c r="R69" s="5">
        <f t="shared" si="41"/>
        <v>-1.6222375958846709E-6</v>
      </c>
      <c r="S69" s="1"/>
      <c r="T69" s="1">
        <f>SUM(OSRRefT22_9x_0)</f>
        <v>0</v>
      </c>
      <c r="U69" s="1"/>
      <c r="V69" s="5">
        <f t="shared" si="42"/>
        <v>0</v>
      </c>
      <c r="W69" s="1"/>
      <c r="X69" s="1">
        <f t="shared" si="43"/>
        <v>-2.4500000000000002</v>
      </c>
      <c r="Y69" s="1"/>
      <c r="Z69" s="5">
        <f t="shared" si="44"/>
        <v>0</v>
      </c>
    </row>
    <row r="70" spans="1:26" s="24" customFormat="1" hidden="1" outlineLevel="2" x14ac:dyDescent="0.25">
      <c r="A70" s="25"/>
      <c r="B70" s="11" t="str">
        <f>CONCATENATE("          ", "6307", " - ", "POSTAGE")</f>
        <v xml:space="preserve">          6307 - POSTAGE</v>
      </c>
      <c r="C70" s="11"/>
      <c r="D70" s="7"/>
      <c r="E70" s="2"/>
      <c r="F70" s="6">
        <f t="shared" si="37"/>
        <v>0</v>
      </c>
      <c r="G70" s="2"/>
      <c r="H70" s="7"/>
      <c r="I70" s="2"/>
      <c r="J70" s="6">
        <f t="shared" si="38"/>
        <v>0</v>
      </c>
      <c r="K70" s="2"/>
      <c r="L70" s="7">
        <f t="shared" si="39"/>
        <v>0</v>
      </c>
      <c r="M70" s="2"/>
      <c r="N70" s="6">
        <f t="shared" si="40"/>
        <v>0</v>
      </c>
      <c r="O70" s="11"/>
      <c r="P70" s="7">
        <v>-2.4500000000000002</v>
      </c>
      <c r="Q70" s="2"/>
      <c r="R70" s="6">
        <f t="shared" si="41"/>
        <v>-1.6222375958846709E-6</v>
      </c>
      <c r="S70" s="2"/>
      <c r="T70" s="7"/>
      <c r="U70" s="2"/>
      <c r="V70" s="6">
        <f t="shared" si="42"/>
        <v>0</v>
      </c>
      <c r="W70" s="2"/>
      <c r="X70" s="7">
        <f t="shared" si="43"/>
        <v>-2.4500000000000002</v>
      </c>
      <c r="Y70" s="2"/>
      <c r="Z70" s="6">
        <f t="shared" si="44"/>
        <v>0</v>
      </c>
    </row>
    <row r="71" spans="1:26" s="27" customFormat="1" outlineLevel="1" collapsed="1" x14ac:dyDescent="0.25">
      <c r="A71" s="26"/>
      <c r="B71" s="13" t="str">
        <f>CONCATENATE("     ","General                                           ")</f>
        <v xml:space="preserve">     General                                           </v>
      </c>
      <c r="C71" s="13"/>
      <c r="D71" s="1">
        <f>SUM(OSRRefD22_10x_0)</f>
        <v>303.18</v>
      </c>
      <c r="E71" s="1"/>
      <c r="F71" s="5">
        <f t="shared" si="37"/>
        <v>2.700130785080081E-3</v>
      </c>
      <c r="G71" s="1"/>
      <c r="H71" s="1">
        <f>SUM(OSRRefH22_10x_0)</f>
        <v>430</v>
      </c>
      <c r="I71" s="1"/>
      <c r="J71" s="5">
        <f t="shared" si="38"/>
        <v>1.4255592833746634E-3</v>
      </c>
      <c r="K71" s="1"/>
      <c r="L71" s="1">
        <f t="shared" si="39"/>
        <v>-126.82</v>
      </c>
      <c r="M71" s="1"/>
      <c r="N71" s="5">
        <f t="shared" si="40"/>
        <v>-0.29493023255813949</v>
      </c>
      <c r="O71" s="13"/>
      <c r="P71" s="1">
        <f>SUM(OSRRefP22_10x_0)</f>
        <v>15547.41</v>
      </c>
      <c r="Q71" s="1"/>
      <c r="R71" s="5">
        <f t="shared" si="41"/>
        <v>1.0294527763523791E-2</v>
      </c>
      <c r="S71" s="1"/>
      <c r="T71" s="1">
        <f>SUM(OSRRefT22_10x_0)</f>
        <v>15760</v>
      </c>
      <c r="U71" s="1"/>
      <c r="V71" s="5">
        <f t="shared" si="42"/>
        <v>3.7893114008502389E-3</v>
      </c>
      <c r="W71" s="1"/>
      <c r="X71" s="1">
        <f t="shared" si="43"/>
        <v>-212.59000000000015</v>
      </c>
      <c r="Y71" s="1"/>
      <c r="Z71" s="5">
        <f t="shared" si="44"/>
        <v>-1.3489213197969552E-2</v>
      </c>
    </row>
    <row r="72" spans="1:26" s="24" customFormat="1" hidden="1" outlineLevel="2" x14ac:dyDescent="0.25">
      <c r="A72" s="25"/>
      <c r="B72" s="11" t="str">
        <f>CONCATENATE("          ", "6279", " - ", "GENERAL EXPENSE")</f>
        <v xml:space="preserve">          6279 - GENERAL EXPENSE</v>
      </c>
      <c r="C72" s="11"/>
      <c r="D72" s="7">
        <v>303.18</v>
      </c>
      <c r="E72" s="2"/>
      <c r="F72" s="6">
        <f t="shared" si="37"/>
        <v>2.700130785080081E-3</v>
      </c>
      <c r="G72" s="2"/>
      <c r="H72" s="7">
        <v>430</v>
      </c>
      <c r="I72" s="2"/>
      <c r="J72" s="6">
        <f t="shared" si="38"/>
        <v>1.4255592833746634E-3</v>
      </c>
      <c r="K72" s="2"/>
      <c r="L72" s="7">
        <f t="shared" si="39"/>
        <v>-126.82</v>
      </c>
      <c r="M72" s="2"/>
      <c r="N72" s="6">
        <f t="shared" si="40"/>
        <v>-0.29493023255813949</v>
      </c>
      <c r="O72" s="11"/>
      <c r="P72" s="7">
        <v>15547.41</v>
      </c>
      <c r="Q72" s="2"/>
      <c r="R72" s="6">
        <f t="shared" si="41"/>
        <v>1.0294527763523791E-2</v>
      </c>
      <c r="S72" s="2"/>
      <c r="T72" s="7">
        <v>15760</v>
      </c>
      <c r="U72" s="2"/>
      <c r="V72" s="6">
        <f t="shared" si="42"/>
        <v>3.7893114008502389E-3</v>
      </c>
      <c r="W72" s="2"/>
      <c r="X72" s="7">
        <f t="shared" si="43"/>
        <v>-212.59000000000015</v>
      </c>
      <c r="Y72" s="2"/>
      <c r="Z72" s="6">
        <f t="shared" si="44"/>
        <v>-1.3489213197969552E-2</v>
      </c>
    </row>
    <row r="73" spans="1:26" s="27" customFormat="1" outlineLevel="1" collapsed="1" x14ac:dyDescent="0.25">
      <c r="A73" s="26"/>
      <c r="B73" s="13" t="str">
        <f>CONCATENATE("     ","Insurance                                         ")</f>
        <v xml:space="preserve">     Insurance                                         </v>
      </c>
      <c r="C73" s="13"/>
      <c r="D73" s="1">
        <f>SUM(OSRRefD22_11x_0)</f>
        <v>4246.03</v>
      </c>
      <c r="E73" s="1"/>
      <c r="F73" s="5">
        <f t="shared" si="37"/>
        <v>3.7815279099457665E-2</v>
      </c>
      <c r="G73" s="1"/>
      <c r="H73" s="1">
        <f>SUM(OSRRefH22_11x_0)</f>
        <v>4572</v>
      </c>
      <c r="I73" s="1"/>
      <c r="J73" s="5">
        <f t="shared" si="38"/>
        <v>1.5157341961834794E-2</v>
      </c>
      <c r="K73" s="1"/>
      <c r="L73" s="1">
        <f t="shared" si="39"/>
        <v>-325.97000000000025</v>
      </c>
      <c r="M73" s="1"/>
      <c r="N73" s="5">
        <f t="shared" si="40"/>
        <v>-7.1297025371828582E-2</v>
      </c>
      <c r="O73" s="13"/>
      <c r="P73" s="1">
        <f>SUM(OSRRefP22_11x_0)</f>
        <v>52818.33</v>
      </c>
      <c r="Q73" s="1"/>
      <c r="R73" s="5">
        <f t="shared" si="41"/>
        <v>3.4973012521568647E-2</v>
      </c>
      <c r="S73" s="1"/>
      <c r="T73" s="1">
        <f>SUM(OSRRefT22_11x_0)</f>
        <v>50292</v>
      </c>
      <c r="U73" s="1"/>
      <c r="V73" s="5">
        <f t="shared" si="42"/>
        <v>1.2092135087027932E-2</v>
      </c>
      <c r="W73" s="1"/>
      <c r="X73" s="1">
        <f t="shared" si="43"/>
        <v>2526.3300000000017</v>
      </c>
      <c r="Y73" s="1"/>
      <c r="Z73" s="5">
        <f t="shared" si="44"/>
        <v>5.0233237890718242E-2</v>
      </c>
    </row>
    <row r="74" spans="1:26" s="24" customFormat="1" hidden="1" outlineLevel="2" x14ac:dyDescent="0.25">
      <c r="A74" s="25"/>
      <c r="B74" s="11" t="str">
        <f>CONCATENATE("          ", "6314", " - ", "LIABILITY INSURANCE")</f>
        <v xml:space="preserve">          6314 - LIABILITY INSURANCE</v>
      </c>
      <c r="C74" s="11"/>
      <c r="D74" s="7">
        <v>4246.03</v>
      </c>
      <c r="E74" s="2"/>
      <c r="F74" s="6">
        <f t="shared" si="37"/>
        <v>3.7815279099457665E-2</v>
      </c>
      <c r="G74" s="2"/>
      <c r="H74" s="7">
        <v>4572</v>
      </c>
      <c r="I74" s="2"/>
      <c r="J74" s="6">
        <f t="shared" si="38"/>
        <v>1.5157341961834794E-2</v>
      </c>
      <c r="K74" s="2"/>
      <c r="L74" s="7">
        <f t="shared" si="39"/>
        <v>-325.97000000000025</v>
      </c>
      <c r="M74" s="2"/>
      <c r="N74" s="6">
        <f t="shared" si="40"/>
        <v>-7.1297025371828582E-2</v>
      </c>
      <c r="O74" s="11"/>
      <c r="P74" s="7">
        <v>52818.33</v>
      </c>
      <c r="Q74" s="2"/>
      <c r="R74" s="6">
        <f t="shared" si="41"/>
        <v>3.4973012521568647E-2</v>
      </c>
      <c r="S74" s="2"/>
      <c r="T74" s="7">
        <v>50292</v>
      </c>
      <c r="U74" s="2"/>
      <c r="V74" s="6">
        <f t="shared" si="42"/>
        <v>1.2092135087027932E-2</v>
      </c>
      <c r="W74" s="2"/>
      <c r="X74" s="7">
        <f t="shared" si="43"/>
        <v>2526.3300000000017</v>
      </c>
      <c r="Y74" s="2"/>
      <c r="Z74" s="6">
        <f t="shared" si="44"/>
        <v>5.0233237890718242E-2</v>
      </c>
    </row>
    <row r="75" spans="1:26" s="27" customFormat="1" outlineLevel="1" collapsed="1" x14ac:dyDescent="0.25">
      <c r="A75" s="26"/>
      <c r="B75" s="13" t="str">
        <f>CONCATENATE("     ","Interest                                          ")</f>
        <v xml:space="preserve">     Interest                                          </v>
      </c>
      <c r="C75" s="13"/>
      <c r="D75" s="1">
        <f>SUM(OSRRefD22_12x_0)</f>
        <v>7510</v>
      </c>
      <c r="E75" s="1"/>
      <c r="F75" s="5">
        <f t="shared" si="37"/>
        <v>6.6884300402240943E-2</v>
      </c>
      <c r="G75" s="1"/>
      <c r="H75" s="1">
        <f>SUM(OSRRefH22_12x_0)</f>
        <v>7253</v>
      </c>
      <c r="I75" s="1"/>
      <c r="J75" s="5">
        <f t="shared" si="38"/>
        <v>2.4045538330968452E-2</v>
      </c>
      <c r="K75" s="1"/>
      <c r="L75" s="1">
        <f t="shared" si="39"/>
        <v>257</v>
      </c>
      <c r="M75" s="1"/>
      <c r="N75" s="5">
        <f t="shared" si="40"/>
        <v>3.5433613677099129E-2</v>
      </c>
      <c r="O75" s="13"/>
      <c r="P75" s="1">
        <f>SUM(OSRRefP22_12x_0)</f>
        <v>80580.149999999994</v>
      </c>
      <c r="Q75" s="1"/>
      <c r="R75" s="5">
        <f t="shared" si="41"/>
        <v>5.3355162780418831E-2</v>
      </c>
      <c r="S75" s="1"/>
      <c r="T75" s="1">
        <f>SUM(OSRRefT22_12x_0)</f>
        <v>82353</v>
      </c>
      <c r="U75" s="1"/>
      <c r="V75" s="5">
        <f t="shared" si="42"/>
        <v>1.980083513922714E-2</v>
      </c>
      <c r="W75" s="1"/>
      <c r="X75" s="1">
        <f t="shared" si="43"/>
        <v>-1772.8500000000058</v>
      </c>
      <c r="Y75" s="1"/>
      <c r="Z75" s="5">
        <f t="shared" si="44"/>
        <v>-2.1527448908965137E-2</v>
      </c>
    </row>
    <row r="76" spans="1:26" s="24" customFormat="1" hidden="1" outlineLevel="2" x14ac:dyDescent="0.25">
      <c r="A76" s="25"/>
      <c r="B76" s="11" t="str">
        <f>CONCATENATE("          ", "6401", " - ", "INTEREST EXPENSE")</f>
        <v xml:space="preserve">          6401 - INTEREST EXPENSE</v>
      </c>
      <c r="C76" s="11"/>
      <c r="D76" s="7">
        <v>7510</v>
      </c>
      <c r="E76" s="2"/>
      <c r="F76" s="6">
        <f t="shared" si="37"/>
        <v>6.6884300402240943E-2</v>
      </c>
      <c r="G76" s="2"/>
      <c r="H76" s="7">
        <v>7253</v>
      </c>
      <c r="I76" s="2"/>
      <c r="J76" s="6">
        <f t="shared" si="38"/>
        <v>2.4045538330968452E-2</v>
      </c>
      <c r="K76" s="2"/>
      <c r="L76" s="7">
        <f t="shared" si="39"/>
        <v>257</v>
      </c>
      <c r="M76" s="2"/>
      <c r="N76" s="6">
        <f t="shared" si="40"/>
        <v>3.5433613677099129E-2</v>
      </c>
      <c r="O76" s="11"/>
      <c r="P76" s="7">
        <v>80580.149999999994</v>
      </c>
      <c r="Q76" s="2"/>
      <c r="R76" s="6">
        <f t="shared" si="41"/>
        <v>5.3355162780418831E-2</v>
      </c>
      <c r="S76" s="2"/>
      <c r="T76" s="7">
        <v>82353</v>
      </c>
      <c r="U76" s="2"/>
      <c r="V76" s="6">
        <f t="shared" si="42"/>
        <v>1.980083513922714E-2</v>
      </c>
      <c r="W76" s="2"/>
      <c r="X76" s="7">
        <f t="shared" si="43"/>
        <v>-1772.8500000000058</v>
      </c>
      <c r="Y76" s="2"/>
      <c r="Z76" s="6">
        <f t="shared" si="44"/>
        <v>-2.1527448908965137E-2</v>
      </c>
    </row>
    <row r="77" spans="1:26" s="27" customFormat="1" outlineLevel="1" collapsed="1" x14ac:dyDescent="0.25">
      <c r="A77" s="26"/>
      <c r="B77" s="13" t="str">
        <f>CONCATENATE("     ","R/H Commissions                                   ")</f>
        <v xml:space="preserve">     R/H Commissions                                   </v>
      </c>
      <c r="C77" s="13"/>
      <c r="D77" s="1">
        <f>SUM(OSRRefD22_13x_0)</f>
        <v>3760.68</v>
      </c>
      <c r="E77" s="1"/>
      <c r="F77" s="5">
        <f t="shared" si="37"/>
        <v>3.3492736462942665E-2</v>
      </c>
      <c r="G77" s="1"/>
      <c r="H77" s="1">
        <f>SUM(OSRRefH22_13x_0)</f>
        <v>23083</v>
      </c>
      <c r="I77" s="1"/>
      <c r="J77" s="5">
        <f t="shared" si="38"/>
        <v>7.6526011484040368E-2</v>
      </c>
      <c r="K77" s="1"/>
      <c r="L77" s="1">
        <f t="shared" si="39"/>
        <v>-19322.32</v>
      </c>
      <c r="M77" s="1"/>
      <c r="N77" s="5">
        <f t="shared" si="40"/>
        <v>-0.8370801022397435</v>
      </c>
      <c r="O77" s="13"/>
      <c r="P77" s="1">
        <f>SUM(OSRRefP22_13x_0)</f>
        <v>69400.47</v>
      </c>
      <c r="Q77" s="1"/>
      <c r="R77" s="5">
        <f t="shared" si="41"/>
        <v>4.5952674124924986E-2</v>
      </c>
      <c r="S77" s="1"/>
      <c r="T77" s="1">
        <f>SUM(OSRRefT22_13x_0)</f>
        <v>317179</v>
      </c>
      <c r="U77" s="1"/>
      <c r="V77" s="5">
        <f t="shared" si="42"/>
        <v>7.6262055888977026E-2</v>
      </c>
      <c r="W77" s="1"/>
      <c r="X77" s="1">
        <f t="shared" si="43"/>
        <v>-247778.53</v>
      </c>
      <c r="Y77" s="1"/>
      <c r="Z77" s="5">
        <f t="shared" si="44"/>
        <v>-0.78119462511704751</v>
      </c>
    </row>
    <row r="78" spans="1:26" s="24" customFormat="1" hidden="1" outlineLevel="2" x14ac:dyDescent="0.25">
      <c r="A78" s="25"/>
      <c r="B78" s="11" t="str">
        <f>CONCATENATE("          ", "6387", " - ", "COMMISSION DUE HOUSING")</f>
        <v xml:space="preserve">          6387 - COMMISSION DUE HOUSING</v>
      </c>
      <c r="C78" s="11"/>
      <c r="D78" s="7">
        <v>3760.68</v>
      </c>
      <c r="E78" s="2"/>
      <c r="F78" s="6">
        <f t="shared" si="37"/>
        <v>3.3492736462942665E-2</v>
      </c>
      <c r="G78" s="2"/>
      <c r="H78" s="7">
        <v>23083</v>
      </c>
      <c r="I78" s="2"/>
      <c r="J78" s="6">
        <f t="shared" si="38"/>
        <v>7.6526011484040368E-2</v>
      </c>
      <c r="K78" s="2"/>
      <c r="L78" s="7">
        <f t="shared" si="39"/>
        <v>-19322.32</v>
      </c>
      <c r="M78" s="2"/>
      <c r="N78" s="6">
        <f t="shared" si="40"/>
        <v>-0.8370801022397435</v>
      </c>
      <c r="O78" s="11"/>
      <c r="P78" s="7">
        <v>69400.47</v>
      </c>
      <c r="Q78" s="2"/>
      <c r="R78" s="6">
        <f t="shared" si="41"/>
        <v>4.5952674124924986E-2</v>
      </c>
      <c r="S78" s="2"/>
      <c r="T78" s="7">
        <v>317179</v>
      </c>
      <c r="U78" s="2"/>
      <c r="V78" s="6">
        <f t="shared" si="42"/>
        <v>7.6262055888977026E-2</v>
      </c>
      <c r="W78" s="2"/>
      <c r="X78" s="7">
        <f t="shared" si="43"/>
        <v>-247778.53</v>
      </c>
      <c r="Y78" s="2"/>
      <c r="Z78" s="6">
        <f t="shared" si="44"/>
        <v>-0.78119462511704751</v>
      </c>
    </row>
    <row r="79" spans="1:26" s="27" customFormat="1" outlineLevel="1" collapsed="1" x14ac:dyDescent="0.25">
      <c r="A79" s="26"/>
      <c r="B79" s="13" t="str">
        <f>CONCATENATE("     ","Rent                                              ")</f>
        <v xml:space="preserve">     Rent                                              </v>
      </c>
      <c r="C79" s="13"/>
      <c r="D79" s="1">
        <f>SUM(OSRRefD22_14x_0)</f>
        <v>1850</v>
      </c>
      <c r="E79" s="1"/>
      <c r="F79" s="5">
        <f t="shared" si="37"/>
        <v>1.6476159220259086E-2</v>
      </c>
      <c r="G79" s="1"/>
      <c r="H79" s="1">
        <f>SUM(OSRRefH22_14x_0)</f>
        <v>1943</v>
      </c>
      <c r="I79" s="1"/>
      <c r="J79" s="5">
        <f t="shared" si="38"/>
        <v>6.4415388083650495E-3</v>
      </c>
      <c r="K79" s="1"/>
      <c r="L79" s="1">
        <f t="shared" si="39"/>
        <v>-93</v>
      </c>
      <c r="M79" s="1"/>
      <c r="N79" s="5">
        <f t="shared" si="40"/>
        <v>-4.7864127637673698E-2</v>
      </c>
      <c r="O79" s="13"/>
      <c r="P79" s="1">
        <f>SUM(OSRRefP22_14x_0)</f>
        <v>14800</v>
      </c>
      <c r="Q79" s="1"/>
      <c r="R79" s="5">
        <f t="shared" si="41"/>
        <v>9.7996393547318886E-3</v>
      </c>
      <c r="S79" s="1"/>
      <c r="T79" s="1">
        <f>SUM(OSRRefT22_14x_0)</f>
        <v>21373</v>
      </c>
      <c r="U79" s="1"/>
      <c r="V79" s="5">
        <f t="shared" si="42"/>
        <v>5.1388929295921419E-3</v>
      </c>
      <c r="W79" s="1"/>
      <c r="X79" s="1">
        <f t="shared" si="43"/>
        <v>-6573</v>
      </c>
      <c r="Y79" s="1"/>
      <c r="Z79" s="5">
        <f t="shared" si="44"/>
        <v>-0.3075375473728536</v>
      </c>
    </row>
    <row r="80" spans="1:26" s="24" customFormat="1" hidden="1" outlineLevel="2" x14ac:dyDescent="0.25">
      <c r="A80" s="25"/>
      <c r="B80" s="11" t="str">
        <f>CONCATENATE("          ", "6273", " - ", "RENT")</f>
        <v xml:space="preserve">          6273 - RENT</v>
      </c>
      <c r="C80" s="11"/>
      <c r="D80" s="7">
        <v>1850</v>
      </c>
      <c r="E80" s="2"/>
      <c r="F80" s="6">
        <f t="shared" si="37"/>
        <v>1.6476159220259086E-2</v>
      </c>
      <c r="G80" s="2"/>
      <c r="H80" s="7">
        <v>1943</v>
      </c>
      <c r="I80" s="2"/>
      <c r="J80" s="6">
        <f t="shared" si="38"/>
        <v>6.4415388083650495E-3</v>
      </c>
      <c r="K80" s="2"/>
      <c r="L80" s="7">
        <f t="shared" si="39"/>
        <v>-93</v>
      </c>
      <c r="M80" s="2"/>
      <c r="N80" s="6">
        <f t="shared" si="40"/>
        <v>-4.7864127637673698E-2</v>
      </c>
      <c r="O80" s="11"/>
      <c r="P80" s="7">
        <v>14800</v>
      </c>
      <c r="Q80" s="2"/>
      <c r="R80" s="6">
        <f t="shared" si="41"/>
        <v>9.7996393547318886E-3</v>
      </c>
      <c r="S80" s="2"/>
      <c r="T80" s="7">
        <v>21373</v>
      </c>
      <c r="U80" s="2"/>
      <c r="V80" s="6">
        <f t="shared" si="42"/>
        <v>5.1388929295921419E-3</v>
      </c>
      <c r="W80" s="2"/>
      <c r="X80" s="7">
        <f t="shared" si="43"/>
        <v>-6573</v>
      </c>
      <c r="Y80" s="2"/>
      <c r="Z80" s="6">
        <f t="shared" si="44"/>
        <v>-0.3075375473728536</v>
      </c>
    </row>
    <row r="81" spans="1:26" s="27" customFormat="1" outlineLevel="1" collapsed="1" x14ac:dyDescent="0.25">
      <c r="A81" s="26"/>
      <c r="B81" s="13" t="str">
        <f>CONCATENATE("     ","Repair and Maintenance                            ")</f>
        <v xml:space="preserve">     Repair and Maintenance                            </v>
      </c>
      <c r="C81" s="13"/>
      <c r="D81" s="1">
        <f>SUM(OSRRefD22_15x_0)</f>
        <v>11926.34</v>
      </c>
      <c r="E81" s="1"/>
      <c r="F81" s="5">
        <f t="shared" si="37"/>
        <v>0.10621636581348365</v>
      </c>
      <c r="G81" s="1"/>
      <c r="H81" s="1">
        <f>SUM(OSRRefH22_15x_0)</f>
        <v>3308</v>
      </c>
      <c r="I81" s="1"/>
      <c r="J81" s="5">
        <f t="shared" si="38"/>
        <v>1.0966860719542761E-2</v>
      </c>
      <c r="K81" s="1"/>
      <c r="L81" s="1">
        <f t="shared" si="39"/>
        <v>8618.34</v>
      </c>
      <c r="M81" s="1"/>
      <c r="N81" s="5">
        <f t="shared" si="40"/>
        <v>2.6053022974607014</v>
      </c>
      <c r="O81" s="13"/>
      <c r="P81" s="1">
        <f>SUM(OSRRefP22_15x_0)</f>
        <v>78394.98</v>
      </c>
      <c r="Q81" s="1"/>
      <c r="R81" s="5">
        <f t="shared" si="41"/>
        <v>5.1908279136582379E-2</v>
      </c>
      <c r="S81" s="1"/>
      <c r="T81" s="1">
        <f>SUM(OSRRefT22_15x_0)</f>
        <v>96679</v>
      </c>
      <c r="U81" s="1"/>
      <c r="V81" s="5">
        <f t="shared" si="42"/>
        <v>2.3245357672766514E-2</v>
      </c>
      <c r="W81" s="1"/>
      <c r="X81" s="1">
        <f t="shared" si="43"/>
        <v>-18284.020000000004</v>
      </c>
      <c r="Y81" s="1"/>
      <c r="Z81" s="5">
        <f t="shared" si="44"/>
        <v>-0.1891209052638112</v>
      </c>
    </row>
    <row r="82" spans="1:26" s="24" customFormat="1" hidden="1" outlineLevel="2" x14ac:dyDescent="0.25">
      <c r="A82" s="25"/>
      <c r="B82" s="11" t="str">
        <f>CONCATENATE("          ", "6371", " - ", "COMPUTER SOFTWARE MAINTENANCE")</f>
        <v xml:space="preserve">          6371 - COMPUTER SOFTWARE MAINTENANCE</v>
      </c>
      <c r="C82" s="11"/>
      <c r="D82" s="7">
        <v>11757.2</v>
      </c>
      <c r="E82" s="2"/>
      <c r="F82" s="6">
        <f t="shared" si="37"/>
        <v>0.10470999955915143</v>
      </c>
      <c r="G82" s="2"/>
      <c r="H82" s="7"/>
      <c r="I82" s="2"/>
      <c r="J82" s="6">
        <f t="shared" si="38"/>
        <v>0</v>
      </c>
      <c r="K82" s="2"/>
      <c r="L82" s="7">
        <f t="shared" si="39"/>
        <v>11757.2</v>
      </c>
      <c r="M82" s="2"/>
      <c r="N82" s="6">
        <f t="shared" si="40"/>
        <v>0</v>
      </c>
      <c r="O82" s="11"/>
      <c r="P82" s="7">
        <v>29959.47</v>
      </c>
      <c r="Q82" s="2"/>
      <c r="R82" s="6">
        <f t="shared" si="41"/>
        <v>1.9837297382358742E-2</v>
      </c>
      <c r="S82" s="2"/>
      <c r="T82" s="7">
        <v>56745</v>
      </c>
      <c r="U82" s="2"/>
      <c r="V82" s="6">
        <f t="shared" si="42"/>
        <v>1.3643684989926828E-2</v>
      </c>
      <c r="W82" s="2"/>
      <c r="X82" s="7">
        <f t="shared" si="43"/>
        <v>-26785.53</v>
      </c>
      <c r="Y82" s="2"/>
      <c r="Z82" s="6">
        <f t="shared" si="44"/>
        <v>-0.47203330689928624</v>
      </c>
    </row>
    <row r="83" spans="1:26" s="24" customFormat="1" hidden="1" outlineLevel="2" x14ac:dyDescent="0.25">
      <c r="A83" s="25"/>
      <c r="B83" s="11" t="str">
        <f>CONCATENATE("          ", "6372", " - ", "COMPUTER HARDWARE MAINTENANCE")</f>
        <v xml:space="preserve">          6372 - COMPUTER HARDWARE MAINTENANCE</v>
      </c>
      <c r="C83" s="11"/>
      <c r="D83" s="7"/>
      <c r="E83" s="2"/>
      <c r="F83" s="6">
        <f t="shared" si="37"/>
        <v>0</v>
      </c>
      <c r="G83" s="2"/>
      <c r="H83" s="7"/>
      <c r="I83" s="2"/>
      <c r="J83" s="6">
        <f t="shared" si="38"/>
        <v>0</v>
      </c>
      <c r="K83" s="2"/>
      <c r="L83" s="7">
        <f t="shared" si="39"/>
        <v>0</v>
      </c>
      <c r="M83" s="2"/>
      <c r="N83" s="6">
        <f t="shared" si="40"/>
        <v>0</v>
      </c>
      <c r="O83" s="11"/>
      <c r="P83" s="7">
        <v>100</v>
      </c>
      <c r="Q83" s="2"/>
      <c r="R83" s="6">
        <f t="shared" si="41"/>
        <v>6.6213779423864112E-5</v>
      </c>
      <c r="S83" s="2"/>
      <c r="T83" s="7">
        <v>3083</v>
      </c>
      <c r="U83" s="2"/>
      <c r="V83" s="6">
        <f t="shared" si="42"/>
        <v>7.4127202086429484E-4</v>
      </c>
      <c r="W83" s="2"/>
      <c r="X83" s="7">
        <f t="shared" si="43"/>
        <v>-2983</v>
      </c>
      <c r="Y83" s="2"/>
      <c r="Z83" s="6">
        <f t="shared" si="44"/>
        <v>-0.96756406097956538</v>
      </c>
    </row>
    <row r="84" spans="1:26" s="24" customFormat="1" hidden="1" outlineLevel="2" x14ac:dyDescent="0.25">
      <c r="A84" s="25"/>
      <c r="B84" s="11" t="str">
        <f>CONCATENATE("          ", "6373", " - ", "MAINTENANCE CONTRACTS")</f>
        <v xml:space="preserve">          6373 - MAINTENANCE CONTRACTS</v>
      </c>
      <c r="C84" s="11"/>
      <c r="D84" s="7">
        <v>10.89</v>
      </c>
      <c r="E84" s="2"/>
      <c r="F84" s="6">
        <f t="shared" si="37"/>
        <v>9.6986688599254843E-5</v>
      </c>
      <c r="G84" s="2"/>
      <c r="H84" s="7">
        <v>1858</v>
      </c>
      <c r="I84" s="2"/>
      <c r="J84" s="6">
        <f t="shared" si="38"/>
        <v>6.1597422058374991E-3</v>
      </c>
      <c r="K84" s="2"/>
      <c r="L84" s="7">
        <f t="shared" si="39"/>
        <v>-1847.11</v>
      </c>
      <c r="M84" s="2"/>
      <c r="N84" s="6">
        <f t="shared" si="40"/>
        <v>-0.99413885898815924</v>
      </c>
      <c r="O84" s="11"/>
      <c r="P84" s="7">
        <v>21474.1</v>
      </c>
      <c r="Q84" s="2"/>
      <c r="R84" s="6">
        <f t="shared" si="41"/>
        <v>1.4218813207260001E-2</v>
      </c>
      <c r="S84" s="2"/>
      <c r="T84" s="7">
        <v>11607</v>
      </c>
      <c r="U84" s="2"/>
      <c r="V84" s="6">
        <f t="shared" si="42"/>
        <v>2.7907701414764418E-3</v>
      </c>
      <c r="W84" s="2"/>
      <c r="X84" s="7">
        <f t="shared" si="43"/>
        <v>9867.0999999999985</v>
      </c>
      <c r="Y84" s="2"/>
      <c r="Z84" s="6">
        <f t="shared" si="44"/>
        <v>0.85009907814250008</v>
      </c>
    </row>
    <row r="85" spans="1:26" s="24" customFormat="1" hidden="1" outlineLevel="2" x14ac:dyDescent="0.25">
      <c r="A85" s="25"/>
      <c r="B85" s="11" t="str">
        <f>CONCATENATE("          ", "6375", " - ", "OUTSIDE REPAIRS &amp; MAINTENANCE")</f>
        <v xml:space="preserve">          6375 - OUTSIDE REPAIRS &amp; MAINTENANCE</v>
      </c>
      <c r="C85" s="11"/>
      <c r="D85" s="7">
        <v>158.25</v>
      </c>
      <c r="E85" s="2"/>
      <c r="F85" s="6">
        <f t="shared" si="37"/>
        <v>1.4093795657329732E-3</v>
      </c>
      <c r="G85" s="2"/>
      <c r="H85" s="7">
        <v>1450</v>
      </c>
      <c r="I85" s="2"/>
      <c r="J85" s="6">
        <f t="shared" si="38"/>
        <v>4.8071185137052606E-3</v>
      </c>
      <c r="K85" s="2"/>
      <c r="L85" s="7">
        <f t="shared" si="39"/>
        <v>-1291.75</v>
      </c>
      <c r="M85" s="2"/>
      <c r="N85" s="6">
        <f t="shared" si="40"/>
        <v>-0.89086206896551723</v>
      </c>
      <c r="O85" s="11"/>
      <c r="P85" s="7">
        <v>26861.41</v>
      </c>
      <c r="Q85" s="2"/>
      <c r="R85" s="6">
        <f t="shared" si="41"/>
        <v>1.7785954767539774E-2</v>
      </c>
      <c r="S85" s="2"/>
      <c r="T85" s="7">
        <v>25244</v>
      </c>
      <c r="U85" s="2"/>
      <c r="V85" s="6">
        <f t="shared" si="42"/>
        <v>6.0696305204989481E-3</v>
      </c>
      <c r="W85" s="2"/>
      <c r="X85" s="7">
        <f t="shared" si="43"/>
        <v>1617.4099999999999</v>
      </c>
      <c r="Y85" s="2"/>
      <c r="Z85" s="6">
        <f t="shared" si="44"/>
        <v>6.4071066392013945E-2</v>
      </c>
    </row>
    <row r="86" spans="1:26" s="27" customFormat="1" outlineLevel="1" collapsed="1" x14ac:dyDescent="0.25">
      <c r="A86" s="26"/>
      <c r="B86" s="13" t="str">
        <f>CONCATENATE("     ","Royalty &amp; Commissions                             ")</f>
        <v xml:space="preserve">     Royalty &amp; Commissions                             </v>
      </c>
      <c r="C86" s="13"/>
      <c r="D86" s="1">
        <f>SUM(OSRRefD22_16x_0)</f>
        <v>0</v>
      </c>
      <c r="E86" s="1"/>
      <c r="F86" s="5">
        <f t="shared" ref="F86:F88" si="45">IF(D$12=0,0,D86/D$12)</f>
        <v>0</v>
      </c>
      <c r="G86" s="1"/>
      <c r="H86" s="1">
        <f>SUM(OSRRefH22_16x_0)</f>
        <v>0</v>
      </c>
      <c r="I86" s="1"/>
      <c r="J86" s="5">
        <f t="shared" ref="J86:J88" si="46">IF(H$12=0,0,H86/H$12)</f>
        <v>0</v>
      </c>
      <c r="K86" s="1"/>
      <c r="L86" s="1">
        <f t="shared" ref="L86:L88" si="47">+D86-H86</f>
        <v>0</v>
      </c>
      <c r="M86" s="1"/>
      <c r="N86" s="5">
        <f t="shared" ref="N86:N88" si="48">IF(H86=0,0,L86/H86)</f>
        <v>0</v>
      </c>
      <c r="O86" s="13"/>
      <c r="P86" s="1">
        <f>SUM(OSRRefP22_16x_0)</f>
        <v>0</v>
      </c>
      <c r="Q86" s="1"/>
      <c r="R86" s="5">
        <f t="shared" ref="R86:R88" si="49">IF(P$12=0,0,P86/P$12)</f>
        <v>0</v>
      </c>
      <c r="S86" s="1"/>
      <c r="T86" s="1">
        <f>SUM(OSRRefT22_16x_0)</f>
        <v>0</v>
      </c>
      <c r="U86" s="1"/>
      <c r="V86" s="5">
        <f t="shared" ref="V86:V88" si="50">IF(T$12=0,0,T86/T$12)</f>
        <v>0</v>
      </c>
      <c r="W86" s="1"/>
      <c r="X86" s="1">
        <f t="shared" ref="X86:X88" si="51">+P86-T86</f>
        <v>0</v>
      </c>
      <c r="Y86" s="1"/>
      <c r="Z86" s="5">
        <f t="shared" ref="Z86:Z88" si="52">IF(T86=0,0,X86/T86)</f>
        <v>0</v>
      </c>
    </row>
    <row r="87" spans="1:26" s="24" customFormat="1" hidden="1" outlineLevel="2" x14ac:dyDescent="0.25">
      <c r="A87" s="25"/>
      <c r="B87" s="11" t="str">
        <f>CONCATENATE("          ", "6254", " - ", "ROYALTY &amp; COMMISSIONS")</f>
        <v xml:space="preserve">          6254 - ROYALTY &amp; COMMISSIONS</v>
      </c>
      <c r="C87" s="11"/>
      <c r="D87" s="7"/>
      <c r="E87" s="2"/>
      <c r="F87" s="6">
        <f t="shared" si="45"/>
        <v>0</v>
      </c>
      <c r="G87" s="2"/>
      <c r="H87" s="7">
        <v>0</v>
      </c>
      <c r="I87" s="2"/>
      <c r="J87" s="6">
        <f t="shared" si="46"/>
        <v>0</v>
      </c>
      <c r="K87" s="2"/>
      <c r="L87" s="7">
        <f t="shared" si="47"/>
        <v>0</v>
      </c>
      <c r="M87" s="2"/>
      <c r="N87" s="6">
        <f t="shared" si="48"/>
        <v>0</v>
      </c>
      <c r="O87" s="11"/>
      <c r="P87" s="7"/>
      <c r="Q87" s="2"/>
      <c r="R87" s="6">
        <f t="shared" si="49"/>
        <v>0</v>
      </c>
      <c r="S87" s="2"/>
      <c r="T87" s="7">
        <v>0</v>
      </c>
      <c r="U87" s="2"/>
      <c r="V87" s="6">
        <f t="shared" si="50"/>
        <v>0</v>
      </c>
      <c r="W87" s="2"/>
      <c r="X87" s="7">
        <f t="shared" si="51"/>
        <v>0</v>
      </c>
      <c r="Y87" s="2"/>
      <c r="Z87" s="6">
        <f t="shared" si="52"/>
        <v>0</v>
      </c>
    </row>
    <row r="88" spans="1:26" s="24" customFormat="1" hidden="1" outlineLevel="2" x14ac:dyDescent="0.25">
      <c r="A88" s="25"/>
      <c r="B88" s="11" t="str">
        <f>CONCATENATE("          ", "6259", " - ", "ROYALTY &amp; COMMISSIONS")</f>
        <v xml:space="preserve">          6259 - ROYALTY &amp; COMMISSIONS</v>
      </c>
      <c r="C88" s="11"/>
      <c r="D88" s="7"/>
      <c r="E88" s="2"/>
      <c r="F88" s="6">
        <f t="shared" si="45"/>
        <v>0</v>
      </c>
      <c r="G88" s="2"/>
      <c r="H88" s="7">
        <v>0</v>
      </c>
      <c r="I88" s="2"/>
      <c r="J88" s="6">
        <f t="shared" si="46"/>
        <v>0</v>
      </c>
      <c r="K88" s="2"/>
      <c r="L88" s="7">
        <f t="shared" si="47"/>
        <v>0</v>
      </c>
      <c r="M88" s="2"/>
      <c r="N88" s="6">
        <f t="shared" si="48"/>
        <v>0</v>
      </c>
      <c r="O88" s="11"/>
      <c r="P88" s="7"/>
      <c r="Q88" s="2"/>
      <c r="R88" s="6">
        <f t="shared" si="49"/>
        <v>0</v>
      </c>
      <c r="S88" s="2"/>
      <c r="T88" s="7">
        <v>0</v>
      </c>
      <c r="U88" s="2"/>
      <c r="V88" s="6">
        <f t="shared" si="50"/>
        <v>0</v>
      </c>
      <c r="W88" s="2"/>
      <c r="X88" s="7">
        <f t="shared" si="51"/>
        <v>0</v>
      </c>
      <c r="Y88" s="2"/>
      <c r="Z88" s="6">
        <f t="shared" si="52"/>
        <v>0</v>
      </c>
    </row>
    <row r="89" spans="1:26" s="27" customFormat="1" outlineLevel="1" collapsed="1" x14ac:dyDescent="0.25">
      <c r="A89" s="26"/>
      <c r="B89" s="13" t="str">
        <f>CONCATENATE("     ","Services                                          ")</f>
        <v xml:space="preserve">     Services                                          </v>
      </c>
      <c r="C89" s="13"/>
      <c r="D89" s="1">
        <f>SUM(OSRRefD22_17x_0)</f>
        <v>20786.100000000002</v>
      </c>
      <c r="E89" s="1"/>
      <c r="F89" s="5">
        <f t="shared" ref="F89:F94" si="53">IF(D$12=0,0,D89/D$12)</f>
        <v>0.18512167198282564</v>
      </c>
      <c r="G89" s="1"/>
      <c r="H89" s="1">
        <f>SUM(OSRRefH22_17x_0)</f>
        <v>26619</v>
      </c>
      <c r="I89" s="1"/>
      <c r="J89" s="5">
        <f t="shared" ref="J89:J94" si="54">IF(H$12=0,0,H89/H$12)</f>
        <v>8.8248750149186442E-2</v>
      </c>
      <c r="K89" s="1"/>
      <c r="L89" s="1">
        <f t="shared" ref="L89:L94" si="55">+D89-H89</f>
        <v>-5832.8999999999978</v>
      </c>
      <c r="M89" s="1"/>
      <c r="N89" s="5">
        <f t="shared" ref="N89:N94" si="56">IF(H89=0,0,L89/H89)</f>
        <v>-0.21912543671813359</v>
      </c>
      <c r="O89" s="13"/>
      <c r="P89" s="1">
        <f>SUM(OSRRefP22_17x_0)</f>
        <v>193052.65</v>
      </c>
      <c r="Q89" s="1"/>
      <c r="R89" s="5">
        <f t="shared" ref="R89:R94" si="57">IF(P$12=0,0,P89/P$12)</f>
        <v>0.1278274558429244</v>
      </c>
      <c r="S89" s="1"/>
      <c r="T89" s="1">
        <f>SUM(OSRRefT22_17x_0)</f>
        <v>293497</v>
      </c>
      <c r="U89" s="1"/>
      <c r="V89" s="5">
        <f t="shared" ref="V89:V94" si="58">IF(T$12=0,0,T89/T$12)</f>
        <v>7.0567990368993819E-2</v>
      </c>
      <c r="W89" s="1"/>
      <c r="X89" s="1">
        <f t="shared" ref="X89:X94" si="59">+P89-T89</f>
        <v>-100444.35</v>
      </c>
      <c r="Y89" s="1"/>
      <c r="Z89" s="5">
        <f t="shared" ref="Z89:Z94" si="60">IF(T89=0,0,X89/T89)</f>
        <v>-0.34223297001332215</v>
      </c>
    </row>
    <row r="90" spans="1:26" s="24" customFormat="1" hidden="1" outlineLevel="2" x14ac:dyDescent="0.25">
      <c r="A90" s="25"/>
      <c r="B90" s="11" t="str">
        <f>CONCATENATE("          ", "6282", " - ", "JANITORIAL/EXTERMINATOR EXPENS")</f>
        <v xml:space="preserve">          6282 - JANITORIAL/EXTERMINATOR EXPENS</v>
      </c>
      <c r="C90" s="11"/>
      <c r="D90" s="7">
        <v>2158.4</v>
      </c>
      <c r="E90" s="2"/>
      <c r="F90" s="6">
        <f t="shared" si="53"/>
        <v>1.922277949243633E-2</v>
      </c>
      <c r="G90" s="2"/>
      <c r="H90" s="7">
        <v>2926</v>
      </c>
      <c r="I90" s="2"/>
      <c r="J90" s="6">
        <f t="shared" si="54"/>
        <v>9.700433635242478E-3</v>
      </c>
      <c r="K90" s="2"/>
      <c r="L90" s="7">
        <f t="shared" si="55"/>
        <v>-767.59999999999991</v>
      </c>
      <c r="M90" s="2"/>
      <c r="N90" s="6">
        <f t="shared" si="56"/>
        <v>-0.26233766233766231</v>
      </c>
      <c r="O90" s="11"/>
      <c r="P90" s="7">
        <v>26715.38</v>
      </c>
      <c r="Q90" s="2"/>
      <c r="R90" s="6">
        <f t="shared" si="57"/>
        <v>1.7689262785447107E-2</v>
      </c>
      <c r="S90" s="2"/>
      <c r="T90" s="7">
        <v>30601</v>
      </c>
      <c r="U90" s="2"/>
      <c r="V90" s="6">
        <f t="shared" si="58"/>
        <v>7.3576597828311011E-3</v>
      </c>
      <c r="W90" s="2"/>
      <c r="X90" s="7">
        <f t="shared" si="59"/>
        <v>-3885.619999999999</v>
      </c>
      <c r="Y90" s="2"/>
      <c r="Z90" s="6">
        <f t="shared" si="60"/>
        <v>-0.12697689617986338</v>
      </c>
    </row>
    <row r="91" spans="1:26" s="24" customFormat="1" hidden="1" outlineLevel="2" x14ac:dyDescent="0.25">
      <c r="A91" s="25"/>
      <c r="B91" s="11" t="str">
        <f>CONCATENATE("          ", "6283", " - ", "PLANT SERVICE")</f>
        <v xml:space="preserve">          6283 - PLANT SERVICE</v>
      </c>
      <c r="C91" s="11"/>
      <c r="D91" s="7"/>
      <c r="E91" s="2"/>
      <c r="F91" s="6">
        <f t="shared" si="53"/>
        <v>0</v>
      </c>
      <c r="G91" s="2"/>
      <c r="H91" s="7">
        <v>0</v>
      </c>
      <c r="I91" s="2"/>
      <c r="J91" s="6">
        <f t="shared" si="54"/>
        <v>0</v>
      </c>
      <c r="K91" s="2"/>
      <c r="L91" s="7">
        <f t="shared" si="55"/>
        <v>0</v>
      </c>
      <c r="M91" s="2"/>
      <c r="N91" s="6">
        <f t="shared" si="56"/>
        <v>0</v>
      </c>
      <c r="O91" s="11"/>
      <c r="P91" s="7"/>
      <c r="Q91" s="2"/>
      <c r="R91" s="6">
        <f t="shared" si="57"/>
        <v>0</v>
      </c>
      <c r="S91" s="2"/>
      <c r="T91" s="7">
        <v>310</v>
      </c>
      <c r="U91" s="2"/>
      <c r="V91" s="6">
        <f t="shared" si="58"/>
        <v>7.453594760555673E-5</v>
      </c>
      <c r="W91" s="2"/>
      <c r="X91" s="7">
        <f t="shared" si="59"/>
        <v>-310</v>
      </c>
      <c r="Y91" s="2"/>
      <c r="Z91" s="6">
        <f t="shared" si="60"/>
        <v>-1</v>
      </c>
    </row>
    <row r="92" spans="1:26" s="24" customFormat="1" hidden="1" outlineLevel="2" x14ac:dyDescent="0.25">
      <c r="A92" s="25"/>
      <c r="B92" s="11" t="str">
        <f>CONCATENATE("          ", "6284", " - ", "TRASH REMOVAL EXPENSE")</f>
        <v xml:space="preserve">          6284 - TRASH REMOVAL EXPENSE</v>
      </c>
      <c r="C92" s="11"/>
      <c r="D92" s="7">
        <v>5130</v>
      </c>
      <c r="E92" s="2"/>
      <c r="F92" s="6">
        <f t="shared" si="53"/>
        <v>4.5687944216177896E-2</v>
      </c>
      <c r="G92" s="2"/>
      <c r="H92" s="7">
        <v>3000</v>
      </c>
      <c r="I92" s="2"/>
      <c r="J92" s="6">
        <f t="shared" si="54"/>
        <v>9.9457624421488144E-3</v>
      </c>
      <c r="K92" s="2"/>
      <c r="L92" s="7">
        <f t="shared" si="55"/>
        <v>2130</v>
      </c>
      <c r="M92" s="2"/>
      <c r="N92" s="6">
        <f t="shared" si="56"/>
        <v>0.71</v>
      </c>
      <c r="O92" s="11"/>
      <c r="P92" s="7">
        <v>31424.75</v>
      </c>
      <c r="Q92" s="2"/>
      <c r="R92" s="6">
        <f t="shared" si="57"/>
        <v>2.0807514649500737E-2</v>
      </c>
      <c r="S92" s="2"/>
      <c r="T92" s="7">
        <v>38402</v>
      </c>
      <c r="U92" s="2"/>
      <c r="V92" s="6">
        <f t="shared" si="58"/>
        <v>9.2333208385438365E-3</v>
      </c>
      <c r="W92" s="2"/>
      <c r="X92" s="7">
        <f t="shared" si="59"/>
        <v>-6977.25</v>
      </c>
      <c r="Y92" s="2"/>
      <c r="Z92" s="6">
        <f t="shared" si="60"/>
        <v>-0.18168975574188845</v>
      </c>
    </row>
    <row r="93" spans="1:26" s="24" customFormat="1" hidden="1" outlineLevel="2" x14ac:dyDescent="0.25">
      <c r="A93" s="25"/>
      <c r="B93" s="11" t="str">
        <f>CONCATENATE("          ", "6285", " - ", "JANITORIAL SERVICES")</f>
        <v xml:space="preserve">          6285 - JANITORIAL SERVICES</v>
      </c>
      <c r="C93" s="11"/>
      <c r="D93" s="7">
        <v>12282.71</v>
      </c>
      <c r="E93" s="2"/>
      <c r="F93" s="6">
        <f t="shared" si="53"/>
        <v>0.1093902084412262</v>
      </c>
      <c r="G93" s="2"/>
      <c r="H93" s="7">
        <v>16193</v>
      </c>
      <c r="I93" s="2"/>
      <c r="J93" s="6">
        <f t="shared" si="54"/>
        <v>5.3683910408571921E-2</v>
      </c>
      <c r="K93" s="2"/>
      <c r="L93" s="7">
        <f t="shared" si="55"/>
        <v>-3910.2900000000009</v>
      </c>
      <c r="M93" s="2"/>
      <c r="N93" s="6">
        <f t="shared" si="56"/>
        <v>-0.24148026925214605</v>
      </c>
      <c r="O93" s="11"/>
      <c r="P93" s="7">
        <v>118205.15</v>
      </c>
      <c r="Q93" s="2"/>
      <c r="R93" s="6">
        <f t="shared" si="57"/>
        <v>7.8268097288647698E-2</v>
      </c>
      <c r="S93" s="2"/>
      <c r="T93" s="7">
        <v>174684</v>
      </c>
      <c r="U93" s="2"/>
      <c r="V93" s="6">
        <f t="shared" si="58"/>
        <v>4.2000766037190551E-2</v>
      </c>
      <c r="W93" s="2"/>
      <c r="X93" s="7">
        <f t="shared" si="59"/>
        <v>-56478.850000000006</v>
      </c>
      <c r="Y93" s="2"/>
      <c r="Z93" s="6">
        <f t="shared" si="60"/>
        <v>-0.32332010945478695</v>
      </c>
    </row>
    <row r="94" spans="1:26" s="24" customFormat="1" hidden="1" outlineLevel="2" x14ac:dyDescent="0.25">
      <c r="A94" s="25"/>
      <c r="B94" s="11" t="str">
        <f>CONCATENATE("          ", "6286", " - ", "LAUNDRY EXPENSE")</f>
        <v xml:space="preserve">          6286 - LAUNDRY EXPENSE</v>
      </c>
      <c r="C94" s="11"/>
      <c r="D94" s="7">
        <v>1214.99</v>
      </c>
      <c r="E94" s="2"/>
      <c r="F94" s="6">
        <f t="shared" si="53"/>
        <v>1.0820739832985182E-2</v>
      </c>
      <c r="G94" s="2"/>
      <c r="H94" s="7">
        <v>4500</v>
      </c>
      <c r="I94" s="2"/>
      <c r="J94" s="6">
        <f t="shared" si="54"/>
        <v>1.4918643663223223E-2</v>
      </c>
      <c r="K94" s="2"/>
      <c r="L94" s="7">
        <f t="shared" si="55"/>
        <v>-3285.01</v>
      </c>
      <c r="M94" s="2"/>
      <c r="N94" s="6">
        <f t="shared" si="56"/>
        <v>-0.73000222222222222</v>
      </c>
      <c r="O94" s="11"/>
      <c r="P94" s="7">
        <v>16707.37</v>
      </c>
      <c r="Q94" s="2"/>
      <c r="R94" s="6">
        <f t="shared" si="57"/>
        <v>1.1062581119328844E-2</v>
      </c>
      <c r="S94" s="2"/>
      <c r="T94" s="7">
        <v>49500</v>
      </c>
      <c r="U94" s="2"/>
      <c r="V94" s="6">
        <f t="shared" si="58"/>
        <v>1.1901707762822768E-2</v>
      </c>
      <c r="W94" s="2"/>
      <c r="X94" s="7">
        <f t="shared" si="59"/>
        <v>-32792.630000000005</v>
      </c>
      <c r="Y94" s="2"/>
      <c r="Z94" s="6">
        <f t="shared" si="60"/>
        <v>-0.66247737373737381</v>
      </c>
    </row>
    <row r="95" spans="1:26" s="27" customFormat="1" outlineLevel="1" collapsed="1" x14ac:dyDescent="0.25">
      <c r="A95" s="26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SUM(OSRRefD22_18x_0)</f>
        <v>132.16999999999999</v>
      </c>
      <c r="E95" s="1"/>
      <c r="F95" s="5">
        <f t="shared" ref="F95:F97" si="61">IF(D$12=0,0,D95/D$12)</f>
        <v>1.1771102508873748E-3</v>
      </c>
      <c r="G95" s="1"/>
      <c r="H95" s="1">
        <f>SUM(OSRRefH22_18x_0)</f>
        <v>200</v>
      </c>
      <c r="I95" s="1"/>
      <c r="J95" s="5">
        <f t="shared" ref="J95:J97" si="62">IF(H$12=0,0,H95/H$12)</f>
        <v>6.6305082947658767E-4</v>
      </c>
      <c r="K95" s="1"/>
      <c r="L95" s="1">
        <f t="shared" ref="L95:L97" si="63">+D95-H95</f>
        <v>-67.830000000000013</v>
      </c>
      <c r="M95" s="1"/>
      <c r="N95" s="5">
        <f t="shared" ref="N95:N97" si="64">IF(H95=0,0,L95/H95)</f>
        <v>-0.33915000000000006</v>
      </c>
      <c r="O95" s="13"/>
      <c r="P95" s="1">
        <f>SUM(OSRRefP22_18x_0)</f>
        <v>1843.25</v>
      </c>
      <c r="Q95" s="1"/>
      <c r="R95" s="5">
        <f t="shared" ref="R95:R97" si="65">IF(P$12=0,0,P95/P$12)</f>
        <v>1.2204854892303753E-3</v>
      </c>
      <c r="S95" s="1"/>
      <c r="T95" s="1">
        <f>SUM(OSRRefT22_18x_0)</f>
        <v>3081</v>
      </c>
      <c r="U95" s="1"/>
      <c r="V95" s="5">
        <f t="shared" ref="V95:V97" si="66">IF(T$12=0,0,T95/T$12)</f>
        <v>7.4079114378296858E-4</v>
      </c>
      <c r="W95" s="1"/>
      <c r="X95" s="1">
        <f t="shared" ref="X95:X97" si="67">+P95-T95</f>
        <v>-1237.75</v>
      </c>
      <c r="Y95" s="1"/>
      <c r="Z95" s="5">
        <f t="shared" ref="Z95:Z97" si="68">IF(T95=0,0,X95/T95)</f>
        <v>-0.40173644920480361</v>
      </c>
    </row>
    <row r="96" spans="1:26" s="24" customFormat="1" hidden="1" outlineLevel="2" x14ac:dyDescent="0.25">
      <c r="A96" s="25"/>
      <c r="B96" s="11" t="str">
        <f>CONCATENATE("          ", "6258", " - ", "MEMBERSHIP DUES")</f>
        <v xml:space="preserve">          6258 - MEMBERSHIP DUES</v>
      </c>
      <c r="C96" s="11"/>
      <c r="D96" s="7"/>
      <c r="E96" s="2"/>
      <c r="F96" s="6">
        <f t="shared" si="61"/>
        <v>0</v>
      </c>
      <c r="G96" s="2"/>
      <c r="H96" s="7"/>
      <c r="I96" s="2"/>
      <c r="J96" s="6">
        <f t="shared" si="62"/>
        <v>0</v>
      </c>
      <c r="K96" s="2"/>
      <c r="L96" s="7">
        <f t="shared" si="63"/>
        <v>0</v>
      </c>
      <c r="M96" s="2"/>
      <c r="N96" s="6">
        <f t="shared" si="64"/>
        <v>0</v>
      </c>
      <c r="O96" s="11"/>
      <c r="P96" s="7">
        <v>795</v>
      </c>
      <c r="Q96" s="2"/>
      <c r="R96" s="6">
        <f t="shared" si="65"/>
        <v>5.2639954641971968E-4</v>
      </c>
      <c r="S96" s="2"/>
      <c r="T96" s="7">
        <v>900</v>
      </c>
      <c r="U96" s="2"/>
      <c r="V96" s="6">
        <f t="shared" si="66"/>
        <v>2.163946865967776E-4</v>
      </c>
      <c r="W96" s="2"/>
      <c r="X96" s="7">
        <f t="shared" si="67"/>
        <v>-105</v>
      </c>
      <c r="Y96" s="2"/>
      <c r="Z96" s="6">
        <f t="shared" si="68"/>
        <v>-0.11666666666666667</v>
      </c>
    </row>
    <row r="97" spans="1:26" s="24" customFormat="1" hidden="1" outlineLevel="2" x14ac:dyDescent="0.25">
      <c r="A97" s="25"/>
      <c r="B97" s="11" t="str">
        <f>CONCATENATE("          ", "6275", " - ", "SUBSCRIPTIONS")</f>
        <v xml:space="preserve">          6275 - SUBSCRIPTIONS</v>
      </c>
      <c r="C97" s="11"/>
      <c r="D97" s="7">
        <v>132.16999999999999</v>
      </c>
      <c r="E97" s="2"/>
      <c r="F97" s="6">
        <f t="shared" si="61"/>
        <v>1.1771102508873748E-3</v>
      </c>
      <c r="G97" s="2"/>
      <c r="H97" s="7">
        <v>200</v>
      </c>
      <c r="I97" s="2"/>
      <c r="J97" s="6">
        <f t="shared" si="62"/>
        <v>6.6305082947658767E-4</v>
      </c>
      <c r="K97" s="2"/>
      <c r="L97" s="7">
        <f t="shared" si="63"/>
        <v>-67.830000000000013</v>
      </c>
      <c r="M97" s="2"/>
      <c r="N97" s="6">
        <f t="shared" si="64"/>
        <v>-0.33915000000000006</v>
      </c>
      <c r="O97" s="11"/>
      <c r="P97" s="7">
        <v>1048.25</v>
      </c>
      <c r="Q97" s="2"/>
      <c r="R97" s="6">
        <f t="shared" si="65"/>
        <v>6.9408594281065549E-4</v>
      </c>
      <c r="S97" s="2"/>
      <c r="T97" s="7">
        <v>2181</v>
      </c>
      <c r="U97" s="2"/>
      <c r="V97" s="6">
        <f t="shared" si="66"/>
        <v>5.2439645718619103E-4</v>
      </c>
      <c r="W97" s="2"/>
      <c r="X97" s="7">
        <f t="shared" si="67"/>
        <v>-1132.75</v>
      </c>
      <c r="Y97" s="2"/>
      <c r="Z97" s="6">
        <f t="shared" si="68"/>
        <v>-0.51937184777624945</v>
      </c>
    </row>
    <row r="98" spans="1:26" s="27" customFormat="1" outlineLevel="1" collapsed="1" x14ac:dyDescent="0.25">
      <c r="A98" s="26"/>
      <c r="B98" s="13" t="str">
        <f>CONCATENATE("     ","Supplies                                          ")</f>
        <v xml:space="preserve">     Supplies                                          </v>
      </c>
      <c r="C98" s="13"/>
      <c r="D98" s="1">
        <f>SUM(OSRRefD22_19x_0)</f>
        <v>9784.5600000000013</v>
      </c>
      <c r="E98" s="1"/>
      <c r="F98" s="5">
        <f t="shared" ref="F98:F109" si="69">IF(D$12=0,0,D98/D$12)</f>
        <v>8.7141604573069326E-2</v>
      </c>
      <c r="G98" s="1"/>
      <c r="H98" s="1">
        <f>SUM(OSRRefH22_19x_0)</f>
        <v>26793</v>
      </c>
      <c r="I98" s="1"/>
      <c r="J98" s="5">
        <f t="shared" ref="J98:J109" si="70">IF(H$12=0,0,H98/H$12)</f>
        <v>8.8825604370831063E-2</v>
      </c>
      <c r="K98" s="1"/>
      <c r="L98" s="1">
        <f t="shared" ref="L98:L109" si="71">+D98-H98</f>
        <v>-17008.439999999999</v>
      </c>
      <c r="M98" s="1"/>
      <c r="N98" s="5">
        <f t="shared" ref="N98:N109" si="72">IF(H98=0,0,L98/H98)</f>
        <v>-0.63480909192699586</v>
      </c>
      <c r="O98" s="13"/>
      <c r="P98" s="1">
        <f>SUM(OSRRefP22_19x_0)</f>
        <v>122497.12</v>
      </c>
      <c r="Q98" s="1"/>
      <c r="R98" s="5">
        <f t="shared" ref="R98:R109" si="73">IF(P$12=0,0,P98/P$12)</f>
        <v>8.1109972837386121E-2</v>
      </c>
      <c r="S98" s="1"/>
      <c r="T98" s="1">
        <f>SUM(OSRRefT22_19x_0)</f>
        <v>303160</v>
      </c>
      <c r="U98" s="1"/>
      <c r="V98" s="5">
        <f t="shared" ref="V98:V109" si="74">IF(T$12=0,0,T98/T$12)</f>
        <v>7.2891347987421223E-2</v>
      </c>
      <c r="W98" s="1"/>
      <c r="X98" s="1">
        <f t="shared" ref="X98:X109" si="75">+P98-T98</f>
        <v>-180662.88</v>
      </c>
      <c r="Y98" s="1"/>
      <c r="Z98" s="5">
        <f t="shared" ref="Z98:Z109" si="76">IF(T98=0,0,X98/T98)</f>
        <v>-0.595932444913577</v>
      </c>
    </row>
    <row r="99" spans="1:26" s="24" customFormat="1" hidden="1" outlineLevel="2" x14ac:dyDescent="0.25">
      <c r="A99" s="25"/>
      <c r="B99" s="11" t="str">
        <f>CONCATENATE("          ", "6234", " - ", "EXPENDABLE SUPPLIES &amp; EQUIPMEN")</f>
        <v xml:space="preserve">          6234 - EXPENDABLE SUPPLIES &amp; EQUIPMEN</v>
      </c>
      <c r="C99" s="11"/>
      <c r="D99" s="7"/>
      <c r="E99" s="2"/>
      <c r="F99" s="6">
        <f t="shared" si="69"/>
        <v>0</v>
      </c>
      <c r="G99" s="2"/>
      <c r="H99" s="7">
        <v>100</v>
      </c>
      <c r="I99" s="2"/>
      <c r="J99" s="6">
        <f t="shared" si="70"/>
        <v>3.3152541473829383E-4</v>
      </c>
      <c r="K99" s="2"/>
      <c r="L99" s="7">
        <f t="shared" si="71"/>
        <v>-100</v>
      </c>
      <c r="M99" s="2"/>
      <c r="N99" s="6">
        <f t="shared" si="72"/>
        <v>-1</v>
      </c>
      <c r="O99" s="11"/>
      <c r="P99" s="7">
        <v>337.16</v>
      </c>
      <c r="Q99" s="2"/>
      <c r="R99" s="6">
        <f t="shared" si="73"/>
        <v>2.2324637870550025E-4</v>
      </c>
      <c r="S99" s="2"/>
      <c r="T99" s="7">
        <v>2176</v>
      </c>
      <c r="U99" s="2"/>
      <c r="V99" s="6">
        <f t="shared" si="74"/>
        <v>5.2319426448287564E-4</v>
      </c>
      <c r="W99" s="2"/>
      <c r="X99" s="7">
        <f t="shared" si="75"/>
        <v>-1838.84</v>
      </c>
      <c r="Y99" s="2"/>
      <c r="Z99" s="6">
        <f t="shared" si="76"/>
        <v>-0.84505514705882345</v>
      </c>
    </row>
    <row r="100" spans="1:26" s="24" customFormat="1" hidden="1" outlineLevel="2" x14ac:dyDescent="0.25">
      <c r="A100" s="25"/>
      <c r="B100" s="11" t="str">
        <f>CONCATENATE("          ", "6235", " - ", "COVID-19 EXPENSES")</f>
        <v xml:space="preserve">          6235 - COVID-19 EXPENSES</v>
      </c>
      <c r="C100" s="11"/>
      <c r="D100" s="7">
        <v>2921.2</v>
      </c>
      <c r="E100" s="2"/>
      <c r="F100" s="6">
        <f t="shared" si="69"/>
        <v>2.6016300710389642E-2</v>
      </c>
      <c r="G100" s="2"/>
      <c r="H100" s="7">
        <v>12200</v>
      </c>
      <c r="I100" s="2"/>
      <c r="J100" s="6">
        <f t="shared" si="70"/>
        <v>4.0446100598071848E-2</v>
      </c>
      <c r="K100" s="2"/>
      <c r="L100" s="7">
        <f t="shared" si="71"/>
        <v>-9278.7999999999993</v>
      </c>
      <c r="M100" s="2"/>
      <c r="N100" s="6">
        <f t="shared" si="72"/>
        <v>-0.76055737704918025</v>
      </c>
      <c r="O100" s="11"/>
      <c r="P100" s="7">
        <v>66359.259999999995</v>
      </c>
      <c r="Q100" s="2"/>
      <c r="R100" s="6">
        <f t="shared" si="73"/>
        <v>4.393897404370848E-2</v>
      </c>
      <c r="S100" s="2"/>
      <c r="T100" s="7">
        <v>127200</v>
      </c>
      <c r="U100" s="2"/>
      <c r="V100" s="6">
        <f t="shared" si="74"/>
        <v>3.0583782372344565E-2</v>
      </c>
      <c r="W100" s="2"/>
      <c r="X100" s="7">
        <f t="shared" si="75"/>
        <v>-60840.740000000005</v>
      </c>
      <c r="Y100" s="2"/>
      <c r="Z100" s="6">
        <f t="shared" si="76"/>
        <v>-0.47830770440251574</v>
      </c>
    </row>
    <row r="101" spans="1:26" s="24" customFormat="1" hidden="1" outlineLevel="2" x14ac:dyDescent="0.25">
      <c r="A101" s="25"/>
      <c r="B101" s="11" t="str">
        <f>CONCATENATE("          ", "6237", " - ", "JANITORIAL SUPPLIES")</f>
        <v xml:space="preserve">          6237 - JANITORIAL SUPPLIES</v>
      </c>
      <c r="C101" s="11"/>
      <c r="D101" s="7">
        <v>1395.01</v>
      </c>
      <c r="E101" s="2"/>
      <c r="F101" s="6">
        <f t="shared" si="69"/>
        <v>1.2424003715596555E-2</v>
      </c>
      <c r="G101" s="2"/>
      <c r="H101" s="7">
        <v>9250</v>
      </c>
      <c r="I101" s="2"/>
      <c r="J101" s="6">
        <f t="shared" si="70"/>
        <v>3.0666100863292179E-2</v>
      </c>
      <c r="K101" s="2"/>
      <c r="L101" s="7">
        <f t="shared" si="71"/>
        <v>-7854.99</v>
      </c>
      <c r="M101" s="2"/>
      <c r="N101" s="6">
        <f t="shared" si="72"/>
        <v>-0.84918810810810808</v>
      </c>
      <c r="O101" s="11"/>
      <c r="P101" s="7">
        <v>23495.64</v>
      </c>
      <c r="Q101" s="2"/>
      <c r="R101" s="6">
        <f t="shared" si="73"/>
        <v>1.5557351243825185E-2</v>
      </c>
      <c r="S101" s="2"/>
      <c r="T101" s="7">
        <v>104399</v>
      </c>
      <c r="U101" s="2"/>
      <c r="V101" s="6">
        <f t="shared" si="74"/>
        <v>2.5101543206685537E-2</v>
      </c>
      <c r="W101" s="2"/>
      <c r="X101" s="7">
        <f t="shared" si="75"/>
        <v>-80903.360000000001</v>
      </c>
      <c r="Y101" s="2"/>
      <c r="Z101" s="6">
        <f t="shared" si="76"/>
        <v>-0.77494382130097028</v>
      </c>
    </row>
    <row r="102" spans="1:26" s="24" customFormat="1" hidden="1" outlineLevel="2" x14ac:dyDescent="0.25">
      <c r="A102" s="25"/>
      <c r="B102" s="11" t="str">
        <f>CONCATENATE("          ", "6239", " - ", "KITCHEN SUPPLIES")</f>
        <v xml:space="preserve">          6239 - KITCHEN SUPPLIES</v>
      </c>
      <c r="C102" s="11"/>
      <c r="D102" s="7">
        <v>618.89</v>
      </c>
      <c r="E102" s="2"/>
      <c r="F102" s="6">
        <f t="shared" si="69"/>
        <v>5.5118541512573756E-3</v>
      </c>
      <c r="G102" s="2"/>
      <c r="H102" s="7">
        <v>2350</v>
      </c>
      <c r="I102" s="2"/>
      <c r="J102" s="6">
        <f t="shared" si="70"/>
        <v>7.7908472463499049E-3</v>
      </c>
      <c r="K102" s="2"/>
      <c r="L102" s="7">
        <f t="shared" si="71"/>
        <v>-1731.1100000000001</v>
      </c>
      <c r="M102" s="2"/>
      <c r="N102" s="6">
        <f t="shared" si="72"/>
        <v>-0.73664255319148941</v>
      </c>
      <c r="O102" s="11"/>
      <c r="P102" s="7">
        <v>7886.1</v>
      </c>
      <c r="Q102" s="2"/>
      <c r="R102" s="6">
        <f t="shared" si="73"/>
        <v>5.2216848591453476E-3</v>
      </c>
      <c r="S102" s="2"/>
      <c r="T102" s="7">
        <v>24993</v>
      </c>
      <c r="U102" s="2"/>
      <c r="V102" s="6">
        <f t="shared" si="74"/>
        <v>6.0092804467925141E-3</v>
      </c>
      <c r="W102" s="2"/>
      <c r="X102" s="7">
        <f t="shared" si="75"/>
        <v>-17106.900000000001</v>
      </c>
      <c r="Y102" s="2"/>
      <c r="Z102" s="6">
        <f t="shared" si="76"/>
        <v>-0.68446765094226392</v>
      </c>
    </row>
    <row r="103" spans="1:26" s="24" customFormat="1" hidden="1" outlineLevel="2" x14ac:dyDescent="0.25">
      <c r="A103" s="25"/>
      <c r="B103" s="11" t="str">
        <f>CONCATENATE("          ", "6241", " - ", "OFFICE EXPENSE")</f>
        <v xml:space="preserve">          6241 - OFFICE EXPENSE</v>
      </c>
      <c r="C103" s="11"/>
      <c r="D103" s="7">
        <v>1506.51</v>
      </c>
      <c r="E103" s="2"/>
      <c r="F103" s="6">
        <f t="shared" si="69"/>
        <v>1.3417026284817576E-2</v>
      </c>
      <c r="G103" s="2"/>
      <c r="H103" s="7">
        <v>1025</v>
      </c>
      <c r="I103" s="2"/>
      <c r="J103" s="6">
        <f t="shared" si="70"/>
        <v>3.3981355010675117E-3</v>
      </c>
      <c r="K103" s="2"/>
      <c r="L103" s="7">
        <f t="shared" si="71"/>
        <v>481.51</v>
      </c>
      <c r="M103" s="2"/>
      <c r="N103" s="6">
        <f t="shared" si="72"/>
        <v>0.46976585365853657</v>
      </c>
      <c r="O103" s="11"/>
      <c r="P103" s="7">
        <v>-19055.830000000002</v>
      </c>
      <c r="Q103" s="2"/>
      <c r="R103" s="6">
        <f t="shared" si="73"/>
        <v>-1.2617585243586525E-2</v>
      </c>
      <c r="S103" s="2"/>
      <c r="T103" s="7">
        <v>16487</v>
      </c>
      <c r="U103" s="2"/>
      <c r="V103" s="6">
        <f t="shared" si="74"/>
        <v>3.9641102199123026E-3</v>
      </c>
      <c r="W103" s="2"/>
      <c r="X103" s="7">
        <f t="shared" si="75"/>
        <v>-35542.83</v>
      </c>
      <c r="Y103" s="2"/>
      <c r="Z103" s="6">
        <f t="shared" si="76"/>
        <v>-2.1558094256080551</v>
      </c>
    </row>
    <row r="104" spans="1:26" s="24" customFormat="1" hidden="1" outlineLevel="2" x14ac:dyDescent="0.25">
      <c r="A104" s="25"/>
      <c r="B104" s="11" t="str">
        <f>CONCATENATE("          ", "6243", " - ", "PAPER SUPPLIES")</f>
        <v xml:space="preserve">          6243 - PAPER SUPPLIES</v>
      </c>
      <c r="C104" s="11"/>
      <c r="D104" s="7">
        <v>3342.95</v>
      </c>
      <c r="E104" s="2"/>
      <c r="F104" s="6">
        <f t="shared" si="69"/>
        <v>2.9772419711008167E-2</v>
      </c>
      <c r="G104" s="2"/>
      <c r="H104" s="7">
        <v>1100</v>
      </c>
      <c r="I104" s="2"/>
      <c r="J104" s="6">
        <f t="shared" si="70"/>
        <v>3.6467795621212321E-3</v>
      </c>
      <c r="K104" s="2"/>
      <c r="L104" s="7">
        <f t="shared" si="71"/>
        <v>2242.9499999999998</v>
      </c>
      <c r="M104" s="2"/>
      <c r="N104" s="6">
        <f t="shared" si="72"/>
        <v>2.0390454545454544</v>
      </c>
      <c r="O104" s="11"/>
      <c r="P104" s="7">
        <v>38974.199999999997</v>
      </c>
      <c r="Q104" s="2"/>
      <c r="R104" s="6">
        <f t="shared" si="73"/>
        <v>2.5806290820215644E-2</v>
      </c>
      <c r="S104" s="2"/>
      <c r="T104" s="7">
        <v>11819</v>
      </c>
      <c r="U104" s="2"/>
      <c r="V104" s="6">
        <f t="shared" si="74"/>
        <v>2.841743112097016E-3</v>
      </c>
      <c r="W104" s="2"/>
      <c r="X104" s="7">
        <f t="shared" si="75"/>
        <v>27155.199999999997</v>
      </c>
      <c r="Y104" s="2"/>
      <c r="Z104" s="6">
        <f t="shared" si="76"/>
        <v>2.2975886284795664</v>
      </c>
    </row>
    <row r="105" spans="1:26" s="24" customFormat="1" hidden="1" outlineLevel="2" x14ac:dyDescent="0.25">
      <c r="A105" s="25"/>
      <c r="B105" s="11" t="str">
        <f>CONCATENATE("          ", "6244", " - ", "SAFETY SUPPLY EXPENSE")</f>
        <v xml:space="preserve">          6244 - SAFETY SUPPLY EXPENSE</v>
      </c>
      <c r="C105" s="11"/>
      <c r="D105" s="7"/>
      <c r="E105" s="2"/>
      <c r="F105" s="6">
        <f t="shared" si="69"/>
        <v>0</v>
      </c>
      <c r="G105" s="2"/>
      <c r="H105" s="7">
        <v>100</v>
      </c>
      <c r="I105" s="2"/>
      <c r="J105" s="6">
        <f t="shared" si="70"/>
        <v>3.3152541473829383E-4</v>
      </c>
      <c r="K105" s="2"/>
      <c r="L105" s="7">
        <f t="shared" si="71"/>
        <v>-100</v>
      </c>
      <c r="M105" s="2"/>
      <c r="N105" s="6">
        <f t="shared" si="72"/>
        <v>-1</v>
      </c>
      <c r="O105" s="11"/>
      <c r="P105" s="7"/>
      <c r="Q105" s="2"/>
      <c r="R105" s="6">
        <f t="shared" si="73"/>
        <v>0</v>
      </c>
      <c r="S105" s="2"/>
      <c r="T105" s="7">
        <v>1480</v>
      </c>
      <c r="U105" s="2"/>
      <c r="V105" s="6">
        <f t="shared" si="74"/>
        <v>3.5584904018136761E-4</v>
      </c>
      <c r="W105" s="2"/>
      <c r="X105" s="7">
        <f t="shared" si="75"/>
        <v>-1480</v>
      </c>
      <c r="Y105" s="2"/>
      <c r="Z105" s="6">
        <f t="shared" si="76"/>
        <v>-1</v>
      </c>
    </row>
    <row r="106" spans="1:26" s="24" customFormat="1" hidden="1" outlineLevel="2" x14ac:dyDescent="0.25">
      <c r="A106" s="25"/>
      <c r="B106" s="11" t="str">
        <f>CONCATENATE("          ", "6245", " - ", "PRINTING")</f>
        <v xml:space="preserve">          6245 - PRINTING</v>
      </c>
      <c r="C106" s="11"/>
      <c r="D106" s="7"/>
      <c r="E106" s="2"/>
      <c r="F106" s="6">
        <f t="shared" si="69"/>
        <v>0</v>
      </c>
      <c r="G106" s="2"/>
      <c r="H106" s="7">
        <v>150</v>
      </c>
      <c r="I106" s="2"/>
      <c r="J106" s="6">
        <f t="shared" si="70"/>
        <v>4.9728812210744072E-4</v>
      </c>
      <c r="K106" s="2"/>
      <c r="L106" s="7">
        <f t="shared" si="71"/>
        <v>-150</v>
      </c>
      <c r="M106" s="2"/>
      <c r="N106" s="6">
        <f t="shared" si="72"/>
        <v>-1</v>
      </c>
      <c r="O106" s="11"/>
      <c r="P106" s="7"/>
      <c r="Q106" s="2"/>
      <c r="R106" s="6">
        <f t="shared" si="73"/>
        <v>0</v>
      </c>
      <c r="S106" s="2"/>
      <c r="T106" s="7">
        <v>2650</v>
      </c>
      <c r="U106" s="2"/>
      <c r="V106" s="6">
        <f t="shared" si="74"/>
        <v>6.3716213275717844E-4</v>
      </c>
      <c r="W106" s="2"/>
      <c r="X106" s="7">
        <f t="shared" si="75"/>
        <v>-2650</v>
      </c>
      <c r="Y106" s="2"/>
      <c r="Z106" s="6">
        <f t="shared" si="76"/>
        <v>-1</v>
      </c>
    </row>
    <row r="107" spans="1:26" s="24" customFormat="1" hidden="1" outlineLevel="2" x14ac:dyDescent="0.25">
      <c r="A107" s="25"/>
      <c r="B107" s="11" t="str">
        <f>CONCATENATE("          ", "6246", " - ", "REPLACEMENTS")</f>
        <v xml:space="preserve">          6246 - REPLACEMENTS</v>
      </c>
      <c r="C107" s="11"/>
      <c r="D107" s="7"/>
      <c r="E107" s="2"/>
      <c r="F107" s="6">
        <f t="shared" si="69"/>
        <v>0</v>
      </c>
      <c r="G107" s="2"/>
      <c r="H107" s="7">
        <v>0</v>
      </c>
      <c r="I107" s="2"/>
      <c r="J107" s="6">
        <f t="shared" si="70"/>
        <v>0</v>
      </c>
      <c r="K107" s="2"/>
      <c r="L107" s="7">
        <f t="shared" si="71"/>
        <v>0</v>
      </c>
      <c r="M107" s="2"/>
      <c r="N107" s="6">
        <f t="shared" si="72"/>
        <v>0</v>
      </c>
      <c r="O107" s="11"/>
      <c r="P107" s="7"/>
      <c r="Q107" s="2"/>
      <c r="R107" s="6">
        <f t="shared" si="73"/>
        <v>0</v>
      </c>
      <c r="S107" s="2"/>
      <c r="T107" s="7">
        <v>0</v>
      </c>
      <c r="U107" s="2"/>
      <c r="V107" s="6">
        <f t="shared" si="74"/>
        <v>0</v>
      </c>
      <c r="W107" s="2"/>
      <c r="X107" s="7">
        <f t="shared" si="75"/>
        <v>0</v>
      </c>
      <c r="Y107" s="2"/>
      <c r="Z107" s="6">
        <f t="shared" si="76"/>
        <v>0</v>
      </c>
    </row>
    <row r="108" spans="1:26" s="24" customFormat="1" hidden="1" outlineLevel="2" x14ac:dyDescent="0.25">
      <c r="A108" s="25"/>
      <c r="B108" s="11" t="str">
        <f>CONCATENATE("          ", "6247", " - ", "STORE SUPPLIES")</f>
        <v xml:space="preserve">          6247 - STORE SUPPLIES</v>
      </c>
      <c r="C108" s="11"/>
      <c r="D108" s="7"/>
      <c r="E108" s="2"/>
      <c r="F108" s="6">
        <f t="shared" si="69"/>
        <v>0</v>
      </c>
      <c r="G108" s="2"/>
      <c r="H108" s="7">
        <v>18</v>
      </c>
      <c r="I108" s="2"/>
      <c r="J108" s="6">
        <f t="shared" si="70"/>
        <v>5.9674574652892889E-5</v>
      </c>
      <c r="K108" s="2"/>
      <c r="L108" s="7">
        <f t="shared" si="71"/>
        <v>-18</v>
      </c>
      <c r="M108" s="2"/>
      <c r="N108" s="6">
        <f t="shared" si="72"/>
        <v>-1</v>
      </c>
      <c r="O108" s="11"/>
      <c r="P108" s="7"/>
      <c r="Q108" s="2"/>
      <c r="R108" s="6">
        <f t="shared" si="73"/>
        <v>0</v>
      </c>
      <c r="S108" s="2"/>
      <c r="T108" s="7">
        <v>591</v>
      </c>
      <c r="U108" s="2"/>
      <c r="V108" s="6">
        <f t="shared" si="74"/>
        <v>1.4209917753188396E-4</v>
      </c>
      <c r="W108" s="2"/>
      <c r="X108" s="7">
        <f t="shared" si="75"/>
        <v>-591</v>
      </c>
      <c r="Y108" s="2"/>
      <c r="Z108" s="6">
        <f t="shared" si="76"/>
        <v>-1</v>
      </c>
    </row>
    <row r="109" spans="1:26" s="24" customFormat="1" hidden="1" outlineLevel="2" x14ac:dyDescent="0.25">
      <c r="A109" s="25"/>
      <c r="B109" s="11" t="str">
        <f>CONCATENATE("          ", "6248", " - ", "UNIFORMS")</f>
        <v xml:space="preserve">          6248 - UNIFORMS</v>
      </c>
      <c r="C109" s="11"/>
      <c r="D109" s="7"/>
      <c r="E109" s="2"/>
      <c r="F109" s="6">
        <f t="shared" si="69"/>
        <v>0</v>
      </c>
      <c r="G109" s="2"/>
      <c r="H109" s="7">
        <v>500</v>
      </c>
      <c r="I109" s="2"/>
      <c r="J109" s="6">
        <f t="shared" si="70"/>
        <v>1.6576270736914692E-3</v>
      </c>
      <c r="K109" s="2"/>
      <c r="L109" s="7">
        <f t="shared" si="71"/>
        <v>-500</v>
      </c>
      <c r="M109" s="2"/>
      <c r="N109" s="6">
        <f t="shared" si="72"/>
        <v>-1</v>
      </c>
      <c r="O109" s="11"/>
      <c r="P109" s="7">
        <v>4500.59</v>
      </c>
      <c r="Q109" s="2"/>
      <c r="R109" s="6">
        <f t="shared" si="73"/>
        <v>2.9800107353724859E-3</v>
      </c>
      <c r="S109" s="2"/>
      <c r="T109" s="7">
        <v>11365</v>
      </c>
      <c r="U109" s="2"/>
      <c r="V109" s="6">
        <f t="shared" si="74"/>
        <v>2.7325840146359749E-3</v>
      </c>
      <c r="W109" s="2"/>
      <c r="X109" s="7">
        <f t="shared" si="75"/>
        <v>-6864.41</v>
      </c>
      <c r="Y109" s="2"/>
      <c r="Z109" s="6">
        <f t="shared" si="76"/>
        <v>-0.60399560052793666</v>
      </c>
    </row>
    <row r="110" spans="1:26" s="27" customFormat="1" outlineLevel="1" collapsed="1" x14ac:dyDescent="0.25">
      <c r="A110" s="26"/>
      <c r="B110" s="13" t="str">
        <f>CONCATENATE("     ","Telephone/Data Lines                              ")</f>
        <v xml:space="preserve">     Telephone/Data Lines                              </v>
      </c>
      <c r="C110" s="13"/>
      <c r="D110" s="1">
        <f>SUM(OSRRefD22_20x_0)</f>
        <v>1022.1</v>
      </c>
      <c r="E110" s="1"/>
      <c r="F110" s="5">
        <f t="shared" ref="F110:F112" si="77">IF(D$12=0,0,D110/D$12)</f>
        <v>9.1028553183928711E-3</v>
      </c>
      <c r="G110" s="1"/>
      <c r="H110" s="1">
        <f>SUM(OSRRefH22_20x_0)</f>
        <v>960</v>
      </c>
      <c r="I110" s="1"/>
      <c r="J110" s="5">
        <f t="shared" ref="J110:J112" si="78">IF(H$12=0,0,H110/H$12)</f>
        <v>3.182643981487621E-3</v>
      </c>
      <c r="K110" s="1"/>
      <c r="L110" s="1">
        <f t="shared" ref="L110:L112" si="79">+D110-H110</f>
        <v>62.100000000000023</v>
      </c>
      <c r="M110" s="1"/>
      <c r="N110" s="5">
        <f t="shared" ref="N110:N112" si="80">IF(H110=0,0,L110/H110)</f>
        <v>6.4687500000000023E-2</v>
      </c>
      <c r="O110" s="13"/>
      <c r="P110" s="1">
        <f>SUM(OSRRefP22_20x_0)</f>
        <v>11643.43</v>
      </c>
      <c r="Q110" s="1"/>
      <c r="R110" s="5">
        <f t="shared" ref="R110:R112" si="81">IF(P$12=0,0,P110/P$12)</f>
        <v>7.7095550575720208E-3</v>
      </c>
      <c r="S110" s="1"/>
      <c r="T110" s="1">
        <f>SUM(OSRRefT22_20x_0)</f>
        <v>11652</v>
      </c>
      <c r="U110" s="1"/>
      <c r="V110" s="5">
        <f t="shared" ref="V110:V112" si="82">IF(T$12=0,0,T110/T$12)</f>
        <v>2.8015898758062805E-3</v>
      </c>
      <c r="W110" s="1"/>
      <c r="X110" s="1">
        <f t="shared" ref="X110:X112" si="83">+P110-T110</f>
        <v>-8.569999999999709</v>
      </c>
      <c r="Y110" s="1"/>
      <c r="Z110" s="5">
        <f t="shared" ref="Z110:Z112" si="84">IF(T110=0,0,X110/T110)</f>
        <v>-7.3549605217985829E-4</v>
      </c>
    </row>
    <row r="111" spans="1:26" s="24" customFormat="1" hidden="1" outlineLevel="2" x14ac:dyDescent="0.25">
      <c r="A111" s="25"/>
      <c r="B111" s="11" t="str">
        <f>CONCATENATE("          ", "6303", " - ", "DATA PHONE LINES")</f>
        <v xml:space="preserve">          6303 - DATA PHONE LINES</v>
      </c>
      <c r="C111" s="11"/>
      <c r="D111" s="7"/>
      <c r="E111" s="2"/>
      <c r="F111" s="6">
        <f t="shared" si="77"/>
        <v>0</v>
      </c>
      <c r="G111" s="2"/>
      <c r="H111" s="7">
        <v>635</v>
      </c>
      <c r="I111" s="2"/>
      <c r="J111" s="6">
        <f t="shared" si="78"/>
        <v>2.1051863835881658E-3</v>
      </c>
      <c r="K111" s="2"/>
      <c r="L111" s="7">
        <f t="shared" si="79"/>
        <v>-635</v>
      </c>
      <c r="M111" s="2"/>
      <c r="N111" s="6">
        <f t="shared" si="80"/>
        <v>-1</v>
      </c>
      <c r="O111" s="11"/>
      <c r="P111" s="7"/>
      <c r="Q111" s="2"/>
      <c r="R111" s="6">
        <f t="shared" si="81"/>
        <v>0</v>
      </c>
      <c r="S111" s="2"/>
      <c r="T111" s="7">
        <v>7027</v>
      </c>
      <c r="U111" s="2"/>
      <c r="V111" s="6">
        <f t="shared" si="82"/>
        <v>1.6895616252395069E-3</v>
      </c>
      <c r="W111" s="2"/>
      <c r="X111" s="7">
        <f t="shared" si="83"/>
        <v>-7027</v>
      </c>
      <c r="Y111" s="2"/>
      <c r="Z111" s="6">
        <f t="shared" si="84"/>
        <v>-1</v>
      </c>
    </row>
    <row r="112" spans="1:26" s="24" customFormat="1" hidden="1" outlineLevel="2" x14ac:dyDescent="0.25">
      <c r="A112" s="25"/>
      <c r="B112" s="11" t="str">
        <f>CONCATENATE("          ", "6309", " - ", "TELEPHONE")</f>
        <v xml:space="preserve">          6309 - TELEPHONE</v>
      </c>
      <c r="C112" s="11"/>
      <c r="D112" s="7">
        <v>1022.1</v>
      </c>
      <c r="E112" s="2"/>
      <c r="F112" s="6">
        <f t="shared" si="77"/>
        <v>9.1028553183928711E-3</v>
      </c>
      <c r="G112" s="2"/>
      <c r="H112" s="7">
        <v>325</v>
      </c>
      <c r="I112" s="2"/>
      <c r="J112" s="6">
        <f t="shared" si="78"/>
        <v>1.077457597899455E-3</v>
      </c>
      <c r="K112" s="2"/>
      <c r="L112" s="7">
        <f t="shared" si="79"/>
        <v>697.1</v>
      </c>
      <c r="M112" s="2"/>
      <c r="N112" s="6">
        <f t="shared" si="80"/>
        <v>2.1449230769230772</v>
      </c>
      <c r="O112" s="11"/>
      <c r="P112" s="7">
        <v>11643.43</v>
      </c>
      <c r="Q112" s="2"/>
      <c r="R112" s="6">
        <f t="shared" si="81"/>
        <v>7.7095550575720208E-3</v>
      </c>
      <c r="S112" s="2"/>
      <c r="T112" s="7">
        <v>4625</v>
      </c>
      <c r="U112" s="2"/>
      <c r="V112" s="6">
        <f t="shared" si="82"/>
        <v>1.1120282505667739E-3</v>
      </c>
      <c r="W112" s="2"/>
      <c r="X112" s="7">
        <f t="shared" si="83"/>
        <v>7018.43</v>
      </c>
      <c r="Y112" s="2"/>
      <c r="Z112" s="6">
        <f t="shared" si="84"/>
        <v>1.5174983783783784</v>
      </c>
    </row>
    <row r="113" spans="1:26" s="27" customFormat="1" outlineLevel="1" collapsed="1" x14ac:dyDescent="0.25">
      <c r="A113" s="26"/>
      <c r="B113" s="13" t="str">
        <f>CONCATENATE("     ","Training                                          ")</f>
        <v xml:space="preserve">     Training                                          </v>
      </c>
      <c r="C113" s="13"/>
      <c r="D113" s="1">
        <f>SUM(OSRRefD22_21x_0)</f>
        <v>0</v>
      </c>
      <c r="E113" s="1"/>
      <c r="F113" s="5">
        <f t="shared" ref="F113:F118" si="85">IF(D$12=0,0,D113/D$12)</f>
        <v>0</v>
      </c>
      <c r="G113" s="1"/>
      <c r="H113" s="1">
        <f>SUM(OSRRefH22_21x_0)</f>
        <v>750</v>
      </c>
      <c r="I113" s="1"/>
      <c r="J113" s="5">
        <f t="shared" ref="J113:J118" si="86">IF(H$12=0,0,H113/H$12)</f>
        <v>2.4864406105372036E-3</v>
      </c>
      <c r="K113" s="1"/>
      <c r="L113" s="1">
        <f t="shared" ref="L113:L118" si="87">+D113-H113</f>
        <v>-750</v>
      </c>
      <c r="M113" s="1"/>
      <c r="N113" s="5">
        <f t="shared" ref="N113:N118" si="88">IF(H113=0,0,L113/H113)</f>
        <v>-1</v>
      </c>
      <c r="O113" s="13"/>
      <c r="P113" s="1">
        <f>SUM(OSRRefP22_21x_0)</f>
        <v>1186.23</v>
      </c>
      <c r="Q113" s="1"/>
      <c r="R113" s="5">
        <f t="shared" ref="R113:R118" si="89">IF(P$12=0,0,P113/P$12)</f>
        <v>7.8544771565970325E-4</v>
      </c>
      <c r="S113" s="1"/>
      <c r="T113" s="1">
        <f>SUM(OSRRefT22_21x_0)</f>
        <v>9400</v>
      </c>
      <c r="U113" s="1"/>
      <c r="V113" s="5">
        <f t="shared" ref="V113:V118" si="90">IF(T$12=0,0,T113/T$12)</f>
        <v>2.2601222822330102E-3</v>
      </c>
      <c r="W113" s="1"/>
      <c r="X113" s="1">
        <f t="shared" ref="X113:X118" si="91">+P113-T113</f>
        <v>-8213.77</v>
      </c>
      <c r="Y113" s="1"/>
      <c r="Z113" s="5">
        <f t="shared" ref="Z113:Z118" si="92">IF(T113=0,0,X113/T113)</f>
        <v>-0.87380531914893622</v>
      </c>
    </row>
    <row r="114" spans="1:26" s="24" customFormat="1" hidden="1" outlineLevel="2" x14ac:dyDescent="0.25">
      <c r="A114" s="25"/>
      <c r="B114" s="11" t="str">
        <f>CONCATENATE("          ", "6376", " - ", "TRAINING")</f>
        <v xml:space="preserve">          6376 - TRAINING</v>
      </c>
      <c r="C114" s="11"/>
      <c r="D114" s="7"/>
      <c r="E114" s="2"/>
      <c r="F114" s="6">
        <f t="shared" si="85"/>
        <v>0</v>
      </c>
      <c r="G114" s="2"/>
      <c r="H114" s="7">
        <v>750</v>
      </c>
      <c r="I114" s="2"/>
      <c r="J114" s="6">
        <f t="shared" si="86"/>
        <v>2.4864406105372036E-3</v>
      </c>
      <c r="K114" s="2"/>
      <c r="L114" s="7">
        <f t="shared" si="87"/>
        <v>-750</v>
      </c>
      <c r="M114" s="2"/>
      <c r="N114" s="6">
        <f t="shared" si="88"/>
        <v>-1</v>
      </c>
      <c r="O114" s="11"/>
      <c r="P114" s="7">
        <v>1186.23</v>
      </c>
      <c r="Q114" s="2"/>
      <c r="R114" s="6">
        <f t="shared" si="89"/>
        <v>7.8544771565970325E-4</v>
      </c>
      <c r="S114" s="2"/>
      <c r="T114" s="7">
        <v>9400</v>
      </c>
      <c r="U114" s="2"/>
      <c r="V114" s="6">
        <f t="shared" si="90"/>
        <v>2.2601222822330102E-3</v>
      </c>
      <c r="W114" s="2"/>
      <c r="X114" s="7">
        <f t="shared" si="91"/>
        <v>-8213.77</v>
      </c>
      <c r="Y114" s="2"/>
      <c r="Z114" s="6">
        <f t="shared" si="92"/>
        <v>-0.87380531914893622</v>
      </c>
    </row>
    <row r="115" spans="1:26" s="27" customFormat="1" outlineLevel="1" collapsed="1" x14ac:dyDescent="0.25">
      <c r="A115" s="26"/>
      <c r="B115" s="13" t="str">
        <f>CONCATENATE("     ","Travel                                            ")</f>
        <v xml:space="preserve">     Travel                                            </v>
      </c>
      <c r="C115" s="13"/>
      <c r="D115" s="1">
        <f>SUM(OSRRefD22_22x_0)</f>
        <v>0</v>
      </c>
      <c r="E115" s="1"/>
      <c r="F115" s="5">
        <f t="shared" si="85"/>
        <v>0</v>
      </c>
      <c r="G115" s="1"/>
      <c r="H115" s="1">
        <f>SUM(OSRRefH22_22x_0)</f>
        <v>300</v>
      </c>
      <c r="I115" s="1"/>
      <c r="J115" s="5">
        <f t="shared" si="86"/>
        <v>9.9457624421488144E-4</v>
      </c>
      <c r="K115" s="1"/>
      <c r="L115" s="1">
        <f t="shared" si="87"/>
        <v>-300</v>
      </c>
      <c r="M115" s="1"/>
      <c r="N115" s="5">
        <f t="shared" si="88"/>
        <v>-1</v>
      </c>
      <c r="O115" s="13"/>
      <c r="P115" s="1">
        <f>SUM(OSRRefP22_22x_0)</f>
        <v>492.51</v>
      </c>
      <c r="Q115" s="1"/>
      <c r="R115" s="5">
        <f t="shared" si="89"/>
        <v>3.2610948504047311E-4</v>
      </c>
      <c r="S115" s="1"/>
      <c r="T115" s="1">
        <f>SUM(OSRRefT22_22x_0)</f>
        <v>3300</v>
      </c>
      <c r="U115" s="1"/>
      <c r="V115" s="5">
        <f t="shared" si="90"/>
        <v>7.9344718418818453E-4</v>
      </c>
      <c r="W115" s="1"/>
      <c r="X115" s="1">
        <f t="shared" si="91"/>
        <v>-2807.49</v>
      </c>
      <c r="Y115" s="1"/>
      <c r="Z115" s="5">
        <f t="shared" si="92"/>
        <v>-0.85075454545454543</v>
      </c>
    </row>
    <row r="116" spans="1:26" s="24" customFormat="1" hidden="1" outlineLevel="2" x14ac:dyDescent="0.25">
      <c r="A116" s="25"/>
      <c r="B116" s="11" t="str">
        <f>CONCATENATE("          ", "6292", " - ", "TRAVEL/CONFERENCE")</f>
        <v xml:space="preserve">          6292 - TRAVEL/CONFERENCE</v>
      </c>
      <c r="C116" s="11"/>
      <c r="D116" s="7"/>
      <c r="E116" s="2"/>
      <c r="F116" s="6">
        <f t="shared" si="85"/>
        <v>0</v>
      </c>
      <c r="G116" s="2"/>
      <c r="H116" s="7">
        <v>300</v>
      </c>
      <c r="I116" s="2"/>
      <c r="J116" s="6">
        <f t="shared" si="86"/>
        <v>9.9457624421488144E-4</v>
      </c>
      <c r="K116" s="2"/>
      <c r="L116" s="7">
        <f t="shared" si="87"/>
        <v>-300</v>
      </c>
      <c r="M116" s="2"/>
      <c r="N116" s="6">
        <f t="shared" si="88"/>
        <v>-1</v>
      </c>
      <c r="O116" s="11"/>
      <c r="P116" s="7"/>
      <c r="Q116" s="2"/>
      <c r="R116" s="6">
        <f t="shared" si="89"/>
        <v>0</v>
      </c>
      <c r="S116" s="2"/>
      <c r="T116" s="7">
        <v>3300</v>
      </c>
      <c r="U116" s="2"/>
      <c r="V116" s="6">
        <f t="shared" si="90"/>
        <v>7.9344718418818453E-4</v>
      </c>
      <c r="W116" s="2"/>
      <c r="X116" s="7">
        <f t="shared" si="91"/>
        <v>-3300</v>
      </c>
      <c r="Y116" s="2"/>
      <c r="Z116" s="6">
        <f t="shared" si="92"/>
        <v>-1</v>
      </c>
    </row>
    <row r="117" spans="1:26" s="24" customFormat="1" hidden="1" outlineLevel="2" x14ac:dyDescent="0.25">
      <c r="A117" s="25"/>
      <c r="B117" s="11" t="str">
        <f>CONCATENATE("          ", "6294", " - ", "TRAVEL OPERATIONAL")</f>
        <v xml:space="preserve">          6294 - TRAVEL OPERATIONAL</v>
      </c>
      <c r="C117" s="11"/>
      <c r="D117" s="7"/>
      <c r="E117" s="2"/>
      <c r="F117" s="6">
        <f t="shared" si="85"/>
        <v>0</v>
      </c>
      <c r="G117" s="2"/>
      <c r="H117" s="7"/>
      <c r="I117" s="2"/>
      <c r="J117" s="6">
        <f t="shared" si="86"/>
        <v>0</v>
      </c>
      <c r="K117" s="2"/>
      <c r="L117" s="7">
        <f t="shared" si="87"/>
        <v>0</v>
      </c>
      <c r="M117" s="2"/>
      <c r="N117" s="6">
        <f t="shared" si="88"/>
        <v>0</v>
      </c>
      <c r="O117" s="11"/>
      <c r="P117" s="7">
        <v>160.30000000000001</v>
      </c>
      <c r="Q117" s="2"/>
      <c r="R117" s="6">
        <f t="shared" si="89"/>
        <v>1.0614068841645417E-4</v>
      </c>
      <c r="S117" s="2"/>
      <c r="T117" s="7">
        <v>0</v>
      </c>
      <c r="U117" s="2"/>
      <c r="V117" s="6">
        <f t="shared" si="90"/>
        <v>0</v>
      </c>
      <c r="W117" s="2"/>
      <c r="X117" s="7">
        <f t="shared" si="91"/>
        <v>160.30000000000001</v>
      </c>
      <c r="Y117" s="2"/>
      <c r="Z117" s="6">
        <f t="shared" si="92"/>
        <v>0</v>
      </c>
    </row>
    <row r="118" spans="1:26" s="24" customFormat="1" hidden="1" outlineLevel="2" x14ac:dyDescent="0.25">
      <c r="A118" s="25"/>
      <c r="B118" s="11" t="str">
        <f>CONCATENATE("          ", "6298", " - ", "VEHICLE MILEAGE")</f>
        <v xml:space="preserve">          6298 - VEHICLE MILEAGE</v>
      </c>
      <c r="C118" s="11"/>
      <c r="D118" s="7"/>
      <c r="E118" s="2"/>
      <c r="F118" s="6">
        <f t="shared" si="85"/>
        <v>0</v>
      </c>
      <c r="G118" s="2"/>
      <c r="H118" s="7"/>
      <c r="I118" s="2"/>
      <c r="J118" s="6">
        <f t="shared" si="86"/>
        <v>0</v>
      </c>
      <c r="K118" s="2"/>
      <c r="L118" s="7">
        <f t="shared" si="87"/>
        <v>0</v>
      </c>
      <c r="M118" s="2"/>
      <c r="N118" s="6">
        <f t="shared" si="88"/>
        <v>0</v>
      </c>
      <c r="O118" s="11"/>
      <c r="P118" s="7">
        <v>332.21</v>
      </c>
      <c r="Q118" s="2"/>
      <c r="R118" s="6">
        <f t="shared" si="89"/>
        <v>2.1996879662401894E-4</v>
      </c>
      <c r="S118" s="2"/>
      <c r="T118" s="7"/>
      <c r="U118" s="2"/>
      <c r="V118" s="6">
        <f t="shared" si="90"/>
        <v>0</v>
      </c>
      <c r="W118" s="2"/>
      <c r="X118" s="7">
        <f t="shared" si="91"/>
        <v>332.21</v>
      </c>
      <c r="Y118" s="2"/>
      <c r="Z118" s="6">
        <f t="shared" si="92"/>
        <v>0</v>
      </c>
    </row>
    <row r="119" spans="1:26" s="27" customFormat="1" outlineLevel="1" collapsed="1" x14ac:dyDescent="0.25">
      <c r="A119" s="26"/>
      <c r="B119" s="13" t="str">
        <f>CONCATENATE("     ","Utilities                                         ")</f>
        <v xml:space="preserve">     Utilities                                         </v>
      </c>
      <c r="C119" s="13"/>
      <c r="D119" s="1">
        <f>SUM(OSRRefD22_23x_0)</f>
        <v>3648</v>
      </c>
      <c r="E119" s="1"/>
      <c r="F119" s="5">
        <f t="shared" ref="F119:F120" si="93">IF(D$12=0,0,D119/D$12)</f>
        <v>3.248920477594873E-2</v>
      </c>
      <c r="G119" s="1"/>
      <c r="H119" s="1">
        <f>SUM(OSRRefH22_23x_0)</f>
        <v>3300</v>
      </c>
      <c r="I119" s="1"/>
      <c r="J119" s="5">
        <f t="shared" ref="J119:J120" si="94">IF(H$12=0,0,H119/H$12)</f>
        <v>1.0940338686363696E-2</v>
      </c>
      <c r="K119" s="1"/>
      <c r="L119" s="1">
        <f t="shared" ref="L119:L120" si="95">+D119-H119</f>
        <v>348</v>
      </c>
      <c r="M119" s="1"/>
      <c r="N119" s="5">
        <f t="shared" ref="N119:N120" si="96">IF(H119=0,0,L119/H119)</f>
        <v>0.10545454545454545</v>
      </c>
      <c r="O119" s="13"/>
      <c r="P119" s="1">
        <f>SUM(OSRRefP22_23x_0)</f>
        <v>5836</v>
      </c>
      <c r="Q119" s="1"/>
      <c r="R119" s="5">
        <f t="shared" ref="R119:R120" si="97">IF(P$12=0,0,P119/P$12)</f>
        <v>3.8642361671767096E-3</v>
      </c>
      <c r="S119" s="1"/>
      <c r="T119" s="1">
        <f>SUM(OSRRefT22_23x_0)</f>
        <v>36300</v>
      </c>
      <c r="U119" s="1"/>
      <c r="V119" s="5">
        <f t="shared" ref="V119:V120" si="98">IF(T$12=0,0,T119/T$12)</f>
        <v>8.7279190260700305E-3</v>
      </c>
      <c r="W119" s="1"/>
      <c r="X119" s="1">
        <f t="shared" ref="X119:X120" si="99">+P119-T119</f>
        <v>-30464</v>
      </c>
      <c r="Y119" s="1"/>
      <c r="Z119" s="5">
        <f t="shared" ref="Z119:Z120" si="100">IF(T119=0,0,X119/T119)</f>
        <v>-0.83922865013774106</v>
      </c>
    </row>
    <row r="120" spans="1:26" s="24" customFormat="1" hidden="1" outlineLevel="2" x14ac:dyDescent="0.25">
      <c r="A120" s="25"/>
      <c r="B120" s="11" t="str">
        <f>CONCATENATE("          ", "6274", " - ", "UTILITIES")</f>
        <v xml:space="preserve">          6274 - UTILITIES</v>
      </c>
      <c r="C120" s="11"/>
      <c r="D120" s="7">
        <v>3648</v>
      </c>
      <c r="E120" s="2"/>
      <c r="F120" s="6">
        <f t="shared" si="93"/>
        <v>3.248920477594873E-2</v>
      </c>
      <c r="G120" s="2"/>
      <c r="H120" s="7">
        <v>3300</v>
      </c>
      <c r="I120" s="2"/>
      <c r="J120" s="6">
        <f t="shared" si="94"/>
        <v>1.0940338686363696E-2</v>
      </c>
      <c r="K120" s="2"/>
      <c r="L120" s="7">
        <f t="shared" si="95"/>
        <v>348</v>
      </c>
      <c r="M120" s="2"/>
      <c r="N120" s="6">
        <f t="shared" si="96"/>
        <v>0.10545454545454545</v>
      </c>
      <c r="O120" s="11"/>
      <c r="P120" s="7">
        <v>5836</v>
      </c>
      <c r="Q120" s="2"/>
      <c r="R120" s="6">
        <f t="shared" si="97"/>
        <v>3.8642361671767096E-3</v>
      </c>
      <c r="S120" s="2"/>
      <c r="T120" s="7">
        <v>36300</v>
      </c>
      <c r="U120" s="2"/>
      <c r="V120" s="6">
        <f t="shared" si="98"/>
        <v>8.7279190260700305E-3</v>
      </c>
      <c r="W120" s="2"/>
      <c r="X120" s="7">
        <f t="shared" si="99"/>
        <v>-30464</v>
      </c>
      <c r="Y120" s="2"/>
      <c r="Z120" s="6">
        <f t="shared" si="100"/>
        <v>-0.83922865013774106</v>
      </c>
    </row>
    <row r="121" spans="1:26" s="56" customFormat="1" x14ac:dyDescent="0.25">
      <c r="A121" s="36"/>
      <c r="B121" s="36"/>
      <c r="C121" s="36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6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collapsed="1" x14ac:dyDescent="0.25">
      <c r="A122" s="10"/>
      <c r="B122" s="29" t="s">
        <v>293</v>
      </c>
      <c r="C122" s="10"/>
      <c r="D122" s="4">
        <f>SUM(OSRRefD25x_0)</f>
        <v>41.26</v>
      </c>
      <c r="E122" s="4"/>
      <c r="F122" s="12">
        <f t="shared" ref="F122:F126" si="101">IF(D$12=0,0,D122/D$12)</f>
        <v>3.6746288077183235E-4</v>
      </c>
      <c r="G122" s="4"/>
      <c r="H122" s="4">
        <f>SUM(OSRRefH25x_0)</f>
        <v>15263</v>
      </c>
      <c r="I122" s="4"/>
      <c r="J122" s="12">
        <f t="shared" ref="J122:J126" si="102">IF(H$12=0,0,H122/H$12)</f>
        <v>5.0600724051505785E-2</v>
      </c>
      <c r="K122" s="4"/>
      <c r="L122" s="4">
        <f t="shared" ref="L122:L126" si="103">+D122-H122</f>
        <v>-15221.74</v>
      </c>
      <c r="M122" s="4"/>
      <c r="N122" s="12">
        <f t="shared" ref="N122:N126" si="104">IF(H122=0,0,L122/H122)</f>
        <v>-0.99729673065583435</v>
      </c>
      <c r="O122" s="10"/>
      <c r="P122" s="4">
        <f>SUM(OSRRefP25x_0)</f>
        <v>22486.66</v>
      </c>
      <c r="Q122" s="4"/>
      <c r="R122" s="12">
        <f t="shared" ref="R122:R126" si="105">IF(P$12=0,0,P122/P$12)</f>
        <v>1.4889267452194281E-2</v>
      </c>
      <c r="S122" s="4"/>
      <c r="T122" s="4">
        <f>SUM(OSRRefT25x_0)</f>
        <v>78950</v>
      </c>
      <c r="U122" s="4"/>
      <c r="V122" s="12">
        <f t="shared" ref="V122:V126" si="106">IF(T$12=0,0,T122/T$12)</f>
        <v>1.8982622785350657E-2</v>
      </c>
      <c r="W122" s="4"/>
      <c r="X122" s="4">
        <f t="shared" ref="X122:X126" si="107">+P122-T122</f>
        <v>-56463.34</v>
      </c>
      <c r="Y122" s="4"/>
      <c r="Z122" s="12">
        <f t="shared" ref="Z122:Z126" si="108">IF(T122=0,0,X122/T122)</f>
        <v>-0.71517846738442048</v>
      </c>
    </row>
    <row r="123" spans="1:26" s="24" customFormat="1" hidden="1" outlineLevel="1" x14ac:dyDescent="0.25">
      <c r="A123" s="44"/>
      <c r="B123" s="11" t="str">
        <f>CONCATENATE("          ", "9150", " - ", "MISC. INCOME")</f>
        <v xml:space="preserve">          9150 - MISC. INCOME</v>
      </c>
      <c r="C123" s="11"/>
      <c r="D123" s="2">
        <f>--8.44</f>
        <v>8.44</v>
      </c>
      <c r="E123" s="2"/>
      <c r="F123" s="19">
        <f t="shared" si="101"/>
        <v>7.5166910172425226E-5</v>
      </c>
      <c r="G123" s="2"/>
      <c r="H123" s="2">
        <v>3557</v>
      </c>
      <c r="I123" s="2"/>
      <c r="J123" s="19">
        <f t="shared" si="102"/>
        <v>1.1792359002241112E-2</v>
      </c>
      <c r="K123" s="2"/>
      <c r="L123" s="2">
        <f t="shared" si="103"/>
        <v>-3548.56</v>
      </c>
      <c r="M123" s="2"/>
      <c r="N123" s="19">
        <f t="shared" si="104"/>
        <v>-0.99762721394433507</v>
      </c>
      <c r="O123" s="11"/>
      <c r="P123" s="2">
        <f>--5349.92</f>
        <v>5349.92</v>
      </c>
      <c r="Q123" s="2"/>
      <c r="R123" s="19">
        <f t="shared" si="105"/>
        <v>3.5423842281531908E-3</v>
      </c>
      <c r="S123" s="2"/>
      <c r="T123" s="2">
        <v>27061</v>
      </c>
      <c r="U123" s="2"/>
      <c r="V123" s="19">
        <f t="shared" si="106"/>
        <v>6.506507348883776E-3</v>
      </c>
      <c r="W123" s="2"/>
      <c r="X123" s="2">
        <f t="shared" si="107"/>
        <v>-21711.08</v>
      </c>
      <c r="Y123" s="2"/>
      <c r="Z123" s="19">
        <f t="shared" si="108"/>
        <v>-0.80230146705591077</v>
      </c>
    </row>
    <row r="124" spans="1:26" s="24" customFormat="1" hidden="1" outlineLevel="1" x14ac:dyDescent="0.25">
      <c r="A124" s="44"/>
      <c r="B124" s="11" t="str">
        <f>CONCATENATE("          ", "9151", " - ", "MISC. INCOME")</f>
        <v xml:space="preserve">          9151 - MISC. INCOME</v>
      </c>
      <c r="C124" s="11"/>
      <c r="D124" s="2">
        <f t="shared" ref="D124:D125" si="109">0</f>
        <v>0</v>
      </c>
      <c r="E124" s="2"/>
      <c r="F124" s="19">
        <f t="shared" si="101"/>
        <v>0</v>
      </c>
      <c r="G124" s="2"/>
      <c r="H124" s="2">
        <v>6027</v>
      </c>
      <c r="I124" s="2"/>
      <c r="J124" s="19">
        <f t="shared" si="102"/>
        <v>1.9981036746276968E-2</v>
      </c>
      <c r="K124" s="2"/>
      <c r="L124" s="2">
        <f t="shared" si="103"/>
        <v>-6027</v>
      </c>
      <c r="M124" s="2"/>
      <c r="N124" s="19">
        <f t="shared" si="104"/>
        <v>-1</v>
      </c>
      <c r="O124" s="11"/>
      <c r="P124" s="2">
        <f>0</f>
        <v>0</v>
      </c>
      <c r="Q124" s="2"/>
      <c r="R124" s="19">
        <f t="shared" si="105"/>
        <v>0</v>
      </c>
      <c r="S124" s="2"/>
      <c r="T124" s="2">
        <v>35395</v>
      </c>
      <c r="U124" s="2"/>
      <c r="V124" s="19">
        <f t="shared" si="106"/>
        <v>8.5103221467699372E-3</v>
      </c>
      <c r="W124" s="2"/>
      <c r="X124" s="2">
        <f t="shared" si="107"/>
        <v>-35395</v>
      </c>
      <c r="Y124" s="2"/>
      <c r="Z124" s="19">
        <f t="shared" si="108"/>
        <v>-1</v>
      </c>
    </row>
    <row r="125" spans="1:26" s="24" customFormat="1" hidden="1" outlineLevel="1" x14ac:dyDescent="0.25">
      <c r="A125" s="44"/>
      <c r="B125" s="11" t="str">
        <f>CONCATENATE("          ", "9160", " - ", "MISC. INCOME")</f>
        <v xml:space="preserve">          9160 - MISC. INCOME</v>
      </c>
      <c r="C125" s="11"/>
      <c r="D125" s="2">
        <f t="shared" si="109"/>
        <v>0</v>
      </c>
      <c r="E125" s="2"/>
      <c r="F125" s="19">
        <f t="shared" si="101"/>
        <v>0</v>
      </c>
      <c r="G125" s="2"/>
      <c r="H125" s="2">
        <v>5679</v>
      </c>
      <c r="I125" s="2"/>
      <c r="J125" s="19">
        <f t="shared" si="102"/>
        <v>1.8827328302987709E-2</v>
      </c>
      <c r="K125" s="2"/>
      <c r="L125" s="2">
        <f t="shared" si="103"/>
        <v>-5679</v>
      </c>
      <c r="M125" s="2"/>
      <c r="N125" s="19">
        <f t="shared" si="104"/>
        <v>-1</v>
      </c>
      <c r="O125" s="11"/>
      <c r="P125" s="2">
        <f>--13615.06</f>
        <v>13615.06</v>
      </c>
      <c r="Q125" s="2"/>
      <c r="R125" s="19">
        <f t="shared" si="105"/>
        <v>9.0150457968267532E-3</v>
      </c>
      <c r="S125" s="2"/>
      <c r="T125" s="2">
        <v>16494</v>
      </c>
      <c r="U125" s="2"/>
      <c r="V125" s="19">
        <f t="shared" si="106"/>
        <v>3.965793289696944E-3</v>
      </c>
      <c r="W125" s="2"/>
      <c r="X125" s="2">
        <f t="shared" si="107"/>
        <v>-2878.9400000000005</v>
      </c>
      <c r="Y125" s="2"/>
      <c r="Z125" s="19">
        <f t="shared" si="108"/>
        <v>-0.17454468291499942</v>
      </c>
    </row>
    <row r="126" spans="1:26" s="24" customFormat="1" hidden="1" outlineLevel="1" x14ac:dyDescent="0.25">
      <c r="A126" s="44"/>
      <c r="B126" s="11" t="str">
        <f>CONCATENATE("          ", "9165", " - ", "OTHER INCOME")</f>
        <v xml:space="preserve">          9165 - OTHER INCOME</v>
      </c>
      <c r="C126" s="11"/>
      <c r="D126" s="2">
        <f>--32.82</f>
        <v>32.82</v>
      </c>
      <c r="E126" s="2"/>
      <c r="F126" s="19">
        <f t="shared" si="101"/>
        <v>2.9229597059940714E-4</v>
      </c>
      <c r="G126" s="2"/>
      <c r="H126" s="2"/>
      <c r="I126" s="2"/>
      <c r="J126" s="19">
        <f t="shared" si="102"/>
        <v>0</v>
      </c>
      <c r="K126" s="2"/>
      <c r="L126" s="2">
        <f t="shared" si="103"/>
        <v>32.82</v>
      </c>
      <c r="M126" s="2"/>
      <c r="N126" s="19">
        <f t="shared" si="104"/>
        <v>0</v>
      </c>
      <c r="O126" s="11"/>
      <c r="P126" s="2">
        <f>--3521.68</f>
        <v>3521.68</v>
      </c>
      <c r="Q126" s="2"/>
      <c r="R126" s="19">
        <f t="shared" si="105"/>
        <v>2.3318374272143375E-3</v>
      </c>
      <c r="S126" s="2"/>
      <c r="T126" s="2"/>
      <c r="U126" s="2"/>
      <c r="V126" s="19">
        <f t="shared" si="106"/>
        <v>0</v>
      </c>
      <c r="W126" s="2"/>
      <c r="X126" s="2">
        <f t="shared" si="107"/>
        <v>3521.68</v>
      </c>
      <c r="Y126" s="2"/>
      <c r="Z126" s="19">
        <f t="shared" si="108"/>
        <v>0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10"/>
      <c r="B128" s="28" t="s">
        <v>277</v>
      </c>
      <c r="C128" s="28"/>
      <c r="D128" s="20">
        <f>+D28-D30+D122</f>
        <v>-237242.53</v>
      </c>
      <c r="E128" s="14"/>
      <c r="F128" s="21">
        <f>IF(D$12=0,0,D128/D$12)</f>
        <v>-2.1128895665389691</v>
      </c>
      <c r="G128" s="14"/>
      <c r="H128" s="20">
        <f>+H28-H30+H122</f>
        <v>-204850.48994475562</v>
      </c>
      <c r="I128" s="14"/>
      <c r="J128" s="21">
        <f>IF(H$12=0,0,H128/H$12)</f>
        <v>-0.67913143638277795</v>
      </c>
      <c r="K128" s="15"/>
      <c r="L128" s="20">
        <f>+D128-H128</f>
        <v>-32392.040055244375</v>
      </c>
      <c r="M128" s="15"/>
      <c r="N128" s="21">
        <f>IF(H128=0,0,L128/H128)</f>
        <v>0.15812527499436252</v>
      </c>
      <c r="O128" s="29"/>
      <c r="P128" s="20">
        <f>+P28-P30+P122</f>
        <v>-2627620.0000000009</v>
      </c>
      <c r="Q128" s="14"/>
      <c r="R128" s="21">
        <f>IF(P$12=0,0,P128/P$12)</f>
        <v>-1.7398465108973387</v>
      </c>
      <c r="S128" s="14"/>
      <c r="T128" s="20">
        <f>+T28-T30+T122</f>
        <v>-2138664.099953318</v>
      </c>
      <c r="U128" s="14"/>
      <c r="V128" s="21">
        <f>IF(T$12=0,0,T128/T$12)</f>
        <v>-0.51421727516130855</v>
      </c>
      <c r="W128" s="15"/>
      <c r="X128" s="20">
        <f>+P128-T128</f>
        <v>-488955.90004668292</v>
      </c>
      <c r="Y128" s="15"/>
      <c r="Z128" s="21">
        <f>IF(T128=0,0,X128/T128)</f>
        <v>0.22862678625285554</v>
      </c>
    </row>
    <row r="129" spans="1:26" x14ac:dyDescent="0.25">
      <c r="A129" s="9"/>
      <c r="B129" s="10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52"/>
      <c r="B130" s="10" t="s">
        <v>128</v>
      </c>
      <c r="C130" s="10"/>
      <c r="D130" s="4">
        <v>30265.88</v>
      </c>
      <c r="E130" s="4"/>
      <c r="F130" s="12">
        <f>IF(D$12=0,0,D130/D$12)</f>
        <v>0.26954889611959731</v>
      </c>
      <c r="G130" s="4"/>
      <c r="H130" s="4">
        <v>69066</v>
      </c>
      <c r="I130" s="4"/>
      <c r="J130" s="12">
        <f>IF(H$12=0,0,H130/H$12)</f>
        <v>0.22897134294315002</v>
      </c>
      <c r="K130" s="4"/>
      <c r="L130" s="4">
        <f>+D130-H130</f>
        <v>-38800.119999999995</v>
      </c>
      <c r="M130" s="4"/>
      <c r="N130" s="12">
        <f>IF(H130=0,0,L130/H130)</f>
        <v>-0.56178322184577067</v>
      </c>
      <c r="O130" s="10"/>
      <c r="P130" s="4">
        <v>322728.17</v>
      </c>
      <c r="Q130" s="4"/>
      <c r="R130" s="12">
        <f>IF(P$12=0,0,P130/P$12)</f>
        <v>0.21369051862247318</v>
      </c>
      <c r="S130" s="4"/>
      <c r="T130" s="4">
        <v>767827</v>
      </c>
      <c r="U130" s="4"/>
      <c r="V130" s="12">
        <f>IF(T$12=0,0,T130/T$12)</f>
        <v>0.1846152033617155</v>
      </c>
      <c r="W130" s="4"/>
      <c r="X130" s="4">
        <f>+P130-T130</f>
        <v>-445098.83</v>
      </c>
      <c r="Y130" s="4"/>
      <c r="Z130" s="12">
        <f>IF(T130=0,0,X130/T130)</f>
        <v>-0.57968634861759227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8" t="s">
        <v>126</v>
      </c>
      <c r="C132" s="28"/>
      <c r="D132" s="35">
        <f>+D128-D130</f>
        <v>-267508.40999999997</v>
      </c>
      <c r="E132" s="14"/>
      <c r="F132" s="34">
        <f>IF(D$12=0,0,D132/D$12)</f>
        <v>-2.3824384626585662</v>
      </c>
      <c r="G132" s="14"/>
      <c r="H132" s="35">
        <f>+H128-H130</f>
        <v>-273916.48994475562</v>
      </c>
      <c r="I132" s="14"/>
      <c r="J132" s="34">
        <f>IF(H$12=0,0,H132/H$12)</f>
        <v>-0.90810277932592798</v>
      </c>
      <c r="K132" s="15"/>
      <c r="L132" s="35">
        <f>D132-H132</f>
        <v>6408.0799447556492</v>
      </c>
      <c r="M132" s="15"/>
      <c r="N132" s="34">
        <f>IF(H132=0,0,L132/H132)</f>
        <v>-2.3394283221313372E-2</v>
      </c>
      <c r="O132" s="29"/>
      <c r="P132" s="35">
        <f>+P128-P130</f>
        <v>-2950348.1700000009</v>
      </c>
      <c r="Q132" s="14"/>
      <c r="R132" s="34">
        <f>IF(P$12=0,0,P132/P$12)</f>
        <v>-1.9535370295198118</v>
      </c>
      <c r="S132" s="14"/>
      <c r="T132" s="35">
        <f>+T128-T130</f>
        <v>-2906491.099953318</v>
      </c>
      <c r="U132" s="14"/>
      <c r="V132" s="34">
        <f>IF(T$12=0,0,T132/T$12)</f>
        <v>-0.69883247852302399</v>
      </c>
      <c r="W132" s="15"/>
      <c r="X132" s="35">
        <f>P132-T132</f>
        <v>-43857.070046682842</v>
      </c>
      <c r="Y132" s="15"/>
      <c r="Z132" s="34">
        <f>IF(T132=0,0,X132/T132)</f>
        <v>1.5089352947747627E-2</v>
      </c>
    </row>
    <row r="133" spans="1:26" ht="15.75" thickTop="1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ht="15.75" thickBot="1" x14ac:dyDescent="0.3">
      <c r="A135" s="10"/>
      <c r="B135" s="28" t="s">
        <v>294</v>
      </c>
      <c r="C135" s="28"/>
      <c r="D135" s="33">
        <f>SUM(D132:D134)</f>
        <v>-267508.40999999997</v>
      </c>
      <c r="E135" s="14"/>
      <c r="F135" s="32">
        <f>IF(D$12=0,0,D135/D$12)</f>
        <v>-2.3824384626585662</v>
      </c>
      <c r="G135" s="14"/>
      <c r="H135" s="33">
        <f>SUM(H132:H134)</f>
        <v>-273916.48994475562</v>
      </c>
      <c r="I135" s="14"/>
      <c r="J135" s="32">
        <f>IF(H$12=0,0,H135/H$12)</f>
        <v>-0.90810277932592798</v>
      </c>
      <c r="K135" s="15"/>
      <c r="L135" s="33">
        <f>+D135-H135</f>
        <v>6408.0799447556492</v>
      </c>
      <c r="M135" s="15"/>
      <c r="N135" s="32">
        <f>IF(H135=0,0,L135/H135)</f>
        <v>-2.3394283221313372E-2</v>
      </c>
      <c r="O135" s="29"/>
      <c r="P135" s="33">
        <f>SUM(P132:P134)</f>
        <v>-2950348.1700000009</v>
      </c>
      <c r="Q135" s="14"/>
      <c r="R135" s="32">
        <f>IF(P$12=0,0,P135/P$12)</f>
        <v>-1.9535370295198118</v>
      </c>
      <c r="S135" s="14"/>
      <c r="T135" s="33">
        <f>SUM(T132:T134)</f>
        <v>-2906491.099953318</v>
      </c>
      <c r="U135" s="14"/>
      <c r="V135" s="32">
        <f>IF(T$12=0,0,T135/T$12)</f>
        <v>-0.69883247852302399</v>
      </c>
      <c r="W135" s="15"/>
      <c r="X135" s="33">
        <f>+P135-T135</f>
        <v>-43857.070046682842</v>
      </c>
      <c r="Y135" s="15"/>
      <c r="Z135" s="32">
        <f>IF(T135=0,0,X135/T135)</f>
        <v>1.5089352947747627E-2</v>
      </c>
    </row>
    <row r="136" spans="1:26" ht="15.75" thickTop="1" x14ac:dyDescent="0.25">
      <c r="A136" s="9"/>
      <c r="C136" s="9"/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  <row r="137" spans="1:26" x14ac:dyDescent="0.25">
      <c r="A137" s="9"/>
      <c r="B137" s="60">
        <v>44356.891813692127</v>
      </c>
      <c r="D137" s="18"/>
      <c r="E137" s="18"/>
      <c r="G137" s="18"/>
      <c r="H137" s="18"/>
      <c r="I137" s="18"/>
      <c r="J137" s="42"/>
      <c r="K137" s="18"/>
      <c r="L137" s="18"/>
      <c r="M137" s="18"/>
      <c r="P137" s="18"/>
      <c r="Q137" s="18"/>
      <c r="R137" s="42"/>
      <c r="S137" s="18"/>
      <c r="T137" s="18"/>
      <c r="U137" s="18"/>
      <c r="V137" s="42"/>
      <c r="W137" s="18"/>
      <c r="X137" s="18"/>
    </row>
    <row r="138" spans="1:26" x14ac:dyDescent="0.25">
      <c r="A138" s="9"/>
      <c r="B138" s="55" t="s">
        <v>56</v>
      </c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A139" s="9"/>
      <c r="B139" s="63"/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  <row r="140" spans="1:26" x14ac:dyDescent="0.25"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55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61758.750000000007</v>
      </c>
      <c r="E12" s="4"/>
      <c r="F12" s="12"/>
      <c r="G12" s="4"/>
      <c r="H12" s="4">
        <f>SUM(OSRRefH13x_0)</f>
        <v>60905</v>
      </c>
      <c r="I12" s="4"/>
      <c r="J12" s="12"/>
      <c r="K12" s="4"/>
      <c r="L12" s="4">
        <f t="shared" ref="L12:L25" si="0">+D12-H12</f>
        <v>853.75000000000728</v>
      </c>
      <c r="M12" s="4"/>
      <c r="N12" s="12">
        <f t="shared" ref="N12:N25" si="1">IF(H12=0,0,L12/H12)</f>
        <v>1.401773253427481E-2</v>
      </c>
      <c r="O12" s="10"/>
      <c r="P12" s="4">
        <f>SUM(OSRRefP13x_0)</f>
        <v>521251.98000000004</v>
      </c>
      <c r="Q12" s="4"/>
      <c r="R12" s="12"/>
      <c r="S12" s="4"/>
      <c r="T12" s="4">
        <f>SUM(OSRRefT13x_0)</f>
        <v>823019</v>
      </c>
      <c r="U12" s="4"/>
      <c r="V12" s="12"/>
      <c r="W12" s="4"/>
      <c r="X12" s="4">
        <f t="shared" ref="X12:X25" si="2">+P12-T12</f>
        <v>-301767.01999999996</v>
      </c>
      <c r="Y12" s="4"/>
      <c r="Z12" s="12">
        <f t="shared" ref="Z12:Z25" si="3">IF(T12=0,0,X12/T12)</f>
        <v>-0.36665863121021502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7875</v>
      </c>
      <c r="I13" s="2"/>
      <c r="J13" s="19"/>
      <c r="K13" s="2"/>
      <c r="L13" s="2">
        <f t="shared" si="0"/>
        <v>-7875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118028</v>
      </c>
      <c r="U13" s="2"/>
      <c r="V13" s="19"/>
      <c r="W13" s="2"/>
      <c r="X13" s="2">
        <f t="shared" si="2"/>
        <v>-118028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--444.59</f>
        <v>444.59</v>
      </c>
      <c r="Q14" s="2"/>
      <c r="R14" s="19"/>
      <c r="S14" s="2"/>
      <c r="T14" s="2"/>
      <c r="U14" s="2"/>
      <c r="V14" s="19"/>
      <c r="W14" s="2"/>
      <c r="X14" s="2">
        <f t="shared" si="2"/>
        <v>444.59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--7161.66</f>
        <v>7161.66</v>
      </c>
      <c r="E16" s="2"/>
      <c r="F16" s="19"/>
      <c r="G16" s="2"/>
      <c r="H16" s="2"/>
      <c r="I16" s="2"/>
      <c r="J16" s="19"/>
      <c r="K16" s="2"/>
      <c r="L16" s="2">
        <f t="shared" si="0"/>
        <v>7161.66</v>
      </c>
      <c r="M16" s="2"/>
      <c r="N16" s="19">
        <f t="shared" si="1"/>
        <v>0</v>
      </c>
      <c r="O16" s="11"/>
      <c r="P16" s="2">
        <f>--39282.92</f>
        <v>39282.92</v>
      </c>
      <c r="Q16" s="2"/>
      <c r="R16" s="19"/>
      <c r="S16" s="2"/>
      <c r="T16" s="2"/>
      <c r="U16" s="2"/>
      <c r="V16" s="19"/>
      <c r="W16" s="2"/>
      <c r="X16" s="2">
        <f t="shared" si="2"/>
        <v>39282.92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--47978.22</f>
        <v>47978.22</v>
      </c>
      <c r="E17" s="2"/>
      <c r="F17" s="19"/>
      <c r="G17" s="2"/>
      <c r="H17" s="2"/>
      <c r="I17" s="2"/>
      <c r="J17" s="19"/>
      <c r="K17" s="2"/>
      <c r="L17" s="2">
        <f t="shared" si="0"/>
        <v>47978.22</v>
      </c>
      <c r="M17" s="2"/>
      <c r="N17" s="19">
        <f t="shared" si="1"/>
        <v>0</v>
      </c>
      <c r="O17" s="11"/>
      <c r="P17" s="2">
        <f>--428653.01</f>
        <v>428653.01</v>
      </c>
      <c r="Q17" s="2"/>
      <c r="R17" s="19"/>
      <c r="S17" s="2"/>
      <c r="T17" s="2"/>
      <c r="U17" s="2"/>
      <c r="V17" s="19"/>
      <c r="W17" s="2"/>
      <c r="X17" s="2">
        <f t="shared" si="2"/>
        <v>428653.01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 t="shared" ref="D18:D22" si="5"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--974.91</f>
        <v>974.91</v>
      </c>
      <c r="Q18" s="2"/>
      <c r="R18" s="19"/>
      <c r="S18" s="2"/>
      <c r="T18" s="2"/>
      <c r="U18" s="2"/>
      <c r="V18" s="19"/>
      <c r="W18" s="2"/>
      <c r="X18" s="2">
        <f t="shared" si="2"/>
        <v>974.91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 t="shared" si="5"/>
        <v>0</v>
      </c>
      <c r="E19" s="2"/>
      <c r="F19" s="19"/>
      <c r="G19" s="2"/>
      <c r="H19" s="2">
        <v>53030</v>
      </c>
      <c r="I19" s="2"/>
      <c r="J19" s="19"/>
      <c r="K19" s="2"/>
      <c r="L19" s="2">
        <f t="shared" si="0"/>
        <v>-53030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704991</v>
      </c>
      <c r="U19" s="2"/>
      <c r="V19" s="19"/>
      <c r="W19" s="2"/>
      <c r="X19" s="2">
        <f t="shared" si="2"/>
        <v>-704991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"4132", " - ", "NON-TAXABLE SALES-JUICE")</f>
        <v xml:space="preserve">          4132 - NON-TAXABLE SALES-JUICE</v>
      </c>
      <c r="C20" s="11"/>
      <c r="D20" s="2">
        <f t="shared" si="5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--2031.88</f>
        <v>2031.88</v>
      </c>
      <c r="Q20" s="2"/>
      <c r="R20" s="19"/>
      <c r="S20" s="2"/>
      <c r="T20" s="2"/>
      <c r="U20" s="2"/>
      <c r="V20" s="19"/>
      <c r="W20" s="2"/>
      <c r="X20" s="2">
        <f t="shared" si="2"/>
        <v>2031.88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"4134", " - ", "NON-TAXABLE SALES-SODA")</f>
        <v xml:space="preserve">          4134 - NON-TAXABLE SALES-SODA</v>
      </c>
      <c r="C21" s="11"/>
      <c r="D21" s="2">
        <f t="shared" si="5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2" si="6">0</f>
        <v>0</v>
      </c>
      <c r="Q21" s="2"/>
      <c r="R21" s="19"/>
      <c r="S21" s="2"/>
      <c r="T21" s="2"/>
      <c r="U21" s="2"/>
      <c r="V21" s="19"/>
      <c r="W21" s="2"/>
      <c r="X21" s="2">
        <f t="shared" si="2"/>
        <v>0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"4137", " - ", "NON-TAXABLE SALES-WATER")</f>
        <v xml:space="preserve">          4137 - NON-TAXABLE SALES-WATER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si="6"/>
        <v>0</v>
      </c>
      <c r="Q22" s="2"/>
      <c r="R22" s="19"/>
      <c r="S22" s="2"/>
      <c r="T22" s="2"/>
      <c r="U22" s="2"/>
      <c r="V22" s="19"/>
      <c r="W22" s="2"/>
      <c r="X22" s="2">
        <f t="shared" si="2"/>
        <v>0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"4151", " - ", "NON-TAXABLE SALES-FOOD")</f>
        <v xml:space="preserve">          4151 - NON-TAXABLE SALES-FOOD</v>
      </c>
      <c r="C23" s="11"/>
      <c r="D23" s="2">
        <f>--6614.87</f>
        <v>6614.87</v>
      </c>
      <c r="E23" s="2"/>
      <c r="F23" s="19"/>
      <c r="G23" s="2"/>
      <c r="H23" s="2"/>
      <c r="I23" s="2"/>
      <c r="J23" s="19"/>
      <c r="K23" s="2"/>
      <c r="L23" s="2">
        <f t="shared" si="0"/>
        <v>6614.87</v>
      </c>
      <c r="M23" s="2"/>
      <c r="N23" s="19">
        <f t="shared" si="1"/>
        <v>0</v>
      </c>
      <c r="O23" s="11"/>
      <c r="P23" s="2">
        <f>--37883.27</f>
        <v>37883.269999999997</v>
      </c>
      <c r="Q23" s="2"/>
      <c r="R23" s="19"/>
      <c r="S23" s="2"/>
      <c r="T23" s="2"/>
      <c r="U23" s="2"/>
      <c r="V23" s="19"/>
      <c r="W23" s="2"/>
      <c r="X23" s="2">
        <f t="shared" si="2"/>
        <v>37883.269999999997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"4152", " - ", "NON-TAXABLE SALES-FOOD")</f>
        <v xml:space="preserve">          4152 - NON-TAXABLE SALES-FOOD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--11580.95</f>
        <v>11580.95</v>
      </c>
      <c r="Q24" s="2"/>
      <c r="R24" s="19"/>
      <c r="S24" s="2"/>
      <c r="T24" s="2"/>
      <c r="U24" s="2"/>
      <c r="V24" s="19"/>
      <c r="W24" s="2"/>
      <c r="X24" s="2">
        <f t="shared" si="2"/>
        <v>11580.95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"4153", " - ", "NON-TAXABLE SALES-FOOD")</f>
        <v xml:space="preserve">          4153 - NON-TAXABLE SALES-FOOD</v>
      </c>
      <c r="C25" s="11"/>
      <c r="D25" s="2">
        <f>--4</f>
        <v>4</v>
      </c>
      <c r="E25" s="2"/>
      <c r="F25" s="19"/>
      <c r="G25" s="2"/>
      <c r="H25" s="2"/>
      <c r="I25" s="2"/>
      <c r="J25" s="19"/>
      <c r="K25" s="2"/>
      <c r="L25" s="2">
        <f t="shared" si="0"/>
        <v>4</v>
      </c>
      <c r="M25" s="2"/>
      <c r="N25" s="19">
        <f t="shared" si="1"/>
        <v>0</v>
      </c>
      <c r="O25" s="11"/>
      <c r="P25" s="2">
        <f>--400.45</f>
        <v>400.45</v>
      </c>
      <c r="Q25" s="2"/>
      <c r="R25" s="19"/>
      <c r="S25" s="2"/>
      <c r="T25" s="2"/>
      <c r="U25" s="2"/>
      <c r="V25" s="19"/>
      <c r="W25" s="2"/>
      <c r="X25" s="2">
        <f t="shared" si="2"/>
        <v>400.45</v>
      </c>
      <c r="Y25" s="2"/>
      <c r="Z25" s="19">
        <f t="shared" si="3"/>
        <v>0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25">
      <c r="A27" s="10"/>
      <c r="B27" s="29" t="s">
        <v>257</v>
      </c>
      <c r="C27" s="10"/>
      <c r="D27" s="4">
        <f>SUM(OSRRefD16x_0)</f>
        <v>4214.1399999999994</v>
      </c>
      <c r="E27" s="4"/>
      <c r="F27" s="12">
        <f t="shared" ref="F27:F30" si="7">IF(D$12=0,0,D27/D$12)</f>
        <v>6.8235513186390581E-2</v>
      </c>
      <c r="G27" s="4"/>
      <c r="H27" s="4">
        <f>SUM(OSRRefH16x_0)</f>
        <v>27315</v>
      </c>
      <c r="I27" s="4"/>
      <c r="J27" s="12">
        <f t="shared" ref="J27:J30" si="8">IF(H$12=0,0,H27/H$12)</f>
        <v>0.44848534603070356</v>
      </c>
      <c r="K27" s="4"/>
      <c r="L27" s="4">
        <f t="shared" ref="L27:L30" si="9">+D27-H27</f>
        <v>-23100.86</v>
      </c>
      <c r="M27" s="4"/>
      <c r="N27" s="12">
        <f t="shared" ref="N27:N30" si="10">IF(H27=0,0,L27/H27)</f>
        <v>-0.84572066630056753</v>
      </c>
      <c r="O27" s="10"/>
      <c r="P27" s="4">
        <f>SUM(OSRRefP16x_0)</f>
        <v>46154.28</v>
      </c>
      <c r="Q27" s="4"/>
      <c r="R27" s="12">
        <f t="shared" ref="R27:R30" si="11">IF(P$12=0,0,P27/P$12)</f>
        <v>8.8545044951196153E-2</v>
      </c>
      <c r="S27" s="4"/>
      <c r="T27" s="4">
        <f>SUM(OSRRefT16x_0)</f>
        <v>350654</v>
      </c>
      <c r="U27" s="4"/>
      <c r="V27" s="12">
        <f t="shared" ref="V27:V30" si="12">IF(T$12=0,0,T27/T$12)</f>
        <v>0.42605820764769708</v>
      </c>
      <c r="W27" s="4"/>
      <c r="X27" s="4">
        <f t="shared" ref="X27:X30" si="13">+P27-T27</f>
        <v>-304499.71999999997</v>
      </c>
      <c r="Y27" s="4"/>
      <c r="Z27" s="12">
        <f t="shared" ref="Z27:Z30" si="14">IF(T27=0,0,X27/T27)</f>
        <v>-0.86837657634020993</v>
      </c>
    </row>
    <row r="28" spans="1:26" s="24" customFormat="1" hidden="1" outlineLevel="1" x14ac:dyDescent="0.25">
      <c r="A28" s="44"/>
      <c r="B28" s="11" t="str">
        <f>CONCATENATE("          ", "5000", " - ", "PURCHASES @ COST")</f>
        <v xml:space="preserve">          5000 - PURCHASES @ COST</v>
      </c>
      <c r="C28" s="11"/>
      <c r="D28" s="2"/>
      <c r="E28" s="2"/>
      <c r="F28" s="19">
        <f t="shared" si="7"/>
        <v>0</v>
      </c>
      <c r="G28" s="2"/>
      <c r="H28" s="2">
        <v>27315</v>
      </c>
      <c r="I28" s="2"/>
      <c r="J28" s="19">
        <f t="shared" si="8"/>
        <v>0.44848534603070356</v>
      </c>
      <c r="K28" s="2"/>
      <c r="L28" s="2">
        <f t="shared" si="9"/>
        <v>-27315</v>
      </c>
      <c r="M28" s="2"/>
      <c r="N28" s="19">
        <f t="shared" si="10"/>
        <v>-1</v>
      </c>
      <c r="O28" s="11"/>
      <c r="P28" s="2"/>
      <c r="Q28" s="2"/>
      <c r="R28" s="19">
        <f t="shared" si="11"/>
        <v>0</v>
      </c>
      <c r="S28" s="2"/>
      <c r="T28" s="2">
        <v>350654</v>
      </c>
      <c r="U28" s="2"/>
      <c r="V28" s="19">
        <f t="shared" si="12"/>
        <v>0.42605820764769708</v>
      </c>
      <c r="W28" s="2"/>
      <c r="X28" s="2">
        <f t="shared" si="13"/>
        <v>-350654</v>
      </c>
      <c r="Y28" s="2"/>
      <c r="Z28" s="19">
        <f t="shared" si="14"/>
        <v>-1</v>
      </c>
    </row>
    <row r="29" spans="1:26" s="24" customFormat="1" hidden="1" outlineLevel="1" x14ac:dyDescent="0.25">
      <c r="A29" s="44"/>
      <c r="B29" s="11" t="str">
        <f>CONCATENATE("          ", "5053", " - ", "PURCHASES @ COST-FOOD")</f>
        <v xml:space="preserve">          5053 - PURCHASES @ COST-FOOD</v>
      </c>
      <c r="C29" s="11"/>
      <c r="D29" s="2">
        <v>3962.14</v>
      </c>
      <c r="E29" s="2"/>
      <c r="F29" s="19">
        <f t="shared" si="7"/>
        <v>6.4155119719877737E-2</v>
      </c>
      <c r="G29" s="2"/>
      <c r="H29" s="2"/>
      <c r="I29" s="2"/>
      <c r="J29" s="19">
        <f t="shared" si="8"/>
        <v>0</v>
      </c>
      <c r="K29" s="2"/>
      <c r="L29" s="2">
        <f t="shared" si="9"/>
        <v>3962.14</v>
      </c>
      <c r="M29" s="2"/>
      <c r="N29" s="19">
        <f t="shared" si="10"/>
        <v>0</v>
      </c>
      <c r="O29" s="11"/>
      <c r="P29" s="2">
        <v>9628.2800000000007</v>
      </c>
      <c r="Q29" s="2"/>
      <c r="R29" s="19">
        <f t="shared" si="11"/>
        <v>1.847145021875984E-2</v>
      </c>
      <c r="S29" s="2"/>
      <c r="T29" s="2"/>
      <c r="U29" s="2"/>
      <c r="V29" s="19">
        <f t="shared" si="12"/>
        <v>0</v>
      </c>
      <c r="W29" s="2"/>
      <c r="X29" s="2">
        <f t="shared" si="13"/>
        <v>9628.2800000000007</v>
      </c>
      <c r="Y29" s="2"/>
      <c r="Z29" s="19">
        <f t="shared" si="14"/>
        <v>0</v>
      </c>
    </row>
    <row r="30" spans="1:26" s="24" customFormat="1" hidden="1" outlineLevel="1" x14ac:dyDescent="0.25">
      <c r="A30" s="44"/>
      <c r="B30" s="11" t="str">
        <f>CONCATENATE("          ", "5059", " - ", "PURCHASES @ COST-FOOD")</f>
        <v xml:space="preserve">          5059 - PURCHASES @ COST-FOOD</v>
      </c>
      <c r="C30" s="11"/>
      <c r="D30" s="2">
        <v>252</v>
      </c>
      <c r="E30" s="2"/>
      <c r="F30" s="19">
        <f t="shared" si="7"/>
        <v>4.0803934665128421E-3</v>
      </c>
      <c r="G30" s="2"/>
      <c r="H30" s="2"/>
      <c r="I30" s="2"/>
      <c r="J30" s="19">
        <f t="shared" si="8"/>
        <v>0</v>
      </c>
      <c r="K30" s="2"/>
      <c r="L30" s="2">
        <f t="shared" si="9"/>
        <v>252</v>
      </c>
      <c r="M30" s="2"/>
      <c r="N30" s="19">
        <f t="shared" si="10"/>
        <v>0</v>
      </c>
      <c r="O30" s="11"/>
      <c r="P30" s="2">
        <v>36526</v>
      </c>
      <c r="Q30" s="2"/>
      <c r="R30" s="19">
        <f t="shared" si="11"/>
        <v>7.0073594732436309E-2</v>
      </c>
      <c r="S30" s="2"/>
      <c r="T30" s="2"/>
      <c r="U30" s="2"/>
      <c r="V30" s="19">
        <f t="shared" si="12"/>
        <v>0</v>
      </c>
      <c r="W30" s="2"/>
      <c r="X30" s="2">
        <f t="shared" si="13"/>
        <v>36526</v>
      </c>
      <c r="Y30" s="2"/>
      <c r="Z30" s="19">
        <f t="shared" si="14"/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8" t="s">
        <v>108</v>
      </c>
      <c r="C32" s="28"/>
      <c r="D32" s="20">
        <f>D12-D27</f>
        <v>57544.610000000008</v>
      </c>
      <c r="E32" s="14"/>
      <c r="F32" s="21">
        <f>IF(D$12=0,0,D32/D$12)</f>
        <v>0.93176448681360946</v>
      </c>
      <c r="G32" s="14"/>
      <c r="H32" s="20">
        <f>H12-H27</f>
        <v>33590</v>
      </c>
      <c r="I32" s="14"/>
      <c r="J32" s="21">
        <f>IF(H$12=0,0,H32/H$12)</f>
        <v>0.55151465396929644</v>
      </c>
      <c r="K32" s="15"/>
      <c r="L32" s="20">
        <f>+D32-H32</f>
        <v>23954.610000000008</v>
      </c>
      <c r="M32" s="15"/>
      <c r="N32" s="21">
        <f>IF(H32=0,0,L32/H32)</f>
        <v>0.71314706757963708</v>
      </c>
      <c r="O32" s="29"/>
      <c r="P32" s="20">
        <f>P12-P27</f>
        <v>475097.70000000007</v>
      </c>
      <c r="Q32" s="14"/>
      <c r="R32" s="21">
        <f>IF(P$12=0,0,P32/P$12)</f>
        <v>0.91145495504880392</v>
      </c>
      <c r="S32" s="14"/>
      <c r="T32" s="20">
        <f>T12-T27</f>
        <v>472365</v>
      </c>
      <c r="U32" s="14"/>
      <c r="V32" s="21">
        <f>IF(T$12=0,0,T32/T$12)</f>
        <v>0.57394179235230292</v>
      </c>
      <c r="W32" s="15"/>
      <c r="X32" s="20">
        <f>+P32-T32</f>
        <v>2732.7000000000698</v>
      </c>
      <c r="Y32" s="15"/>
      <c r="Z32" s="21">
        <f>IF(T32=0,0,X32/T32)</f>
        <v>5.7851449620527975E-3</v>
      </c>
    </row>
    <row r="33" spans="1:26" x14ac:dyDescent="0.25">
      <c r="A33" s="9"/>
      <c r="B33" s="10"/>
      <c r="C33" s="9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25">
      <c r="A34" s="10"/>
      <c r="B34" s="29" t="s">
        <v>295</v>
      </c>
      <c r="C34" s="10"/>
      <c r="D34" s="22">
        <f>SUM(OSRRefD22x_0)</f>
        <v>134612.78000000003</v>
      </c>
      <c r="E34" s="22"/>
      <c r="F34" s="31">
        <f t="shared" ref="F34:F44" si="15">IF(D$12=0,0,D34/D$12)</f>
        <v>2.1796551905600423</v>
      </c>
      <c r="G34" s="22"/>
      <c r="H34" s="22">
        <f>SUM(OSRRefH22x_0)</f>
        <v>153839.85032127943</v>
      </c>
      <c r="I34" s="22"/>
      <c r="J34" s="31">
        <f t="shared" ref="J34:J44" si="16">IF(H$12=0,0,H34/H$12)</f>
        <v>2.5258985357734081</v>
      </c>
      <c r="K34" s="4"/>
      <c r="L34" s="22">
        <f t="shared" ref="L34:L44" si="17">+D34-H34</f>
        <v>-19227.070321279403</v>
      </c>
      <c r="M34" s="4"/>
      <c r="N34" s="31">
        <f t="shared" ref="N34:N44" si="18">IF(H34=0,0,L34/H34)</f>
        <v>-0.12498107792698415</v>
      </c>
      <c r="O34" s="10"/>
      <c r="P34" s="22">
        <f>SUM(OSRRefP22x_0)</f>
        <v>1481759.5700000005</v>
      </c>
      <c r="Q34" s="22"/>
      <c r="R34" s="31">
        <f t="shared" ref="R34:R44" si="19">IF(P$12=0,0,P34/P$12)</f>
        <v>2.8426934128864132</v>
      </c>
      <c r="S34" s="22"/>
      <c r="T34" s="22">
        <f>SUM(OSRRefT22x_0)</f>
        <v>1830955.8115292054</v>
      </c>
      <c r="U34" s="22"/>
      <c r="V34" s="31">
        <f t="shared" ref="V34:V44" si="20">IF(T$12=0,0,T34/T$12)</f>
        <v>2.224682311743964</v>
      </c>
      <c r="W34" s="4"/>
      <c r="X34" s="22">
        <f t="shared" ref="X34:X44" si="21">+P34-T34</f>
        <v>-349196.24152920488</v>
      </c>
      <c r="Y34" s="4"/>
      <c r="Z34" s="31">
        <f t="shared" ref="Z34:Z44" si="22">IF(T34=0,0,X34/T34)</f>
        <v>-0.19071800604382574</v>
      </c>
    </row>
    <row r="35" spans="1:26" s="27" customFormat="1" outlineLevel="1" collapsed="1" x14ac:dyDescent="0.25">
      <c r="A35" s="26"/>
      <c r="B35" s="13" t="str">
        <f>CONCATENATE("     ","*Benefits                                         ")</f>
        <v xml:space="preserve">     *Benefits                                         </v>
      </c>
      <c r="C35" s="13"/>
      <c r="D35" s="1">
        <f>SUM(OSRRefD22_0x_0)</f>
        <v>19280.190000000002</v>
      </c>
      <c r="E35" s="1"/>
      <c r="F35" s="5">
        <f t="shared" si="15"/>
        <v>0.31218556075050097</v>
      </c>
      <c r="G35" s="1"/>
      <c r="H35" s="1">
        <f>SUM(OSRRefH22_0x_0)</f>
        <v>20945.98689563842</v>
      </c>
      <c r="I35" s="1"/>
      <c r="J35" s="5">
        <f t="shared" si="16"/>
        <v>0.34391243568899793</v>
      </c>
      <c r="K35" s="1"/>
      <c r="L35" s="1">
        <f t="shared" si="17"/>
        <v>-1665.7968956384175</v>
      </c>
      <c r="M35" s="1"/>
      <c r="N35" s="5">
        <f t="shared" si="18"/>
        <v>-7.9528212441748736E-2</v>
      </c>
      <c r="O35" s="13"/>
      <c r="P35" s="1">
        <f>SUM(OSRRefP22_0x_0)</f>
        <v>263146.38999999996</v>
      </c>
      <c r="Q35" s="1"/>
      <c r="R35" s="5">
        <f t="shared" si="19"/>
        <v>0.50483528139307965</v>
      </c>
      <c r="S35" s="1"/>
      <c r="T35" s="1">
        <f>SUM(OSRRefT22_0x_0)</f>
        <v>239233.82295484649</v>
      </c>
      <c r="U35" s="1"/>
      <c r="V35" s="5">
        <f t="shared" si="20"/>
        <v>0.29067837189037737</v>
      </c>
      <c r="W35" s="1"/>
      <c r="X35" s="1">
        <f t="shared" si="21"/>
        <v>23912.567045153468</v>
      </c>
      <c r="Y35" s="1"/>
      <c r="Z35" s="5">
        <f t="shared" si="22"/>
        <v>9.9954792135168849E-2</v>
      </c>
    </row>
    <row r="36" spans="1:26" s="24" customFormat="1" hidden="1" outlineLevel="2" x14ac:dyDescent="0.25">
      <c r="A36" s="25"/>
      <c r="B36" s="11" t="str">
        <f>CONCATENATE("          ", "6111", " - ", "F.I.C.A.")</f>
        <v xml:space="preserve">          6111 - F.I.C.A.</v>
      </c>
      <c r="C36" s="11"/>
      <c r="D36" s="7">
        <v>2396.2199999999998</v>
      </c>
      <c r="E36" s="2"/>
      <c r="F36" s="6">
        <f t="shared" si="15"/>
        <v>3.8799684255267468E-2</v>
      </c>
      <c r="G36" s="2"/>
      <c r="H36" s="7">
        <v>2595.0022578692301</v>
      </c>
      <c r="I36" s="2"/>
      <c r="J36" s="6">
        <f t="shared" si="16"/>
        <v>4.2607376370892867E-2</v>
      </c>
      <c r="K36" s="2"/>
      <c r="L36" s="7">
        <f t="shared" si="17"/>
        <v>-198.78225786923031</v>
      </c>
      <c r="M36" s="2"/>
      <c r="N36" s="6">
        <f t="shared" si="18"/>
        <v>-7.6601959503669742E-2</v>
      </c>
      <c r="O36" s="11"/>
      <c r="P36" s="7">
        <v>31891.19</v>
      </c>
      <c r="Q36" s="2"/>
      <c r="R36" s="6">
        <f t="shared" si="19"/>
        <v>6.1181906685515125E-2</v>
      </c>
      <c r="S36" s="2"/>
      <c r="T36" s="7">
        <v>30366.879708230801</v>
      </c>
      <c r="U36" s="2"/>
      <c r="V36" s="6">
        <f t="shared" si="20"/>
        <v>3.6896936411225989E-2</v>
      </c>
      <c r="W36" s="2"/>
      <c r="X36" s="7">
        <f t="shared" si="21"/>
        <v>1524.3102917691976</v>
      </c>
      <c r="Y36" s="2"/>
      <c r="Z36" s="6">
        <f t="shared" si="22"/>
        <v>5.0196474132837572E-2</v>
      </c>
    </row>
    <row r="37" spans="1:26" s="24" customFormat="1" hidden="1" outlineLevel="2" x14ac:dyDescent="0.25">
      <c r="A37" s="25"/>
      <c r="B37" s="11" t="str">
        <f>CONCATENATE("          ", "6112", " - ", "COMPENSATION INSURANCE")</f>
        <v xml:space="preserve">          6112 - COMPENSATION INSURANCE</v>
      </c>
      <c r="C37" s="11"/>
      <c r="D37" s="7">
        <v>920.55</v>
      </c>
      <c r="E37" s="2"/>
      <c r="F37" s="6">
        <f t="shared" si="15"/>
        <v>1.4905580180946017E-2</v>
      </c>
      <c r="G37" s="2"/>
      <c r="H37" s="7">
        <v>1142.28276653846</v>
      </c>
      <c r="I37" s="2"/>
      <c r="J37" s="6">
        <f t="shared" si="16"/>
        <v>1.8755155841695428E-2</v>
      </c>
      <c r="K37" s="2"/>
      <c r="L37" s="7">
        <f t="shared" si="17"/>
        <v>-221.73276653846006</v>
      </c>
      <c r="M37" s="2"/>
      <c r="N37" s="6">
        <f t="shared" si="18"/>
        <v>-0.1941137282587152</v>
      </c>
      <c r="O37" s="11"/>
      <c r="P37" s="7">
        <v>8765.76</v>
      </c>
      <c r="Q37" s="2"/>
      <c r="R37" s="6">
        <f t="shared" si="19"/>
        <v>1.6816741875973304E-2</v>
      </c>
      <c r="S37" s="2"/>
      <c r="T37" s="7">
        <v>12751.783404461499</v>
      </c>
      <c r="U37" s="2"/>
      <c r="V37" s="6">
        <f t="shared" si="20"/>
        <v>1.5493911324600646E-2</v>
      </c>
      <c r="W37" s="2"/>
      <c r="X37" s="7">
        <f t="shared" si="21"/>
        <v>-3986.023404461499</v>
      </c>
      <c r="Y37" s="2"/>
      <c r="Z37" s="6">
        <f t="shared" si="22"/>
        <v>-0.31258556376254781</v>
      </c>
    </row>
    <row r="38" spans="1:26" s="24" customFormat="1" hidden="1" outlineLevel="2" x14ac:dyDescent="0.25">
      <c r="A38" s="25"/>
      <c r="B38" s="11" t="str">
        <f>CONCATENATE("          ", "6113", " - ", "GROUP INSURANCE")</f>
        <v xml:space="preserve">          6113 - GROUP INSURANCE</v>
      </c>
      <c r="C38" s="11"/>
      <c r="D38" s="7">
        <v>8554.93</v>
      </c>
      <c r="E38" s="2"/>
      <c r="F38" s="6">
        <f t="shared" si="15"/>
        <v>0.13852174793045519</v>
      </c>
      <c r="G38" s="2"/>
      <c r="H38" s="7">
        <v>11221.1538461538</v>
      </c>
      <c r="I38" s="2"/>
      <c r="J38" s="6">
        <f t="shared" si="16"/>
        <v>0.18424027331341927</v>
      </c>
      <c r="K38" s="2"/>
      <c r="L38" s="7">
        <f t="shared" si="17"/>
        <v>-2666.2238461538</v>
      </c>
      <c r="M38" s="2"/>
      <c r="N38" s="6">
        <f t="shared" si="18"/>
        <v>-0.23760692373607226</v>
      </c>
      <c r="O38" s="11"/>
      <c r="P38" s="7">
        <v>121774.22</v>
      </c>
      <c r="Q38" s="2"/>
      <c r="R38" s="6">
        <f t="shared" si="19"/>
        <v>0.23361871929963698</v>
      </c>
      <c r="S38" s="2"/>
      <c r="T38" s="7">
        <v>125293.730769231</v>
      </c>
      <c r="U38" s="2"/>
      <c r="V38" s="6">
        <f t="shared" si="20"/>
        <v>0.15223674152022129</v>
      </c>
      <c r="W38" s="2"/>
      <c r="X38" s="7">
        <f t="shared" si="21"/>
        <v>-3519.5107692309975</v>
      </c>
      <c r="Y38" s="2"/>
      <c r="Z38" s="6">
        <f t="shared" si="22"/>
        <v>-2.8090078790241446E-2</v>
      </c>
    </row>
    <row r="39" spans="1:26" s="24" customFormat="1" hidden="1" outlineLevel="2" x14ac:dyDescent="0.25">
      <c r="A39" s="25"/>
      <c r="B39" s="11" t="str">
        <f>CONCATENATE("          ", "6114", " - ", "STATE UNEMPLOYMENT INSURANCE")</f>
        <v xml:space="preserve">          6114 - STATE UNEMPLOYMENT INSURANCE</v>
      </c>
      <c r="C39" s="11"/>
      <c r="D39" s="7">
        <v>118.49</v>
      </c>
      <c r="E39" s="2"/>
      <c r="F39" s="6">
        <f t="shared" si="15"/>
        <v>1.918594531139312E-3</v>
      </c>
      <c r="G39" s="2"/>
      <c r="H39" s="7">
        <v>128.43532200000001</v>
      </c>
      <c r="I39" s="2"/>
      <c r="J39" s="6">
        <f t="shared" si="16"/>
        <v>2.1087812494869061E-3</v>
      </c>
      <c r="K39" s="2"/>
      <c r="L39" s="7">
        <f t="shared" si="17"/>
        <v>-9.9453220000000186</v>
      </c>
      <c r="M39" s="2"/>
      <c r="N39" s="6">
        <f t="shared" si="18"/>
        <v>-7.7434477098130505E-2</v>
      </c>
      <c r="O39" s="11"/>
      <c r="P39" s="7">
        <v>1162.6099999999999</v>
      </c>
      <c r="Q39" s="2"/>
      <c r="R39" s="6">
        <f t="shared" si="19"/>
        <v>2.230418386132557E-3</v>
      </c>
      <c r="S39" s="2"/>
      <c r="T39" s="7">
        <v>1506.8264360000001</v>
      </c>
      <c r="U39" s="2"/>
      <c r="V39" s="6">
        <f t="shared" si="20"/>
        <v>1.8308525513991781E-3</v>
      </c>
      <c r="W39" s="2"/>
      <c r="X39" s="7">
        <f t="shared" si="21"/>
        <v>-344.21643600000016</v>
      </c>
      <c r="Y39" s="2"/>
      <c r="Z39" s="6">
        <f t="shared" si="22"/>
        <v>-0.22843801235247252</v>
      </c>
    </row>
    <row r="40" spans="1:26" s="24" customFormat="1" hidden="1" outlineLevel="2" x14ac:dyDescent="0.25">
      <c r="A40" s="25"/>
      <c r="B40" s="11" t="str">
        <f>CONCATENATE("          ", "6115", " - ", "P.E.R.S.")</f>
        <v xml:space="preserve">          6115 - P.E.R.S.</v>
      </c>
      <c r="C40" s="11"/>
      <c r="D40" s="7">
        <v>2783.65</v>
      </c>
      <c r="E40" s="2"/>
      <c r="F40" s="6">
        <f t="shared" si="15"/>
        <v>4.5072965369279655E-2</v>
      </c>
      <c r="G40" s="2"/>
      <c r="H40" s="7">
        <v>2251.18852615385</v>
      </c>
      <c r="I40" s="2"/>
      <c r="J40" s="6">
        <f t="shared" si="16"/>
        <v>3.6962294165566865E-2</v>
      </c>
      <c r="K40" s="2"/>
      <c r="L40" s="7">
        <f t="shared" si="17"/>
        <v>532.46147384615006</v>
      </c>
      <c r="M40" s="2"/>
      <c r="N40" s="6">
        <f t="shared" si="18"/>
        <v>0.23652460363053607</v>
      </c>
      <c r="O40" s="11"/>
      <c r="P40" s="7">
        <v>40740.129999999997</v>
      </c>
      <c r="Q40" s="2"/>
      <c r="R40" s="6">
        <f t="shared" si="19"/>
        <v>7.8158225892974054E-2</v>
      </c>
      <c r="S40" s="2"/>
      <c r="T40" s="7">
        <v>26828.227113846198</v>
      </c>
      <c r="U40" s="2"/>
      <c r="V40" s="6">
        <f t="shared" si="20"/>
        <v>3.2597336287310742E-2</v>
      </c>
      <c r="W40" s="2"/>
      <c r="X40" s="7">
        <f t="shared" si="21"/>
        <v>13911.902886153799</v>
      </c>
      <c r="Y40" s="2"/>
      <c r="Z40" s="6">
        <f t="shared" si="22"/>
        <v>0.51855468597005383</v>
      </c>
    </row>
    <row r="41" spans="1:26" s="24" customFormat="1" hidden="1" outlineLevel="2" x14ac:dyDescent="0.25">
      <c r="A41" s="25"/>
      <c r="B41" s="11" t="str">
        <f>CONCATENATE("          ", "6116", " - ", "EDUCATIONAL BENEFITS")</f>
        <v xml:space="preserve">          6116 - EDUCATIONAL BENEFITS</v>
      </c>
      <c r="C41" s="11"/>
      <c r="D41" s="7"/>
      <c r="E41" s="2"/>
      <c r="F41" s="6">
        <f t="shared" si="15"/>
        <v>0</v>
      </c>
      <c r="G41" s="2"/>
      <c r="H41" s="7">
        <v>0</v>
      </c>
      <c r="I41" s="2"/>
      <c r="J41" s="6">
        <f t="shared" si="16"/>
        <v>0</v>
      </c>
      <c r="K41" s="2"/>
      <c r="L41" s="7">
        <f t="shared" si="17"/>
        <v>0</v>
      </c>
      <c r="M41" s="2"/>
      <c r="N41" s="6">
        <f t="shared" si="18"/>
        <v>0</v>
      </c>
      <c r="O41" s="11"/>
      <c r="P41" s="7"/>
      <c r="Q41" s="2"/>
      <c r="R41" s="6">
        <f t="shared" si="19"/>
        <v>0</v>
      </c>
      <c r="S41" s="2"/>
      <c r="T41" s="7">
        <v>0</v>
      </c>
      <c r="U41" s="2"/>
      <c r="V41" s="6">
        <f t="shared" si="20"/>
        <v>0</v>
      </c>
      <c r="W41" s="2"/>
      <c r="X41" s="7">
        <f t="shared" si="21"/>
        <v>0</v>
      </c>
      <c r="Y41" s="2"/>
      <c r="Z41" s="6">
        <f t="shared" si="22"/>
        <v>0</v>
      </c>
    </row>
    <row r="42" spans="1:26" s="24" customFormat="1" hidden="1" outlineLevel="2" x14ac:dyDescent="0.25">
      <c r="A42" s="25"/>
      <c r="B42" s="11" t="str">
        <f>CONCATENATE("          ", "6118", " - ", "VACATION")</f>
        <v xml:space="preserve">          6118 - VACATION</v>
      </c>
      <c r="C42" s="11"/>
      <c r="D42" s="7">
        <v>2462.92</v>
      </c>
      <c r="E42" s="2"/>
      <c r="F42" s="6">
        <f t="shared" si="15"/>
        <v>3.987969316088813E-2</v>
      </c>
      <c r="G42" s="2"/>
      <c r="H42" s="7">
        <v>1915.77207692308</v>
      </c>
      <c r="I42" s="2"/>
      <c r="J42" s="6">
        <f t="shared" si="16"/>
        <v>3.1455087052345128E-2</v>
      </c>
      <c r="K42" s="2"/>
      <c r="L42" s="7">
        <f t="shared" si="17"/>
        <v>547.14792307692005</v>
      </c>
      <c r="M42" s="2"/>
      <c r="N42" s="6">
        <f t="shared" si="18"/>
        <v>0.28560178408889531</v>
      </c>
      <c r="O42" s="11"/>
      <c r="P42" s="7">
        <v>32978.22</v>
      </c>
      <c r="Q42" s="2"/>
      <c r="R42" s="6">
        <f t="shared" si="19"/>
        <v>6.3267328020509384E-2</v>
      </c>
      <c r="S42" s="2"/>
      <c r="T42" s="7">
        <v>22768.834923077</v>
      </c>
      <c r="U42" s="2"/>
      <c r="V42" s="6">
        <f t="shared" si="20"/>
        <v>2.7665017360567618E-2</v>
      </c>
      <c r="W42" s="2"/>
      <c r="X42" s="7">
        <f t="shared" si="21"/>
        <v>10209.385076923001</v>
      </c>
      <c r="Y42" s="2"/>
      <c r="Z42" s="6">
        <f t="shared" si="22"/>
        <v>0.44839295077744346</v>
      </c>
    </row>
    <row r="43" spans="1:26" s="24" customFormat="1" hidden="1" outlineLevel="2" x14ac:dyDescent="0.25">
      <c r="A43" s="25"/>
      <c r="B43" s="11" t="str">
        <f>CONCATENATE("          ", "6119", " - ", "SICK LEAVE")</f>
        <v xml:space="preserve">          6119 - SICK LEAVE</v>
      </c>
      <c r="C43" s="11"/>
      <c r="D43" s="7">
        <v>1382.86</v>
      </c>
      <c r="E43" s="2"/>
      <c r="F43" s="6">
        <f t="shared" si="15"/>
        <v>2.2391321067864872E-2</v>
      </c>
      <c r="G43" s="2"/>
      <c r="H43" s="7">
        <v>1167.1521</v>
      </c>
      <c r="I43" s="2"/>
      <c r="J43" s="6">
        <f t="shared" si="16"/>
        <v>1.9163485756506036E-2</v>
      </c>
      <c r="K43" s="2"/>
      <c r="L43" s="7">
        <f t="shared" si="17"/>
        <v>215.70789999999988</v>
      </c>
      <c r="M43" s="2"/>
      <c r="N43" s="6">
        <f t="shared" si="18"/>
        <v>0.18481558658892863</v>
      </c>
      <c r="O43" s="11"/>
      <c r="P43" s="7">
        <v>19412.47</v>
      </c>
      <c r="Q43" s="2"/>
      <c r="R43" s="6">
        <f t="shared" si="19"/>
        <v>3.7242007215013362E-2</v>
      </c>
      <c r="S43" s="2"/>
      <c r="T43" s="7">
        <v>13942.5406</v>
      </c>
      <c r="U43" s="2"/>
      <c r="V43" s="6">
        <f t="shared" si="20"/>
        <v>1.6940727492317918E-2</v>
      </c>
      <c r="W43" s="2"/>
      <c r="X43" s="7">
        <f t="shared" si="21"/>
        <v>5469.9294000000009</v>
      </c>
      <c r="Y43" s="2"/>
      <c r="Z43" s="6">
        <f t="shared" si="22"/>
        <v>0.3923194170221746</v>
      </c>
    </row>
    <row r="44" spans="1:26" s="24" customFormat="1" hidden="1" outlineLevel="2" x14ac:dyDescent="0.25">
      <c r="A44" s="25"/>
      <c r="B44" s="11" t="str">
        <f>CONCATENATE("          ", "6156", " - ", "EMPLOYEE MEALS")</f>
        <v xml:space="preserve">          6156 - EMPLOYEE MEALS</v>
      </c>
      <c r="C44" s="11"/>
      <c r="D44" s="7">
        <v>660.57</v>
      </c>
      <c r="E44" s="2"/>
      <c r="F44" s="6">
        <f t="shared" si="15"/>
        <v>1.0695974254660271E-2</v>
      </c>
      <c r="G44" s="2"/>
      <c r="H44" s="7">
        <v>525</v>
      </c>
      <c r="I44" s="2"/>
      <c r="J44" s="6">
        <f t="shared" si="16"/>
        <v>8.619981939085461E-3</v>
      </c>
      <c r="K44" s="2"/>
      <c r="L44" s="7">
        <f t="shared" si="17"/>
        <v>135.57000000000005</v>
      </c>
      <c r="M44" s="2"/>
      <c r="N44" s="6">
        <f t="shared" si="18"/>
        <v>0.25822857142857153</v>
      </c>
      <c r="O44" s="11"/>
      <c r="P44" s="7">
        <v>6421.79</v>
      </c>
      <c r="Q44" s="2"/>
      <c r="R44" s="6">
        <f t="shared" si="19"/>
        <v>1.2319934017324979E-2</v>
      </c>
      <c r="S44" s="2"/>
      <c r="T44" s="7">
        <v>5775</v>
      </c>
      <c r="U44" s="2"/>
      <c r="V44" s="6">
        <f t="shared" si="20"/>
        <v>7.0168489427340072E-3</v>
      </c>
      <c r="W44" s="2"/>
      <c r="X44" s="7">
        <f t="shared" si="21"/>
        <v>646.79</v>
      </c>
      <c r="Y44" s="2"/>
      <c r="Z44" s="6">
        <f t="shared" si="22"/>
        <v>0.11199826839826839</v>
      </c>
    </row>
    <row r="45" spans="1:26" s="27" customFormat="1" outlineLevel="1" collapsed="1" x14ac:dyDescent="0.25">
      <c r="A45" s="26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26587.039999999994</v>
      </c>
      <c r="E45" s="1"/>
      <c r="F45" s="5">
        <f t="shared" ref="F45:F55" si="23">IF(D$12=0,0,D45/D$12)</f>
        <v>0.43049835043617285</v>
      </c>
      <c r="G45" s="1"/>
      <c r="H45" s="1">
        <f>SUM(OSRRefH22_1x_0)</f>
        <v>46372.530092307701</v>
      </c>
      <c r="I45" s="1"/>
      <c r="J45" s="5">
        <f t="shared" ref="J45:J55" si="24">IF(H$12=0,0,H45/H$12)</f>
        <v>0.76139118450550369</v>
      </c>
      <c r="K45" s="1"/>
      <c r="L45" s="1">
        <f t="shared" ref="L45:L55" si="25">+D45-H45</f>
        <v>-19785.490092307708</v>
      </c>
      <c r="M45" s="1"/>
      <c r="N45" s="5">
        <f t="shared" ref="N45:N55" si="26">IF(H45=0,0,L45/H45)</f>
        <v>-0.42666401968845202</v>
      </c>
      <c r="O45" s="13"/>
      <c r="P45" s="1">
        <f>SUM(OSRRefP22_1x_0)</f>
        <v>361474.98000000004</v>
      </c>
      <c r="Q45" s="1"/>
      <c r="R45" s="5">
        <f t="shared" ref="R45:R55" si="27">IF(P$12=0,0,P45/P$12)</f>
        <v>0.69347454565064681</v>
      </c>
      <c r="S45" s="1"/>
      <c r="T45" s="1">
        <f>SUM(OSRRefT22_1x_0)</f>
        <v>544399.32190769201</v>
      </c>
      <c r="U45" s="1"/>
      <c r="V45" s="5">
        <f t="shared" ref="V45:V55" si="28">IF(T$12=0,0,T45/T$12)</f>
        <v>0.66146628681438946</v>
      </c>
      <c r="W45" s="1"/>
      <c r="X45" s="1">
        <f t="shared" ref="X45:X55" si="29">+P45-T45</f>
        <v>-182924.34190769197</v>
      </c>
      <c r="Y45" s="1"/>
      <c r="Z45" s="5">
        <f t="shared" ref="Z45:Z55" si="30">IF(T45=0,0,X45/T45)</f>
        <v>-0.33601133312709835</v>
      </c>
    </row>
    <row r="46" spans="1:26" s="24" customFormat="1" hidden="1" outlineLevel="2" x14ac:dyDescent="0.25">
      <c r="A46" s="25"/>
      <c r="B46" s="11" t="str">
        <f>CONCATENATE("          ", "6001", " - ", "ADMINISTRATIVE SALARIES")</f>
        <v xml:space="preserve">          6001 - ADMINISTRATIVE SALARIES</v>
      </c>
      <c r="C46" s="11"/>
      <c r="D46" s="7">
        <v>8301.9599999999991</v>
      </c>
      <c r="E46" s="2"/>
      <c r="F46" s="6">
        <f t="shared" si="23"/>
        <v>0.13442564818750377</v>
      </c>
      <c r="G46" s="2"/>
      <c r="H46" s="7">
        <v>15250.007692307699</v>
      </c>
      <c r="I46" s="2"/>
      <c r="J46" s="6">
        <f t="shared" si="24"/>
        <v>0.25039007786401279</v>
      </c>
      <c r="K46" s="2"/>
      <c r="L46" s="7">
        <f t="shared" si="25"/>
        <v>-6948.0476923077003</v>
      </c>
      <c r="M46" s="2"/>
      <c r="N46" s="6">
        <f t="shared" si="26"/>
        <v>-0.45560945492587424</v>
      </c>
      <c r="O46" s="11"/>
      <c r="P46" s="7">
        <v>119358.13</v>
      </c>
      <c r="Q46" s="2"/>
      <c r="R46" s="6">
        <f t="shared" si="27"/>
        <v>0.22898355225432429</v>
      </c>
      <c r="S46" s="2"/>
      <c r="T46" s="7">
        <v>183000.09230769199</v>
      </c>
      <c r="U46" s="2"/>
      <c r="V46" s="6">
        <f t="shared" si="28"/>
        <v>0.22235220852458082</v>
      </c>
      <c r="W46" s="2"/>
      <c r="X46" s="7">
        <f t="shared" si="29"/>
        <v>-63641.962307691982</v>
      </c>
      <c r="Y46" s="2"/>
      <c r="Z46" s="6">
        <f t="shared" si="30"/>
        <v>-0.34777011041440298</v>
      </c>
    </row>
    <row r="47" spans="1:26" s="24" customFormat="1" hidden="1" outlineLevel="2" x14ac:dyDescent="0.25">
      <c r="A47" s="25"/>
      <c r="B47" s="11" t="str">
        <f>CONCATENATE("          ", "6002", " - ", "STAFF SALARIES")</f>
        <v xml:space="preserve">          6002 - STAFF SALARIES</v>
      </c>
      <c r="C47" s="11"/>
      <c r="D47" s="7">
        <v>14361.06</v>
      </c>
      <c r="E47" s="2"/>
      <c r="F47" s="6">
        <f t="shared" si="23"/>
        <v>0.23253482300078931</v>
      </c>
      <c r="G47" s="2"/>
      <c r="H47" s="7">
        <v>8587.2420000000002</v>
      </c>
      <c r="I47" s="2"/>
      <c r="J47" s="6">
        <f t="shared" si="24"/>
        <v>0.14099403989820211</v>
      </c>
      <c r="K47" s="2"/>
      <c r="L47" s="7">
        <f t="shared" si="25"/>
        <v>5773.8179999999993</v>
      </c>
      <c r="M47" s="2"/>
      <c r="N47" s="6">
        <f t="shared" si="26"/>
        <v>0.67237164155848861</v>
      </c>
      <c r="O47" s="11"/>
      <c r="P47" s="7">
        <v>204042.77</v>
      </c>
      <c r="Q47" s="2"/>
      <c r="R47" s="6">
        <f t="shared" si="27"/>
        <v>0.3914474722954529</v>
      </c>
      <c r="S47" s="2"/>
      <c r="T47" s="7">
        <v>101100.024</v>
      </c>
      <c r="U47" s="2"/>
      <c r="V47" s="6">
        <f t="shared" si="28"/>
        <v>0.1228404496129494</v>
      </c>
      <c r="W47" s="2"/>
      <c r="X47" s="7">
        <f t="shared" si="29"/>
        <v>102942.74599999998</v>
      </c>
      <c r="Y47" s="2"/>
      <c r="Z47" s="6">
        <f t="shared" si="30"/>
        <v>1.0182267216870293</v>
      </c>
    </row>
    <row r="48" spans="1:26" s="24" customFormat="1" hidden="1" outlineLevel="2" x14ac:dyDescent="0.25">
      <c r="A48" s="25"/>
      <c r="B48" s="11" t="str">
        <f>CONCATENATE("          ", "6003", " - ", "STAFF HOURLY-9 MONTH")</f>
        <v xml:space="preserve">          6003 - STAFF HOURLY-9 MONTH</v>
      </c>
      <c r="C48" s="11"/>
      <c r="D48" s="7"/>
      <c r="E48" s="2"/>
      <c r="F48" s="6">
        <f t="shared" si="23"/>
        <v>0</v>
      </c>
      <c r="G48" s="2"/>
      <c r="H48" s="7">
        <v>0</v>
      </c>
      <c r="I48" s="2"/>
      <c r="J48" s="6">
        <f t="shared" si="24"/>
        <v>0</v>
      </c>
      <c r="K48" s="2"/>
      <c r="L48" s="7">
        <f t="shared" si="25"/>
        <v>0</v>
      </c>
      <c r="M48" s="2"/>
      <c r="N48" s="6">
        <f t="shared" si="26"/>
        <v>0</v>
      </c>
      <c r="O48" s="11"/>
      <c r="P48" s="7"/>
      <c r="Q48" s="2"/>
      <c r="R48" s="6">
        <f t="shared" si="27"/>
        <v>0</v>
      </c>
      <c r="S48" s="2"/>
      <c r="T48" s="7">
        <v>0</v>
      </c>
      <c r="U48" s="2"/>
      <c r="V48" s="6">
        <f t="shared" si="28"/>
        <v>0</v>
      </c>
      <c r="W48" s="2"/>
      <c r="X48" s="7">
        <f t="shared" si="29"/>
        <v>0</v>
      </c>
      <c r="Y48" s="2"/>
      <c r="Z48" s="6">
        <f t="shared" si="30"/>
        <v>0</v>
      </c>
    </row>
    <row r="49" spans="1:26" s="24" customFormat="1" hidden="1" outlineLevel="2" x14ac:dyDescent="0.25">
      <c r="A49" s="25"/>
      <c r="B49" s="11" t="str">
        <f>CONCATENATE("          ", "6004", " - ", "STAFF HOURLY")</f>
        <v xml:space="preserve">          6004 - STAFF HOURLY</v>
      </c>
      <c r="C49" s="11"/>
      <c r="D49" s="7">
        <v>2883.67</v>
      </c>
      <c r="E49" s="2"/>
      <c r="F49" s="6">
        <f t="shared" si="23"/>
        <v>4.6692492966583676E-2</v>
      </c>
      <c r="G49" s="2"/>
      <c r="H49" s="7">
        <v>6363.13</v>
      </c>
      <c r="I49" s="2"/>
      <c r="J49" s="6">
        <f t="shared" si="24"/>
        <v>0.10447631557343404</v>
      </c>
      <c r="K49" s="2"/>
      <c r="L49" s="7">
        <f t="shared" si="25"/>
        <v>-3479.46</v>
      </c>
      <c r="M49" s="2"/>
      <c r="N49" s="6">
        <f t="shared" si="26"/>
        <v>-0.54681579662838886</v>
      </c>
      <c r="O49" s="11"/>
      <c r="P49" s="7">
        <v>31463.03</v>
      </c>
      <c r="Q49" s="2"/>
      <c r="R49" s="6">
        <f t="shared" si="27"/>
        <v>6.0360499733737215E-2</v>
      </c>
      <c r="S49" s="2"/>
      <c r="T49" s="7">
        <v>76769.320000000007</v>
      </c>
      <c r="U49" s="2"/>
      <c r="V49" s="6">
        <f t="shared" si="28"/>
        <v>9.3277700757819701E-2</v>
      </c>
      <c r="W49" s="2"/>
      <c r="X49" s="7">
        <f t="shared" si="29"/>
        <v>-45306.290000000008</v>
      </c>
      <c r="Y49" s="2"/>
      <c r="Z49" s="6">
        <f t="shared" si="30"/>
        <v>-0.59016140822922492</v>
      </c>
    </row>
    <row r="50" spans="1:26" s="24" customFormat="1" hidden="1" outlineLevel="2" x14ac:dyDescent="0.25">
      <c r="A50" s="25"/>
      <c r="B50" s="11" t="str">
        <f>CONCATENATE("          ", "6005", " - ", "TEMPORARY WAGES-HOURLY")</f>
        <v xml:space="preserve">          6005 - TEMPORARY WAGES-HOURLY</v>
      </c>
      <c r="C50" s="11"/>
      <c r="D50" s="7">
        <v>1040.3499999999999</v>
      </c>
      <c r="E50" s="2"/>
      <c r="F50" s="6">
        <f t="shared" si="23"/>
        <v>1.6845386281296171E-2</v>
      </c>
      <c r="G50" s="2"/>
      <c r="H50" s="7">
        <v>7190.5720000000001</v>
      </c>
      <c r="I50" s="2"/>
      <c r="J50" s="6">
        <f t="shared" si="24"/>
        <v>0.11806209670798785</v>
      </c>
      <c r="K50" s="2"/>
      <c r="L50" s="7">
        <f t="shared" si="25"/>
        <v>-6150.2219999999998</v>
      </c>
      <c r="M50" s="2"/>
      <c r="N50" s="6">
        <f t="shared" si="26"/>
        <v>-0.855317490736481</v>
      </c>
      <c r="O50" s="11"/>
      <c r="P50" s="7">
        <v>6463.36</v>
      </c>
      <c r="Q50" s="2"/>
      <c r="R50" s="6">
        <f t="shared" si="27"/>
        <v>1.2399684313908983E-2</v>
      </c>
      <c r="S50" s="2"/>
      <c r="T50" s="7">
        <v>83924.998000000007</v>
      </c>
      <c r="U50" s="2"/>
      <c r="V50" s="6">
        <f t="shared" si="28"/>
        <v>0.10197212701043355</v>
      </c>
      <c r="W50" s="2"/>
      <c r="X50" s="7">
        <f t="shared" si="29"/>
        <v>-77461.638000000006</v>
      </c>
      <c r="Y50" s="2"/>
      <c r="Z50" s="6">
        <f t="shared" si="30"/>
        <v>-0.92298647418496216</v>
      </c>
    </row>
    <row r="51" spans="1:26" s="24" customFormat="1" hidden="1" outlineLevel="2" x14ac:dyDescent="0.25">
      <c r="A51" s="25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3"/>
        <v>0</v>
      </c>
      <c r="G51" s="2"/>
      <c r="H51" s="7">
        <v>0</v>
      </c>
      <c r="I51" s="2"/>
      <c r="J51" s="6">
        <f t="shared" si="24"/>
        <v>0</v>
      </c>
      <c r="K51" s="2"/>
      <c r="L51" s="7">
        <f t="shared" si="25"/>
        <v>0</v>
      </c>
      <c r="M51" s="2"/>
      <c r="N51" s="6">
        <f t="shared" si="26"/>
        <v>0</v>
      </c>
      <c r="O51" s="11"/>
      <c r="P51" s="7"/>
      <c r="Q51" s="2"/>
      <c r="R51" s="6">
        <f t="shared" si="27"/>
        <v>0</v>
      </c>
      <c r="S51" s="2"/>
      <c r="T51" s="7">
        <v>0</v>
      </c>
      <c r="U51" s="2"/>
      <c r="V51" s="6">
        <f t="shared" si="28"/>
        <v>0</v>
      </c>
      <c r="W51" s="2"/>
      <c r="X51" s="7">
        <f t="shared" si="29"/>
        <v>0</v>
      </c>
      <c r="Y51" s="2"/>
      <c r="Z51" s="6">
        <f t="shared" si="30"/>
        <v>0</v>
      </c>
    </row>
    <row r="52" spans="1:26" s="24" customFormat="1" hidden="1" outlineLevel="2" x14ac:dyDescent="0.25">
      <c r="A52" s="25"/>
      <c r="B52" s="11" t="str">
        <f>CONCATENATE("          ", "6007", " - ", "STUDENT HOURLY")</f>
        <v xml:space="preserve">          6007 - STUDENT HOURLY</v>
      </c>
      <c r="C52" s="11"/>
      <c r="D52" s="7"/>
      <c r="E52" s="2"/>
      <c r="F52" s="6">
        <f t="shared" si="23"/>
        <v>0</v>
      </c>
      <c r="G52" s="2"/>
      <c r="H52" s="7">
        <v>1007.7912</v>
      </c>
      <c r="I52" s="2"/>
      <c r="J52" s="6">
        <f t="shared" si="24"/>
        <v>1.6546937033084311E-2</v>
      </c>
      <c r="K52" s="2"/>
      <c r="L52" s="7">
        <f t="shared" si="25"/>
        <v>-1007.7912</v>
      </c>
      <c r="M52" s="2"/>
      <c r="N52" s="6">
        <f t="shared" si="26"/>
        <v>-1</v>
      </c>
      <c r="O52" s="11"/>
      <c r="P52" s="7">
        <v>147.69</v>
      </c>
      <c r="Q52" s="2"/>
      <c r="R52" s="6">
        <f t="shared" si="27"/>
        <v>2.8333705322327983E-4</v>
      </c>
      <c r="S52" s="2"/>
      <c r="T52" s="7">
        <v>4210.7312000000002</v>
      </c>
      <c r="U52" s="2"/>
      <c r="V52" s="6">
        <f t="shared" si="28"/>
        <v>5.1162016915769866E-3</v>
      </c>
      <c r="W52" s="2"/>
      <c r="X52" s="7">
        <f t="shared" si="29"/>
        <v>-4063.0412000000001</v>
      </c>
      <c r="Y52" s="2"/>
      <c r="Z52" s="6">
        <f t="shared" si="30"/>
        <v>-0.96492533173335782</v>
      </c>
    </row>
    <row r="53" spans="1:26" s="24" customFormat="1" hidden="1" outlineLevel="2" x14ac:dyDescent="0.25">
      <c r="A53" s="25"/>
      <c r="B53" s="11" t="str">
        <f>CONCATENATE("          ", "6008", " - ", "STUDENT HOURLY-FICA EXEMPT")</f>
        <v xml:space="preserve">          6008 - STUDENT HOURLY-FICA EXEMPT</v>
      </c>
      <c r="C53" s="11"/>
      <c r="D53" s="7"/>
      <c r="E53" s="2"/>
      <c r="F53" s="6">
        <f t="shared" si="23"/>
        <v>0</v>
      </c>
      <c r="G53" s="2"/>
      <c r="H53" s="7">
        <v>7973.7871999999998</v>
      </c>
      <c r="I53" s="2"/>
      <c r="J53" s="6">
        <f t="shared" si="24"/>
        <v>0.13092171742878253</v>
      </c>
      <c r="K53" s="2"/>
      <c r="L53" s="7">
        <f t="shared" si="25"/>
        <v>-7973.7871999999998</v>
      </c>
      <c r="M53" s="2"/>
      <c r="N53" s="6">
        <f t="shared" si="26"/>
        <v>-1</v>
      </c>
      <c r="O53" s="11"/>
      <c r="P53" s="7"/>
      <c r="Q53" s="2"/>
      <c r="R53" s="6">
        <f t="shared" si="27"/>
        <v>0</v>
      </c>
      <c r="S53" s="2"/>
      <c r="T53" s="7">
        <v>95394.156400000007</v>
      </c>
      <c r="U53" s="2"/>
      <c r="V53" s="6">
        <f t="shared" si="28"/>
        <v>0.11590759921702902</v>
      </c>
      <c r="W53" s="2"/>
      <c r="X53" s="7">
        <f t="shared" si="29"/>
        <v>-95394.156400000007</v>
      </c>
      <c r="Y53" s="2"/>
      <c r="Z53" s="6">
        <f t="shared" si="30"/>
        <v>-1</v>
      </c>
    </row>
    <row r="54" spans="1:26" s="24" customFormat="1" hidden="1" outlineLevel="2" x14ac:dyDescent="0.25">
      <c r="A54" s="25"/>
      <c r="B54" s="11" t="str">
        <f>CONCATENATE("          ", "6009", " - ", "TEMPORARY-SEASONAL")</f>
        <v xml:space="preserve">          6009 - TEMPORARY-SEASONAL</v>
      </c>
      <c r="C54" s="11"/>
      <c r="D54" s="7"/>
      <c r="E54" s="2"/>
      <c r="F54" s="6">
        <f t="shared" si="23"/>
        <v>0</v>
      </c>
      <c r="G54" s="2"/>
      <c r="H54" s="7">
        <v>0</v>
      </c>
      <c r="I54" s="2"/>
      <c r="J54" s="6">
        <f t="shared" si="24"/>
        <v>0</v>
      </c>
      <c r="K54" s="2"/>
      <c r="L54" s="7">
        <f t="shared" si="25"/>
        <v>0</v>
      </c>
      <c r="M54" s="2"/>
      <c r="N54" s="6">
        <f t="shared" si="26"/>
        <v>0</v>
      </c>
      <c r="O54" s="11"/>
      <c r="P54" s="7"/>
      <c r="Q54" s="2"/>
      <c r="R54" s="6">
        <f t="shared" si="27"/>
        <v>0</v>
      </c>
      <c r="S54" s="2"/>
      <c r="T54" s="7">
        <v>0</v>
      </c>
      <c r="U54" s="2"/>
      <c r="V54" s="6">
        <f t="shared" si="28"/>
        <v>0</v>
      </c>
      <c r="W54" s="2"/>
      <c r="X54" s="7">
        <f t="shared" si="29"/>
        <v>0</v>
      </c>
      <c r="Y54" s="2"/>
      <c r="Z54" s="6">
        <f t="shared" si="30"/>
        <v>0</v>
      </c>
    </row>
    <row r="55" spans="1:26" s="24" customFormat="1" hidden="1" outlineLevel="2" x14ac:dyDescent="0.25">
      <c r="A55" s="25"/>
      <c r="B55" s="11" t="str">
        <f>CONCATENATE("          ", "6010", " - ", "GRATUITY")</f>
        <v xml:space="preserve">          6010 - GRATUITY</v>
      </c>
      <c r="C55" s="11"/>
      <c r="D55" s="7"/>
      <c r="E55" s="2"/>
      <c r="F55" s="6">
        <f t="shared" si="23"/>
        <v>0</v>
      </c>
      <c r="G55" s="2"/>
      <c r="H55" s="7">
        <v>0</v>
      </c>
      <c r="I55" s="2"/>
      <c r="J55" s="6">
        <f t="shared" si="24"/>
        <v>0</v>
      </c>
      <c r="K55" s="2"/>
      <c r="L55" s="7">
        <f t="shared" si="25"/>
        <v>0</v>
      </c>
      <c r="M55" s="2"/>
      <c r="N55" s="6">
        <f t="shared" si="26"/>
        <v>0</v>
      </c>
      <c r="O55" s="11"/>
      <c r="P55" s="7"/>
      <c r="Q55" s="2"/>
      <c r="R55" s="6">
        <f t="shared" si="27"/>
        <v>0</v>
      </c>
      <c r="S55" s="2"/>
      <c r="T55" s="7">
        <v>0</v>
      </c>
      <c r="U55" s="2"/>
      <c r="V55" s="6">
        <f t="shared" si="28"/>
        <v>0</v>
      </c>
      <c r="W55" s="2"/>
      <c r="X55" s="7">
        <f t="shared" si="29"/>
        <v>0</v>
      </c>
      <c r="Y55" s="2"/>
      <c r="Z55" s="6">
        <f t="shared" si="30"/>
        <v>0</v>
      </c>
    </row>
    <row r="56" spans="1:26" s="27" customFormat="1" outlineLevel="1" collapsed="1" x14ac:dyDescent="0.25">
      <c r="A56" s="26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6.3</v>
      </c>
      <c r="E56" s="1"/>
      <c r="F56" s="5">
        <f t="shared" ref="F56:F65" si="31">IF(D$12=0,0,D56/D$12)</f>
        <v>1.0200983666282105E-4</v>
      </c>
      <c r="G56" s="1"/>
      <c r="H56" s="1">
        <f>SUM(OSRRefH22_2x_0)</f>
        <v>700</v>
      </c>
      <c r="I56" s="1"/>
      <c r="J56" s="5">
        <f t="shared" ref="J56:J65" si="32">IF(H$12=0,0,H56/H$12)</f>
        <v>1.1493309252113948E-2</v>
      </c>
      <c r="K56" s="1"/>
      <c r="L56" s="1">
        <f t="shared" ref="L56:L65" si="33">+D56-H56</f>
        <v>-693.7</v>
      </c>
      <c r="M56" s="1"/>
      <c r="N56" s="5">
        <f t="shared" ref="N56:N65" si="34">IF(H56=0,0,L56/H56)</f>
        <v>-0.9910000000000001</v>
      </c>
      <c r="O56" s="13"/>
      <c r="P56" s="1">
        <f>SUM(OSRRefP22_2x_0)</f>
        <v>447.45</v>
      </c>
      <c r="Q56" s="1"/>
      <c r="R56" s="5">
        <f t="shared" ref="R56:R65" si="35">IF(P$12=0,0,P56/P$12)</f>
        <v>8.5841400544895763E-4</v>
      </c>
      <c r="S56" s="1"/>
      <c r="T56" s="1">
        <f>SUM(OSRRefT22_2x_0)</f>
        <v>9728</v>
      </c>
      <c r="U56" s="1"/>
      <c r="V56" s="5">
        <f t="shared" ref="V56:V65" si="36">IF(T$12=0,0,T56/T$12)</f>
        <v>1.1819897232020159E-2</v>
      </c>
      <c r="W56" s="1"/>
      <c r="X56" s="1">
        <f t="shared" ref="X56:X65" si="37">+P56-T56</f>
        <v>-9280.5499999999993</v>
      </c>
      <c r="Y56" s="1"/>
      <c r="Z56" s="5">
        <f t="shared" ref="Z56:Z65" si="38">IF(T56=0,0,X56/T56)</f>
        <v>-0.95400390624999998</v>
      </c>
    </row>
    <row r="57" spans="1:26" s="24" customFormat="1" hidden="1" outlineLevel="2" x14ac:dyDescent="0.25">
      <c r="A57" s="25"/>
      <c r="B57" s="11" t="str">
        <f>CONCATENATE("          ", "6362", " - ", "ADVERTISING EXPENSE")</f>
        <v xml:space="preserve">          6362 - ADVERTISING EXPENSE</v>
      </c>
      <c r="C57" s="11"/>
      <c r="D57" s="7">
        <v>6.3</v>
      </c>
      <c r="E57" s="2"/>
      <c r="F57" s="6">
        <f t="shared" si="31"/>
        <v>1.0200983666282105E-4</v>
      </c>
      <c r="G57" s="2"/>
      <c r="H57" s="7">
        <v>700</v>
      </c>
      <c r="I57" s="2"/>
      <c r="J57" s="6">
        <f t="shared" si="32"/>
        <v>1.1493309252113948E-2</v>
      </c>
      <c r="K57" s="2"/>
      <c r="L57" s="7">
        <f t="shared" si="33"/>
        <v>-693.7</v>
      </c>
      <c r="M57" s="2"/>
      <c r="N57" s="6">
        <f t="shared" si="34"/>
        <v>-0.9910000000000001</v>
      </c>
      <c r="O57" s="11"/>
      <c r="P57" s="7">
        <v>447.45</v>
      </c>
      <c r="Q57" s="2"/>
      <c r="R57" s="6">
        <f t="shared" si="35"/>
        <v>8.5841400544895763E-4</v>
      </c>
      <c r="S57" s="2"/>
      <c r="T57" s="7">
        <v>9728</v>
      </c>
      <c r="U57" s="2"/>
      <c r="V57" s="6">
        <f t="shared" si="36"/>
        <v>1.1819897232020159E-2</v>
      </c>
      <c r="W57" s="2"/>
      <c r="X57" s="7">
        <f t="shared" si="37"/>
        <v>-9280.5499999999993</v>
      </c>
      <c r="Y57" s="2"/>
      <c r="Z57" s="6">
        <f t="shared" si="38"/>
        <v>-0.95400390624999998</v>
      </c>
    </row>
    <row r="58" spans="1:26" s="27" customFormat="1" outlineLevel="1" collapsed="1" x14ac:dyDescent="0.25">
      <c r="A58" s="26"/>
      <c r="B58" s="13" t="str">
        <f>CONCATENATE("     ","Bad Debts/Over/Short                              ")</f>
        <v xml:space="preserve">     Bad Debts/Over/Short                              </v>
      </c>
      <c r="C58" s="13"/>
      <c r="D58" s="1">
        <f>SUM(OSRRefD22_3x_0)</f>
        <v>7.22</v>
      </c>
      <c r="E58" s="1"/>
      <c r="F58" s="5">
        <f t="shared" si="31"/>
        <v>1.1690651122310602E-4</v>
      </c>
      <c r="G58" s="1"/>
      <c r="H58" s="1">
        <f>SUM(OSRRefH22_3x_0)</f>
        <v>10</v>
      </c>
      <c r="I58" s="1"/>
      <c r="J58" s="5">
        <f t="shared" si="32"/>
        <v>1.6419013217305639E-4</v>
      </c>
      <c r="K58" s="1"/>
      <c r="L58" s="1">
        <f t="shared" si="33"/>
        <v>-2.7800000000000002</v>
      </c>
      <c r="M58" s="1"/>
      <c r="N58" s="5">
        <f t="shared" si="34"/>
        <v>-0.27800000000000002</v>
      </c>
      <c r="O58" s="13"/>
      <c r="P58" s="1">
        <f>SUM(OSRRefP22_3x_0)</f>
        <v>19.510000000000002</v>
      </c>
      <c r="Q58" s="1"/>
      <c r="R58" s="5">
        <f t="shared" si="35"/>
        <v>3.7429114417944273E-5</v>
      </c>
      <c r="S58" s="1"/>
      <c r="T58" s="1">
        <f>SUM(OSRRefT22_3x_0)</f>
        <v>169</v>
      </c>
      <c r="U58" s="1"/>
      <c r="V58" s="5">
        <f t="shared" si="36"/>
        <v>2.0534155347567919E-4</v>
      </c>
      <c r="W58" s="1"/>
      <c r="X58" s="1">
        <f t="shared" si="37"/>
        <v>-149.49</v>
      </c>
      <c r="Y58" s="1"/>
      <c r="Z58" s="5">
        <f t="shared" si="38"/>
        <v>-0.88455621301775156</v>
      </c>
    </row>
    <row r="59" spans="1:26" s="24" customFormat="1" hidden="1" outlineLevel="2" x14ac:dyDescent="0.25">
      <c r="A59" s="25"/>
      <c r="B59" s="11" t="str">
        <f>CONCATENATE("          ", "6272", " - ", "CASH (OVER/SHORT)")</f>
        <v xml:space="preserve">          6272 - CASH (OVER/SHORT)</v>
      </c>
      <c r="C59" s="11"/>
      <c r="D59" s="7">
        <v>7.22</v>
      </c>
      <c r="E59" s="2"/>
      <c r="F59" s="6">
        <f t="shared" si="31"/>
        <v>1.1690651122310602E-4</v>
      </c>
      <c r="G59" s="2"/>
      <c r="H59" s="7">
        <v>10</v>
      </c>
      <c r="I59" s="2"/>
      <c r="J59" s="6">
        <f t="shared" si="32"/>
        <v>1.6419013217305639E-4</v>
      </c>
      <c r="K59" s="2"/>
      <c r="L59" s="7">
        <f t="shared" si="33"/>
        <v>-2.7800000000000002</v>
      </c>
      <c r="M59" s="2"/>
      <c r="N59" s="6">
        <f t="shared" si="34"/>
        <v>-0.27800000000000002</v>
      </c>
      <c r="O59" s="11"/>
      <c r="P59" s="7">
        <v>19.510000000000002</v>
      </c>
      <c r="Q59" s="2"/>
      <c r="R59" s="6">
        <f t="shared" si="35"/>
        <v>3.7429114417944273E-5</v>
      </c>
      <c r="S59" s="2"/>
      <c r="T59" s="7">
        <v>169</v>
      </c>
      <c r="U59" s="2"/>
      <c r="V59" s="6">
        <f t="shared" si="36"/>
        <v>2.0534155347567919E-4</v>
      </c>
      <c r="W59" s="2"/>
      <c r="X59" s="7">
        <f t="shared" si="37"/>
        <v>-149.49</v>
      </c>
      <c r="Y59" s="2"/>
      <c r="Z59" s="6">
        <f t="shared" si="38"/>
        <v>-0.88455621301775156</v>
      </c>
    </row>
    <row r="60" spans="1:26" s="27" customFormat="1" outlineLevel="1" collapsed="1" x14ac:dyDescent="0.25">
      <c r="A60" s="26"/>
      <c r="B60" s="13" t="str">
        <f>CONCATENATE("     ","Bank/card Fees                                    ")</f>
        <v xml:space="preserve">     Bank/card Fees                                    </v>
      </c>
      <c r="C60" s="13"/>
      <c r="D60" s="1">
        <f>SUM(OSRRefD22_4x_0)</f>
        <v>838.07</v>
      </c>
      <c r="E60" s="1"/>
      <c r="F60" s="5">
        <f t="shared" si="31"/>
        <v>1.357006092254134E-2</v>
      </c>
      <c r="G60" s="1"/>
      <c r="H60" s="1">
        <f>SUM(OSRRefH22_4x_0)</f>
        <v>3882</v>
      </c>
      <c r="I60" s="1"/>
      <c r="J60" s="5">
        <f t="shared" si="32"/>
        <v>6.3738609309580488E-2</v>
      </c>
      <c r="K60" s="1"/>
      <c r="L60" s="1">
        <f t="shared" si="33"/>
        <v>-3043.93</v>
      </c>
      <c r="M60" s="1"/>
      <c r="N60" s="5">
        <f t="shared" si="34"/>
        <v>-0.78411385883565166</v>
      </c>
      <c r="O60" s="13"/>
      <c r="P60" s="1">
        <f>SUM(OSRRefP22_4x_0)</f>
        <v>9485.84</v>
      </c>
      <c r="Q60" s="1"/>
      <c r="R60" s="5">
        <f t="shared" si="35"/>
        <v>1.8198185069723857E-2</v>
      </c>
      <c r="S60" s="1"/>
      <c r="T60" s="1">
        <f>SUM(OSRRefT22_4x_0)</f>
        <v>74068</v>
      </c>
      <c r="U60" s="1"/>
      <c r="V60" s="5">
        <f t="shared" si="36"/>
        <v>8.9995492206133759E-2</v>
      </c>
      <c r="W60" s="1"/>
      <c r="X60" s="1">
        <f t="shared" si="37"/>
        <v>-64582.16</v>
      </c>
      <c r="Y60" s="1"/>
      <c r="Z60" s="5">
        <f t="shared" si="38"/>
        <v>-0.87193065831398175</v>
      </c>
    </row>
    <row r="61" spans="1:26" s="24" customFormat="1" hidden="1" outlineLevel="2" x14ac:dyDescent="0.25">
      <c r="A61" s="25"/>
      <c r="B61" s="11" t="str">
        <f>CONCATENATE("          ", "6381", " - ", "BANK/CREDIT CARD FEES")</f>
        <v xml:space="preserve">          6381 - BANK/CREDIT CARD FEES</v>
      </c>
      <c r="C61" s="11"/>
      <c r="D61" s="7">
        <v>838.07</v>
      </c>
      <c r="E61" s="2"/>
      <c r="F61" s="6">
        <f t="shared" si="31"/>
        <v>1.357006092254134E-2</v>
      </c>
      <c r="G61" s="2"/>
      <c r="H61" s="7">
        <v>3882</v>
      </c>
      <c r="I61" s="2"/>
      <c r="J61" s="6">
        <f t="shared" si="32"/>
        <v>6.3738609309580488E-2</v>
      </c>
      <c r="K61" s="2"/>
      <c r="L61" s="7">
        <f t="shared" si="33"/>
        <v>-3043.93</v>
      </c>
      <c r="M61" s="2"/>
      <c r="N61" s="6">
        <f t="shared" si="34"/>
        <v>-0.78411385883565166</v>
      </c>
      <c r="O61" s="11"/>
      <c r="P61" s="7">
        <v>9485.84</v>
      </c>
      <c r="Q61" s="2"/>
      <c r="R61" s="6">
        <f t="shared" si="35"/>
        <v>1.8198185069723857E-2</v>
      </c>
      <c r="S61" s="2"/>
      <c r="T61" s="7">
        <v>74068</v>
      </c>
      <c r="U61" s="2"/>
      <c r="V61" s="6">
        <f t="shared" si="36"/>
        <v>8.9995492206133759E-2</v>
      </c>
      <c r="W61" s="2"/>
      <c r="X61" s="7">
        <f t="shared" si="37"/>
        <v>-64582.16</v>
      </c>
      <c r="Y61" s="2"/>
      <c r="Z61" s="6">
        <f t="shared" si="38"/>
        <v>-0.87193065831398175</v>
      </c>
    </row>
    <row r="62" spans="1:26" s="27" customFormat="1" outlineLevel="1" collapsed="1" x14ac:dyDescent="0.25">
      <c r="A62" s="26"/>
      <c r="B62" s="13" t="str">
        <f>CONCATENATE("     ","Depreciation                                      ")</f>
        <v xml:space="preserve">     Depreciation                                      </v>
      </c>
      <c r="C62" s="13"/>
      <c r="D62" s="1">
        <f>SUM(OSRRefD22_5x_0)</f>
        <v>45872.82</v>
      </c>
      <c r="E62" s="1"/>
      <c r="F62" s="5">
        <f t="shared" si="31"/>
        <v>0.74277442467666521</v>
      </c>
      <c r="G62" s="1"/>
      <c r="H62" s="1">
        <f>SUM(OSRRefH22_5x_0)</f>
        <v>46280</v>
      </c>
      <c r="I62" s="1"/>
      <c r="J62" s="5">
        <f t="shared" si="32"/>
        <v>0.75987193169690503</v>
      </c>
      <c r="K62" s="1"/>
      <c r="L62" s="1">
        <f t="shared" si="33"/>
        <v>-407.18000000000029</v>
      </c>
      <c r="M62" s="1"/>
      <c r="N62" s="5">
        <f t="shared" si="34"/>
        <v>-8.7981849611063149E-3</v>
      </c>
      <c r="O62" s="13"/>
      <c r="P62" s="1">
        <f>SUM(OSRRefP22_5x_0)</f>
        <v>507606.12</v>
      </c>
      <c r="Q62" s="1"/>
      <c r="R62" s="5">
        <f t="shared" si="35"/>
        <v>0.97382099152889545</v>
      </c>
      <c r="S62" s="1"/>
      <c r="T62" s="1">
        <f>SUM(OSRRefT22_5x_0)</f>
        <v>512132</v>
      </c>
      <c r="U62" s="1"/>
      <c r="V62" s="5">
        <f t="shared" si="36"/>
        <v>0.62226023943554154</v>
      </c>
      <c r="W62" s="1"/>
      <c r="X62" s="1">
        <f t="shared" si="37"/>
        <v>-4525.8800000000047</v>
      </c>
      <c r="Y62" s="1"/>
      <c r="Z62" s="5">
        <f t="shared" si="38"/>
        <v>-8.8373310006014168E-3</v>
      </c>
    </row>
    <row r="63" spans="1:26" s="24" customFormat="1" hidden="1" outlineLevel="2" x14ac:dyDescent="0.25">
      <c r="A63" s="25"/>
      <c r="B63" s="11" t="str">
        <f>CONCATENATE("          ", "6321", " - ", "BUILDING DEPRECIATION")</f>
        <v xml:space="preserve">          6321 - BUILDING DEPRECIATION</v>
      </c>
      <c r="C63" s="11"/>
      <c r="D63" s="7">
        <v>28664</v>
      </c>
      <c r="E63" s="2"/>
      <c r="F63" s="6">
        <f t="shared" si="31"/>
        <v>0.46412856477827025</v>
      </c>
      <c r="G63" s="2"/>
      <c r="H63" s="7"/>
      <c r="I63" s="2"/>
      <c r="J63" s="6">
        <f t="shared" si="32"/>
        <v>0</v>
      </c>
      <c r="K63" s="2"/>
      <c r="L63" s="7">
        <f t="shared" si="33"/>
        <v>28664</v>
      </c>
      <c r="M63" s="2"/>
      <c r="N63" s="6">
        <f t="shared" si="34"/>
        <v>0</v>
      </c>
      <c r="O63" s="11"/>
      <c r="P63" s="7">
        <v>316088.19</v>
      </c>
      <c r="Q63" s="2"/>
      <c r="R63" s="6">
        <f t="shared" si="35"/>
        <v>0.60640189798415722</v>
      </c>
      <c r="S63" s="2"/>
      <c r="T63" s="7"/>
      <c r="U63" s="2"/>
      <c r="V63" s="6">
        <f t="shared" si="36"/>
        <v>0</v>
      </c>
      <c r="W63" s="2"/>
      <c r="X63" s="7">
        <f t="shared" si="37"/>
        <v>316088.19</v>
      </c>
      <c r="Y63" s="2"/>
      <c r="Z63" s="6">
        <f t="shared" si="38"/>
        <v>0</v>
      </c>
    </row>
    <row r="64" spans="1:26" s="24" customFormat="1" hidden="1" outlineLevel="2" x14ac:dyDescent="0.25">
      <c r="A64" s="25"/>
      <c r="B64" s="11" t="str">
        <f>CONCATENATE("          ", "6322", " - ", "EQUIPMENT DEPRECIATION EXPENSE")</f>
        <v xml:space="preserve">          6322 - EQUIPMENT DEPRECIATION EXPENSE</v>
      </c>
      <c r="C64" s="11"/>
      <c r="D64" s="7">
        <v>17208.82</v>
      </c>
      <c r="E64" s="2"/>
      <c r="F64" s="6">
        <f t="shared" si="31"/>
        <v>0.27864585989839491</v>
      </c>
      <c r="G64" s="2"/>
      <c r="H64" s="7">
        <v>45730</v>
      </c>
      <c r="I64" s="2"/>
      <c r="J64" s="6">
        <f t="shared" si="32"/>
        <v>0.75084147442738691</v>
      </c>
      <c r="K64" s="2"/>
      <c r="L64" s="7">
        <f t="shared" si="33"/>
        <v>-28521.18</v>
      </c>
      <c r="M64" s="2"/>
      <c r="N64" s="6">
        <f t="shared" si="34"/>
        <v>-0.62368642029302424</v>
      </c>
      <c r="O64" s="11"/>
      <c r="P64" s="7">
        <v>191517.93</v>
      </c>
      <c r="Q64" s="2"/>
      <c r="R64" s="6">
        <f t="shared" si="35"/>
        <v>0.36741909354473817</v>
      </c>
      <c r="S64" s="2"/>
      <c r="T64" s="7">
        <v>506082</v>
      </c>
      <c r="U64" s="2"/>
      <c r="V64" s="6">
        <f t="shared" si="36"/>
        <v>0.61490925482886782</v>
      </c>
      <c r="W64" s="2"/>
      <c r="X64" s="7">
        <f t="shared" si="37"/>
        <v>-314564.07</v>
      </c>
      <c r="Y64" s="2"/>
      <c r="Z64" s="6">
        <f t="shared" si="38"/>
        <v>-0.62156739421674745</v>
      </c>
    </row>
    <row r="65" spans="1:26" s="24" customFormat="1" hidden="1" outlineLevel="2" x14ac:dyDescent="0.25">
      <c r="A65" s="25"/>
      <c r="B65" s="11" t="str">
        <f>CONCATENATE("          ", "6326", " - ", "VEHICLES DEPRECIATION EXPENSE")</f>
        <v xml:space="preserve">          6326 - VEHICLES DEPRECIATION EXPENSE</v>
      </c>
      <c r="C65" s="11"/>
      <c r="D65" s="7"/>
      <c r="E65" s="2"/>
      <c r="F65" s="6">
        <f t="shared" si="31"/>
        <v>0</v>
      </c>
      <c r="G65" s="2"/>
      <c r="H65" s="7">
        <v>550</v>
      </c>
      <c r="I65" s="2"/>
      <c r="J65" s="6">
        <f t="shared" si="32"/>
        <v>9.0304572695181027E-3</v>
      </c>
      <c r="K65" s="2"/>
      <c r="L65" s="7">
        <f t="shared" si="33"/>
        <v>-550</v>
      </c>
      <c r="M65" s="2"/>
      <c r="N65" s="6">
        <f t="shared" si="34"/>
        <v>-1</v>
      </c>
      <c r="O65" s="11"/>
      <c r="P65" s="7"/>
      <c r="Q65" s="2"/>
      <c r="R65" s="6">
        <f t="shared" si="35"/>
        <v>0</v>
      </c>
      <c r="S65" s="2"/>
      <c r="T65" s="7">
        <v>6050</v>
      </c>
      <c r="U65" s="2"/>
      <c r="V65" s="6">
        <f t="shared" si="36"/>
        <v>7.3509846066737222E-3</v>
      </c>
      <c r="W65" s="2"/>
      <c r="X65" s="7">
        <f t="shared" si="37"/>
        <v>-6050</v>
      </c>
      <c r="Y65" s="2"/>
      <c r="Z65" s="6">
        <f t="shared" si="38"/>
        <v>-1</v>
      </c>
    </row>
    <row r="66" spans="1:26" s="27" customFormat="1" outlineLevel="1" collapsed="1" x14ac:dyDescent="0.25">
      <c r="A66" s="26"/>
      <c r="B66" s="13" t="str">
        <f>CONCATENATE("     ","Employees' Appreciation                           ")</f>
        <v xml:space="preserve">     Employees' Appreciation                           </v>
      </c>
      <c r="C66" s="13"/>
      <c r="D66" s="1">
        <f>SUM(OSRRefD22_6x_0)</f>
        <v>0</v>
      </c>
      <c r="E66" s="1"/>
      <c r="F66" s="5">
        <f t="shared" ref="F66:F72" si="39">IF(D$12=0,0,D66/D$12)</f>
        <v>0</v>
      </c>
      <c r="G66" s="1"/>
      <c r="H66" s="1">
        <f>SUM(OSRRefH22_6x_0)</f>
        <v>100</v>
      </c>
      <c r="I66" s="1"/>
      <c r="J66" s="5">
        <f t="shared" ref="J66:J72" si="40">IF(H$12=0,0,H66/H$12)</f>
        <v>1.6419013217305639E-3</v>
      </c>
      <c r="K66" s="1"/>
      <c r="L66" s="1">
        <f t="shared" ref="L66:L72" si="41">+D66-H66</f>
        <v>-100</v>
      </c>
      <c r="M66" s="1"/>
      <c r="N66" s="5">
        <f t="shared" ref="N66:N72" si="42">IF(H66=0,0,L66/H66)</f>
        <v>-1</v>
      </c>
      <c r="O66" s="13"/>
      <c r="P66" s="1">
        <f>SUM(OSRRefP22_6x_0)</f>
        <v>10</v>
      </c>
      <c r="Q66" s="1"/>
      <c r="R66" s="5">
        <f t="shared" ref="R66:R72" si="43">IF(P$12=0,0,P66/P$12)</f>
        <v>1.9184579404379433E-5</v>
      </c>
      <c r="S66" s="1"/>
      <c r="T66" s="1">
        <f>SUM(OSRRefT22_6x_0)</f>
        <v>350</v>
      </c>
      <c r="U66" s="1"/>
      <c r="V66" s="5">
        <f t="shared" ref="V66:V72" si="44">IF(T$12=0,0,T66/T$12)</f>
        <v>4.2526357228690954E-4</v>
      </c>
      <c r="W66" s="1"/>
      <c r="X66" s="1">
        <f t="shared" ref="X66:X72" si="45">+P66-T66</f>
        <v>-340</v>
      </c>
      <c r="Y66" s="1"/>
      <c r="Z66" s="5">
        <f t="shared" ref="Z66:Z72" si="46">IF(T66=0,0,X66/T66)</f>
        <v>-0.97142857142857142</v>
      </c>
    </row>
    <row r="67" spans="1:26" s="24" customFormat="1" hidden="1" outlineLevel="2" x14ac:dyDescent="0.25">
      <c r="A67" s="25"/>
      <c r="B67" s="11" t="str">
        <f>CONCATENATE("          ", "6277", " - ", "EMPLOYEE APPRECIATION")</f>
        <v xml:space="preserve">          6277 - EMPLOYEE APPRECIATION</v>
      </c>
      <c r="C67" s="11"/>
      <c r="D67" s="7"/>
      <c r="E67" s="2"/>
      <c r="F67" s="6">
        <f t="shared" si="39"/>
        <v>0</v>
      </c>
      <c r="G67" s="2"/>
      <c r="H67" s="7">
        <v>100</v>
      </c>
      <c r="I67" s="2"/>
      <c r="J67" s="6">
        <f t="shared" si="40"/>
        <v>1.6419013217305639E-3</v>
      </c>
      <c r="K67" s="2"/>
      <c r="L67" s="7">
        <f t="shared" si="41"/>
        <v>-100</v>
      </c>
      <c r="M67" s="2"/>
      <c r="N67" s="6">
        <f t="shared" si="42"/>
        <v>-1</v>
      </c>
      <c r="O67" s="11"/>
      <c r="P67" s="7">
        <v>10</v>
      </c>
      <c r="Q67" s="2"/>
      <c r="R67" s="6">
        <f t="shared" si="43"/>
        <v>1.9184579404379433E-5</v>
      </c>
      <c r="S67" s="2"/>
      <c r="T67" s="7">
        <v>350</v>
      </c>
      <c r="U67" s="2"/>
      <c r="V67" s="6">
        <f t="shared" si="44"/>
        <v>4.2526357228690954E-4</v>
      </c>
      <c r="W67" s="2"/>
      <c r="X67" s="7">
        <f t="shared" si="45"/>
        <v>-340</v>
      </c>
      <c r="Y67" s="2"/>
      <c r="Z67" s="6">
        <f t="shared" si="46"/>
        <v>-0.97142857142857142</v>
      </c>
    </row>
    <row r="68" spans="1:26" s="27" customFormat="1" outlineLevel="1" collapsed="1" x14ac:dyDescent="0.25">
      <c r="A68" s="26"/>
      <c r="B68" s="13" t="str">
        <f>CONCATENATE("     ","Equipment Rental                                  ")</f>
        <v xml:space="preserve">     Equipment Rental                                  </v>
      </c>
      <c r="C68" s="13"/>
      <c r="D68" s="1">
        <f>SUM(OSRRefD22_7x_0)</f>
        <v>1064.6099999999999</v>
      </c>
      <c r="E68" s="1"/>
      <c r="F68" s="5">
        <f t="shared" si="39"/>
        <v>1.7238205112635858E-2</v>
      </c>
      <c r="G68" s="1"/>
      <c r="H68" s="1">
        <f>SUM(OSRRefH22_7x_0)</f>
        <v>500.33333333333297</v>
      </c>
      <c r="I68" s="1"/>
      <c r="J68" s="5">
        <f t="shared" si="40"/>
        <v>8.2149796130585821E-3</v>
      </c>
      <c r="K68" s="1"/>
      <c r="L68" s="1">
        <f t="shared" si="41"/>
        <v>564.27666666666687</v>
      </c>
      <c r="M68" s="1"/>
      <c r="N68" s="5">
        <f t="shared" si="42"/>
        <v>1.1278014656895414</v>
      </c>
      <c r="O68" s="13"/>
      <c r="P68" s="1">
        <f>SUM(OSRRefP22_7x_0)</f>
        <v>7133.78</v>
      </c>
      <c r="Q68" s="1"/>
      <c r="R68" s="5">
        <f t="shared" si="43"/>
        <v>1.3685856886337389E-2</v>
      </c>
      <c r="S68" s="1"/>
      <c r="T68" s="1">
        <f>SUM(OSRRefT22_7x_0)</f>
        <v>4809.6666666666597</v>
      </c>
      <c r="U68" s="1"/>
      <c r="V68" s="5">
        <f t="shared" si="44"/>
        <v>5.8439315090741033E-3</v>
      </c>
      <c r="W68" s="1"/>
      <c r="X68" s="1">
        <f t="shared" si="45"/>
        <v>2324.1133333333401</v>
      </c>
      <c r="Y68" s="1"/>
      <c r="Z68" s="5">
        <f t="shared" si="46"/>
        <v>0.48321713216439327</v>
      </c>
    </row>
    <row r="69" spans="1:26" s="24" customFormat="1" hidden="1" outlineLevel="2" x14ac:dyDescent="0.25">
      <c r="A69" s="25"/>
      <c r="B69" s="11" t="str">
        <f>CONCATENATE("          ", "6351", " - ", "EQUIPMENT RENTAL")</f>
        <v xml:space="preserve">          6351 - EQUIPMENT RENTAL</v>
      </c>
      <c r="C69" s="11"/>
      <c r="D69" s="7">
        <v>1064.6099999999999</v>
      </c>
      <c r="E69" s="2"/>
      <c r="F69" s="6">
        <f t="shared" si="39"/>
        <v>1.7238205112635858E-2</v>
      </c>
      <c r="G69" s="2"/>
      <c r="H69" s="7">
        <v>500.33333333333297</v>
      </c>
      <c r="I69" s="2"/>
      <c r="J69" s="6">
        <f t="shared" si="40"/>
        <v>8.2149796130585821E-3</v>
      </c>
      <c r="K69" s="2"/>
      <c r="L69" s="7">
        <f t="shared" si="41"/>
        <v>564.27666666666687</v>
      </c>
      <c r="M69" s="2"/>
      <c r="N69" s="6">
        <f t="shared" si="42"/>
        <v>1.1278014656895414</v>
      </c>
      <c r="O69" s="11"/>
      <c r="P69" s="7">
        <v>7133.78</v>
      </c>
      <c r="Q69" s="2"/>
      <c r="R69" s="6">
        <f t="shared" si="43"/>
        <v>1.3685856886337389E-2</v>
      </c>
      <c r="S69" s="2"/>
      <c r="T69" s="7">
        <v>4809.6666666666597</v>
      </c>
      <c r="U69" s="2"/>
      <c r="V69" s="6">
        <f t="shared" si="44"/>
        <v>5.8439315090741033E-3</v>
      </c>
      <c r="W69" s="2"/>
      <c r="X69" s="7">
        <f t="shared" si="45"/>
        <v>2324.1133333333401</v>
      </c>
      <c r="Y69" s="2"/>
      <c r="Z69" s="6">
        <f t="shared" si="46"/>
        <v>0.48321713216439327</v>
      </c>
    </row>
    <row r="70" spans="1:26" s="27" customFormat="1" outlineLevel="1" collapsed="1" x14ac:dyDescent="0.25">
      <c r="A70" s="26"/>
      <c r="B70" s="13" t="str">
        <f>CONCATENATE("     ","Freight out/Postage                               ")</f>
        <v xml:space="preserve">     Freight out/Postage                               </v>
      </c>
      <c r="C70" s="13"/>
      <c r="D70" s="1">
        <f>SUM(OSRRefD22_8x_0)</f>
        <v>0</v>
      </c>
      <c r="E70" s="1"/>
      <c r="F70" s="5">
        <f t="shared" si="39"/>
        <v>0</v>
      </c>
      <c r="G70" s="1"/>
      <c r="H70" s="1">
        <f>SUM(OSRRefH22_8x_0)</f>
        <v>0</v>
      </c>
      <c r="I70" s="1"/>
      <c r="J70" s="5">
        <f t="shared" si="40"/>
        <v>0</v>
      </c>
      <c r="K70" s="1"/>
      <c r="L70" s="1">
        <f t="shared" si="41"/>
        <v>0</v>
      </c>
      <c r="M70" s="1"/>
      <c r="N70" s="5">
        <f t="shared" si="42"/>
        <v>0</v>
      </c>
      <c r="O70" s="13"/>
      <c r="P70" s="1">
        <f>SUM(OSRRefP22_8x_0)</f>
        <v>277.65000000000003</v>
      </c>
      <c r="Q70" s="1"/>
      <c r="R70" s="5">
        <f t="shared" si="43"/>
        <v>5.3265984716259495E-4</v>
      </c>
      <c r="S70" s="1"/>
      <c r="T70" s="1">
        <f>SUM(OSRRefT22_8x_0)</f>
        <v>0</v>
      </c>
      <c r="U70" s="1"/>
      <c r="V70" s="5">
        <f t="shared" si="44"/>
        <v>0</v>
      </c>
      <c r="W70" s="1"/>
      <c r="X70" s="1">
        <f t="shared" si="45"/>
        <v>277.65000000000003</v>
      </c>
      <c r="Y70" s="1"/>
      <c r="Z70" s="5">
        <f t="shared" si="46"/>
        <v>0</v>
      </c>
    </row>
    <row r="71" spans="1:26" s="24" customFormat="1" hidden="1" outlineLevel="2" x14ac:dyDescent="0.25">
      <c r="A71" s="25"/>
      <c r="B71" s="11" t="str">
        <f>CONCATENATE("          ", "6305", " - ", "FREIGHT OUT")</f>
        <v xml:space="preserve">          6305 - FREIGHT OUT</v>
      </c>
      <c r="C71" s="11"/>
      <c r="D71" s="7"/>
      <c r="E71" s="2"/>
      <c r="F71" s="6">
        <f t="shared" si="39"/>
        <v>0</v>
      </c>
      <c r="G71" s="2"/>
      <c r="H71" s="7"/>
      <c r="I71" s="2"/>
      <c r="J71" s="6">
        <f t="shared" si="40"/>
        <v>0</v>
      </c>
      <c r="K71" s="2"/>
      <c r="L71" s="7">
        <f t="shared" si="41"/>
        <v>0</v>
      </c>
      <c r="M71" s="2"/>
      <c r="N71" s="6">
        <f t="shared" si="42"/>
        <v>0</v>
      </c>
      <c r="O71" s="11"/>
      <c r="P71" s="7">
        <v>280.10000000000002</v>
      </c>
      <c r="Q71" s="2"/>
      <c r="R71" s="6">
        <f t="shared" si="43"/>
        <v>5.3736006911666787E-4</v>
      </c>
      <c r="S71" s="2"/>
      <c r="T71" s="7"/>
      <c r="U71" s="2"/>
      <c r="V71" s="6">
        <f t="shared" si="44"/>
        <v>0</v>
      </c>
      <c r="W71" s="2"/>
      <c r="X71" s="7">
        <f t="shared" si="45"/>
        <v>280.10000000000002</v>
      </c>
      <c r="Y71" s="2"/>
      <c r="Z71" s="6">
        <f t="shared" si="46"/>
        <v>0</v>
      </c>
    </row>
    <row r="72" spans="1:26" s="24" customFormat="1" hidden="1" outlineLevel="2" x14ac:dyDescent="0.25">
      <c r="A72" s="25"/>
      <c r="B72" s="11" t="str">
        <f>CONCATENATE("          ", "6307", " - ", "POSTAGE")</f>
        <v xml:space="preserve">          6307 - POSTAGE</v>
      </c>
      <c r="C72" s="11"/>
      <c r="D72" s="7"/>
      <c r="E72" s="2"/>
      <c r="F72" s="6">
        <f t="shared" si="39"/>
        <v>0</v>
      </c>
      <c r="G72" s="2"/>
      <c r="H72" s="7"/>
      <c r="I72" s="2"/>
      <c r="J72" s="6">
        <f t="shared" si="40"/>
        <v>0</v>
      </c>
      <c r="K72" s="2"/>
      <c r="L72" s="7">
        <f t="shared" si="41"/>
        <v>0</v>
      </c>
      <c r="M72" s="2"/>
      <c r="N72" s="6">
        <f t="shared" si="42"/>
        <v>0</v>
      </c>
      <c r="O72" s="11"/>
      <c r="P72" s="7">
        <v>-2.4500000000000002</v>
      </c>
      <c r="Q72" s="2"/>
      <c r="R72" s="6">
        <f t="shared" si="43"/>
        <v>-4.700221954072961E-6</v>
      </c>
      <c r="S72" s="2"/>
      <c r="T72" s="7"/>
      <c r="U72" s="2"/>
      <c r="V72" s="6">
        <f t="shared" si="44"/>
        <v>0</v>
      </c>
      <c r="W72" s="2"/>
      <c r="X72" s="7">
        <f t="shared" si="45"/>
        <v>-2.4500000000000002</v>
      </c>
      <c r="Y72" s="2"/>
      <c r="Z72" s="6">
        <f t="shared" si="46"/>
        <v>0</v>
      </c>
    </row>
    <row r="73" spans="1:26" s="27" customFormat="1" outlineLevel="1" collapsed="1" x14ac:dyDescent="0.25">
      <c r="A73" s="26"/>
      <c r="B73" s="13" t="str">
        <f>CONCATENATE("     ","General                                           ")</f>
        <v xml:space="preserve">     General                                           </v>
      </c>
      <c r="C73" s="13"/>
      <c r="D73" s="1">
        <f>SUM(OSRRefD22_9x_0)</f>
        <v>-646.37</v>
      </c>
      <c r="E73" s="1"/>
      <c r="F73" s="5">
        <f t="shared" ref="F73:F85" si="47">IF(D$12=0,0,D73/D$12)</f>
        <v>-1.0466047321229783E-2</v>
      </c>
      <c r="G73" s="1"/>
      <c r="H73" s="1">
        <f>SUM(OSRRefH22_9x_0)</f>
        <v>0</v>
      </c>
      <c r="I73" s="1"/>
      <c r="J73" s="5">
        <f t="shared" ref="J73:J85" si="48">IF(H$12=0,0,H73/H$12)</f>
        <v>0</v>
      </c>
      <c r="K73" s="1"/>
      <c r="L73" s="1">
        <f t="shared" ref="L73:L85" si="49">+D73-H73</f>
        <v>-646.37</v>
      </c>
      <c r="M73" s="1"/>
      <c r="N73" s="5">
        <f t="shared" ref="N73:N85" si="50">IF(H73=0,0,L73/H73)</f>
        <v>0</v>
      </c>
      <c r="O73" s="13"/>
      <c r="P73" s="1">
        <f>SUM(OSRRefP22_9x_0)</f>
        <v>10538.97</v>
      </c>
      <c r="Q73" s="1"/>
      <c r="R73" s="5">
        <f t="shared" ref="R73:R85" si="51">IF(P$12=0,0,P73/P$12)</f>
        <v>2.0218570680537267E-2</v>
      </c>
      <c r="S73" s="1"/>
      <c r="T73" s="1">
        <f>SUM(OSRRefT22_9x_0)</f>
        <v>9760</v>
      </c>
      <c r="U73" s="1"/>
      <c r="V73" s="5">
        <f t="shared" ref="V73:V85" si="52">IF(T$12=0,0,T73/T$12)</f>
        <v>1.1858778472914963E-2</v>
      </c>
      <c r="W73" s="1"/>
      <c r="X73" s="1">
        <f t="shared" ref="X73:X85" si="53">+P73-T73</f>
        <v>778.96999999999935</v>
      </c>
      <c r="Y73" s="1"/>
      <c r="Z73" s="5">
        <f t="shared" ref="Z73:Z85" si="54">IF(T73=0,0,X73/T73)</f>
        <v>7.9812499999999939E-2</v>
      </c>
    </row>
    <row r="74" spans="1:26" s="24" customFormat="1" hidden="1" outlineLevel="2" x14ac:dyDescent="0.25">
      <c r="A74" s="25"/>
      <c r="B74" s="11" t="str">
        <f>CONCATENATE("          ", "6279", " - ", "GENERAL EXPENSE")</f>
        <v xml:space="preserve">          6279 - GENERAL EXPENSE</v>
      </c>
      <c r="C74" s="11"/>
      <c r="D74" s="7">
        <v>-646.37</v>
      </c>
      <c r="E74" s="2"/>
      <c r="F74" s="6">
        <f t="shared" si="47"/>
        <v>-1.0466047321229783E-2</v>
      </c>
      <c r="G74" s="2"/>
      <c r="H74" s="7">
        <v>0</v>
      </c>
      <c r="I74" s="2"/>
      <c r="J74" s="6">
        <f t="shared" si="48"/>
        <v>0</v>
      </c>
      <c r="K74" s="2"/>
      <c r="L74" s="7">
        <f t="shared" si="49"/>
        <v>-646.37</v>
      </c>
      <c r="M74" s="2"/>
      <c r="N74" s="6">
        <f t="shared" si="50"/>
        <v>0</v>
      </c>
      <c r="O74" s="11"/>
      <c r="P74" s="7">
        <v>10538.97</v>
      </c>
      <c r="Q74" s="2"/>
      <c r="R74" s="6">
        <f t="shared" si="51"/>
        <v>2.0218570680537267E-2</v>
      </c>
      <c r="S74" s="2"/>
      <c r="T74" s="7">
        <v>9760</v>
      </c>
      <c r="U74" s="2"/>
      <c r="V74" s="6">
        <f t="shared" si="52"/>
        <v>1.1858778472914963E-2</v>
      </c>
      <c r="W74" s="2"/>
      <c r="X74" s="7">
        <f t="shared" si="53"/>
        <v>778.96999999999935</v>
      </c>
      <c r="Y74" s="2"/>
      <c r="Z74" s="6">
        <f t="shared" si="54"/>
        <v>7.9812499999999939E-2</v>
      </c>
    </row>
    <row r="75" spans="1:26" s="27" customFormat="1" outlineLevel="1" collapsed="1" x14ac:dyDescent="0.25">
      <c r="A75" s="26"/>
      <c r="B75" s="13" t="str">
        <f>CONCATENATE("     ","Insurance                                         ")</f>
        <v xml:space="preserve">     Insurance                                         </v>
      </c>
      <c r="C75" s="13"/>
      <c r="D75" s="1">
        <f>SUM(OSRRefD22_10x_0)</f>
        <v>4483.67</v>
      </c>
      <c r="E75" s="1"/>
      <c r="F75" s="5">
        <f t="shared" si="47"/>
        <v>7.2599753071427117E-2</v>
      </c>
      <c r="G75" s="1"/>
      <c r="H75" s="1">
        <f>SUM(OSRRefH22_10x_0)</f>
        <v>4835</v>
      </c>
      <c r="I75" s="1"/>
      <c r="J75" s="5">
        <f t="shared" si="48"/>
        <v>7.9385928905672767E-2</v>
      </c>
      <c r="K75" s="1"/>
      <c r="L75" s="1">
        <f t="shared" si="49"/>
        <v>-351.32999999999993</v>
      </c>
      <c r="M75" s="1"/>
      <c r="N75" s="5">
        <f t="shared" si="50"/>
        <v>-7.2663908996897605E-2</v>
      </c>
      <c r="O75" s="13"/>
      <c r="P75" s="1">
        <f>SUM(OSRRefP22_10x_0)</f>
        <v>55432.37</v>
      </c>
      <c r="Q75" s="1"/>
      <c r="R75" s="5">
        <f t="shared" si="51"/>
        <v>0.10634467038379403</v>
      </c>
      <c r="S75" s="1"/>
      <c r="T75" s="1">
        <f>SUM(OSRRefT22_10x_0)</f>
        <v>53185</v>
      </c>
      <c r="U75" s="1"/>
      <c r="V75" s="5">
        <f t="shared" si="52"/>
        <v>6.462183740594081E-2</v>
      </c>
      <c r="W75" s="1"/>
      <c r="X75" s="1">
        <f t="shared" si="53"/>
        <v>2247.3700000000026</v>
      </c>
      <c r="Y75" s="1"/>
      <c r="Z75" s="5">
        <f t="shared" si="54"/>
        <v>4.2255711196766056E-2</v>
      </c>
    </row>
    <row r="76" spans="1:26" s="24" customFormat="1" hidden="1" outlineLevel="2" x14ac:dyDescent="0.25">
      <c r="A76" s="25"/>
      <c r="B76" s="11" t="str">
        <f>CONCATENATE("          ", "6314", " - ", "LIABILITY INSURANCE")</f>
        <v xml:space="preserve">          6314 - LIABILITY INSURANCE</v>
      </c>
      <c r="C76" s="11"/>
      <c r="D76" s="7">
        <v>4483.67</v>
      </c>
      <c r="E76" s="2"/>
      <c r="F76" s="6">
        <f t="shared" si="47"/>
        <v>7.2599753071427117E-2</v>
      </c>
      <c r="G76" s="2"/>
      <c r="H76" s="7">
        <v>4835</v>
      </c>
      <c r="I76" s="2"/>
      <c r="J76" s="6">
        <f t="shared" si="48"/>
        <v>7.9385928905672767E-2</v>
      </c>
      <c r="K76" s="2"/>
      <c r="L76" s="7">
        <f t="shared" si="49"/>
        <v>-351.32999999999993</v>
      </c>
      <c r="M76" s="2"/>
      <c r="N76" s="6">
        <f t="shared" si="50"/>
        <v>-7.2663908996897605E-2</v>
      </c>
      <c r="O76" s="11"/>
      <c r="P76" s="7">
        <v>55432.37</v>
      </c>
      <c r="Q76" s="2"/>
      <c r="R76" s="6">
        <f t="shared" si="51"/>
        <v>0.10634467038379403</v>
      </c>
      <c r="S76" s="2"/>
      <c r="T76" s="7">
        <v>53185</v>
      </c>
      <c r="U76" s="2"/>
      <c r="V76" s="6">
        <f t="shared" si="52"/>
        <v>6.462183740594081E-2</v>
      </c>
      <c r="W76" s="2"/>
      <c r="X76" s="7">
        <f t="shared" si="53"/>
        <v>2247.3700000000026</v>
      </c>
      <c r="Y76" s="2"/>
      <c r="Z76" s="6">
        <f t="shared" si="54"/>
        <v>4.2255711196766056E-2</v>
      </c>
    </row>
    <row r="77" spans="1:26" s="27" customFormat="1" outlineLevel="1" collapsed="1" x14ac:dyDescent="0.25">
      <c r="A77" s="26"/>
      <c r="B77" s="13" t="str">
        <f>CONCATENATE("     ","Interest                                          ")</f>
        <v xml:space="preserve">     Interest                                          </v>
      </c>
      <c r="C77" s="13"/>
      <c r="D77" s="1">
        <f>SUM(OSRRefD22_11x_0)</f>
        <v>11554</v>
      </c>
      <c r="E77" s="1"/>
      <c r="F77" s="5">
        <f t="shared" si="47"/>
        <v>0.1870828020321007</v>
      </c>
      <c r="G77" s="1"/>
      <c r="H77" s="1">
        <f>SUM(OSRRefH22_11x_0)</f>
        <v>11158</v>
      </c>
      <c r="I77" s="1"/>
      <c r="J77" s="5">
        <f t="shared" si="48"/>
        <v>0.18320334947869632</v>
      </c>
      <c r="K77" s="1"/>
      <c r="L77" s="1">
        <f t="shared" si="49"/>
        <v>396</v>
      </c>
      <c r="M77" s="1"/>
      <c r="N77" s="5">
        <f t="shared" si="50"/>
        <v>3.5490231224233733E-2</v>
      </c>
      <c r="O77" s="13"/>
      <c r="P77" s="1">
        <f>SUM(OSRRefP22_11x_0)</f>
        <v>123971</v>
      </c>
      <c r="Q77" s="1"/>
      <c r="R77" s="5">
        <f t="shared" si="51"/>
        <v>0.23783314933403224</v>
      </c>
      <c r="S77" s="1"/>
      <c r="T77" s="1">
        <f>SUM(OSRRefT22_11x_0)</f>
        <v>126698</v>
      </c>
      <c r="U77" s="1"/>
      <c r="V77" s="5">
        <f t="shared" si="52"/>
        <v>0.15394298309030532</v>
      </c>
      <c r="W77" s="1"/>
      <c r="X77" s="1">
        <f t="shared" si="53"/>
        <v>-2727</v>
      </c>
      <c r="Y77" s="1"/>
      <c r="Z77" s="5">
        <f t="shared" si="54"/>
        <v>-2.1523623103758546E-2</v>
      </c>
    </row>
    <row r="78" spans="1:26" s="24" customFormat="1" hidden="1" outlineLevel="2" x14ac:dyDescent="0.25">
      <c r="A78" s="25"/>
      <c r="B78" s="11" t="str">
        <f>CONCATENATE("          ", "6401", " - ", "INTEREST EXPENSE")</f>
        <v xml:space="preserve">          6401 - INTEREST EXPENSE</v>
      </c>
      <c r="C78" s="11"/>
      <c r="D78" s="7">
        <v>11554</v>
      </c>
      <c r="E78" s="2"/>
      <c r="F78" s="6">
        <f t="shared" si="47"/>
        <v>0.1870828020321007</v>
      </c>
      <c r="G78" s="2"/>
      <c r="H78" s="7">
        <v>11158</v>
      </c>
      <c r="I78" s="2"/>
      <c r="J78" s="6">
        <f t="shared" si="48"/>
        <v>0.18320334947869632</v>
      </c>
      <c r="K78" s="2"/>
      <c r="L78" s="7">
        <f t="shared" si="49"/>
        <v>396</v>
      </c>
      <c r="M78" s="2"/>
      <c r="N78" s="6">
        <f t="shared" si="50"/>
        <v>3.5490231224233733E-2</v>
      </c>
      <c r="O78" s="11"/>
      <c r="P78" s="7">
        <v>123971</v>
      </c>
      <c r="Q78" s="2"/>
      <c r="R78" s="6">
        <f t="shared" si="51"/>
        <v>0.23783314933403224</v>
      </c>
      <c r="S78" s="2"/>
      <c r="T78" s="7">
        <v>126698</v>
      </c>
      <c r="U78" s="2"/>
      <c r="V78" s="6">
        <f t="shared" si="52"/>
        <v>0.15394298309030532</v>
      </c>
      <c r="W78" s="2"/>
      <c r="X78" s="7">
        <f t="shared" si="53"/>
        <v>-2727</v>
      </c>
      <c r="Y78" s="2"/>
      <c r="Z78" s="6">
        <f t="shared" si="54"/>
        <v>-2.1523623103758546E-2</v>
      </c>
    </row>
    <row r="79" spans="1:26" s="27" customFormat="1" outlineLevel="1" collapsed="1" x14ac:dyDescent="0.25">
      <c r="A79" s="26"/>
      <c r="B79" s="13" t="str">
        <f>CONCATENATE("     ","Rent                                              ")</f>
        <v xml:space="preserve">     Rent                                              </v>
      </c>
      <c r="C79" s="13"/>
      <c r="D79" s="1">
        <f>SUM(OSRRefD22_12x_0)</f>
        <v>1850</v>
      </c>
      <c r="E79" s="1"/>
      <c r="F79" s="5">
        <f t="shared" si="47"/>
        <v>2.9955269496225227E-2</v>
      </c>
      <c r="G79" s="1"/>
      <c r="H79" s="1">
        <f>SUM(OSRRefH22_12x_0)</f>
        <v>1943</v>
      </c>
      <c r="I79" s="1"/>
      <c r="J79" s="5">
        <f t="shared" si="48"/>
        <v>3.1902142681224856E-2</v>
      </c>
      <c r="K79" s="1"/>
      <c r="L79" s="1">
        <f t="shared" si="49"/>
        <v>-93</v>
      </c>
      <c r="M79" s="1"/>
      <c r="N79" s="5">
        <f t="shared" si="50"/>
        <v>-4.7864127637673698E-2</v>
      </c>
      <c r="O79" s="13"/>
      <c r="P79" s="1">
        <f>SUM(OSRRefP22_12x_0)</f>
        <v>14800</v>
      </c>
      <c r="Q79" s="1"/>
      <c r="R79" s="5">
        <f t="shared" si="51"/>
        <v>2.8393177518481558E-2</v>
      </c>
      <c r="S79" s="1"/>
      <c r="T79" s="1">
        <f>SUM(OSRRefT22_12x_0)</f>
        <v>21373</v>
      </c>
      <c r="U79" s="1"/>
      <c r="V79" s="5">
        <f t="shared" si="52"/>
        <v>2.5969023801394622E-2</v>
      </c>
      <c r="W79" s="1"/>
      <c r="X79" s="1">
        <f t="shared" si="53"/>
        <v>-6573</v>
      </c>
      <c r="Y79" s="1"/>
      <c r="Z79" s="5">
        <f t="shared" si="54"/>
        <v>-0.3075375473728536</v>
      </c>
    </row>
    <row r="80" spans="1:26" s="24" customFormat="1" hidden="1" outlineLevel="2" x14ac:dyDescent="0.25">
      <c r="A80" s="25"/>
      <c r="B80" s="11" t="str">
        <f>CONCATENATE("          ", "6273", " - ", "RENT")</f>
        <v xml:space="preserve">          6273 - RENT</v>
      </c>
      <c r="C80" s="11"/>
      <c r="D80" s="7">
        <v>1850</v>
      </c>
      <c r="E80" s="2"/>
      <c r="F80" s="6">
        <f t="shared" si="47"/>
        <v>2.9955269496225227E-2</v>
      </c>
      <c r="G80" s="2"/>
      <c r="H80" s="7">
        <v>1943</v>
      </c>
      <c r="I80" s="2"/>
      <c r="J80" s="6">
        <f t="shared" si="48"/>
        <v>3.1902142681224856E-2</v>
      </c>
      <c r="K80" s="2"/>
      <c r="L80" s="7">
        <f t="shared" si="49"/>
        <v>-93</v>
      </c>
      <c r="M80" s="2"/>
      <c r="N80" s="6">
        <f t="shared" si="50"/>
        <v>-4.7864127637673698E-2</v>
      </c>
      <c r="O80" s="11"/>
      <c r="P80" s="7">
        <v>14800</v>
      </c>
      <c r="Q80" s="2"/>
      <c r="R80" s="6">
        <f t="shared" si="51"/>
        <v>2.8393177518481558E-2</v>
      </c>
      <c r="S80" s="2"/>
      <c r="T80" s="7">
        <v>21373</v>
      </c>
      <c r="U80" s="2"/>
      <c r="V80" s="6">
        <f t="shared" si="52"/>
        <v>2.5969023801394622E-2</v>
      </c>
      <c r="W80" s="2"/>
      <c r="X80" s="7">
        <f t="shared" si="53"/>
        <v>-6573</v>
      </c>
      <c r="Y80" s="2"/>
      <c r="Z80" s="6">
        <f t="shared" si="54"/>
        <v>-0.3075375473728536</v>
      </c>
    </row>
    <row r="81" spans="1:26" s="27" customFormat="1" outlineLevel="1" collapsed="1" x14ac:dyDescent="0.25">
      <c r="A81" s="26"/>
      <c r="B81" s="13" t="str">
        <f>CONCATENATE("     ","Repair and Maintenance                            ")</f>
        <v xml:space="preserve">     Repair and Maintenance                            </v>
      </c>
      <c r="C81" s="13"/>
      <c r="D81" s="1">
        <f>SUM(OSRRefD22_13x_0)</f>
        <v>8616.18</v>
      </c>
      <c r="E81" s="1"/>
      <c r="F81" s="5">
        <f t="shared" si="47"/>
        <v>0.13951351023134373</v>
      </c>
      <c r="G81" s="1"/>
      <c r="H81" s="1">
        <f>SUM(OSRRefH22_13x_0)</f>
        <v>1305</v>
      </c>
      <c r="I81" s="1"/>
      <c r="J81" s="5">
        <f t="shared" si="48"/>
        <v>2.1426812248583862E-2</v>
      </c>
      <c r="K81" s="1"/>
      <c r="L81" s="1">
        <f t="shared" si="49"/>
        <v>7311.18</v>
      </c>
      <c r="M81" s="1"/>
      <c r="N81" s="5">
        <f t="shared" si="50"/>
        <v>5.602436781609196</v>
      </c>
      <c r="O81" s="13"/>
      <c r="P81" s="1">
        <f>SUM(OSRRefP22_13x_0)</f>
        <v>55349.14</v>
      </c>
      <c r="Q81" s="1"/>
      <c r="R81" s="5">
        <f t="shared" si="51"/>
        <v>0.10618499712941137</v>
      </c>
      <c r="S81" s="1"/>
      <c r="T81" s="1">
        <f>SUM(OSRRefT22_13x_0)</f>
        <v>28160</v>
      </c>
      <c r="U81" s="1"/>
      <c r="V81" s="5">
        <f t="shared" si="52"/>
        <v>3.421549198742678E-2</v>
      </c>
      <c r="W81" s="1"/>
      <c r="X81" s="1">
        <f t="shared" si="53"/>
        <v>27189.14</v>
      </c>
      <c r="Y81" s="1"/>
      <c r="Z81" s="5">
        <f t="shared" si="54"/>
        <v>0.96552343750000003</v>
      </c>
    </row>
    <row r="82" spans="1:26" s="24" customFormat="1" hidden="1" outlineLevel="2" x14ac:dyDescent="0.25">
      <c r="A82" s="25"/>
      <c r="B82" s="11" t="str">
        <f>CONCATENATE("          ", "6371", " - ", "COMPUTER SOFTWARE MAINTENANCE")</f>
        <v xml:space="preserve">          6371 - COMPUTER SOFTWARE MAINTENANCE</v>
      </c>
      <c r="C82" s="11"/>
      <c r="D82" s="7">
        <v>8257.2000000000007</v>
      </c>
      <c r="E82" s="2"/>
      <c r="F82" s="6">
        <f t="shared" si="47"/>
        <v>0.13370089258607079</v>
      </c>
      <c r="G82" s="2"/>
      <c r="H82" s="7"/>
      <c r="I82" s="2"/>
      <c r="J82" s="6">
        <f t="shared" si="48"/>
        <v>0</v>
      </c>
      <c r="K82" s="2"/>
      <c r="L82" s="7">
        <f t="shared" si="49"/>
        <v>8257.2000000000007</v>
      </c>
      <c r="M82" s="2"/>
      <c r="N82" s="6">
        <f t="shared" si="50"/>
        <v>0</v>
      </c>
      <c r="O82" s="11"/>
      <c r="P82" s="7">
        <v>8959.4699999999993</v>
      </c>
      <c r="Q82" s="2"/>
      <c r="R82" s="6">
        <f t="shared" si="51"/>
        <v>1.7188366363615537E-2</v>
      </c>
      <c r="S82" s="2"/>
      <c r="T82" s="7">
        <v>43</v>
      </c>
      <c r="U82" s="2"/>
      <c r="V82" s="6">
        <f t="shared" si="52"/>
        <v>5.2246667452391744E-5</v>
      </c>
      <c r="W82" s="2"/>
      <c r="X82" s="7">
        <f t="shared" si="53"/>
        <v>8916.4699999999993</v>
      </c>
      <c r="Y82" s="2"/>
      <c r="Z82" s="6">
        <f t="shared" si="54"/>
        <v>207.35976744186044</v>
      </c>
    </row>
    <row r="83" spans="1:26" s="24" customFormat="1" hidden="1" outlineLevel="2" x14ac:dyDescent="0.25">
      <c r="A83" s="25"/>
      <c r="B83" s="11" t="str">
        <f>CONCATENATE("          ", "6372", " - ", "COMPUTER HARDWARE MAINTENANCE")</f>
        <v xml:space="preserve">          6372 - COMPUTER HARDWARE MAINTENANCE</v>
      </c>
      <c r="C83" s="11"/>
      <c r="D83" s="7"/>
      <c r="E83" s="2"/>
      <c r="F83" s="6">
        <f t="shared" si="47"/>
        <v>0</v>
      </c>
      <c r="G83" s="2"/>
      <c r="H83" s="7"/>
      <c r="I83" s="2"/>
      <c r="J83" s="6">
        <f t="shared" si="48"/>
        <v>0</v>
      </c>
      <c r="K83" s="2"/>
      <c r="L83" s="7">
        <f t="shared" si="49"/>
        <v>0</v>
      </c>
      <c r="M83" s="2"/>
      <c r="N83" s="6">
        <f t="shared" si="50"/>
        <v>0</v>
      </c>
      <c r="O83" s="11"/>
      <c r="P83" s="7">
        <v>100</v>
      </c>
      <c r="Q83" s="2"/>
      <c r="R83" s="6">
        <f t="shared" si="51"/>
        <v>1.9184579404379432E-4</v>
      </c>
      <c r="S83" s="2"/>
      <c r="T83" s="7">
        <v>437</v>
      </c>
      <c r="U83" s="2"/>
      <c r="V83" s="6">
        <f t="shared" si="52"/>
        <v>5.3097194596965567E-4</v>
      </c>
      <c r="W83" s="2"/>
      <c r="X83" s="7">
        <f t="shared" si="53"/>
        <v>-337</v>
      </c>
      <c r="Y83" s="2"/>
      <c r="Z83" s="6">
        <f t="shared" si="54"/>
        <v>-0.77116704805491987</v>
      </c>
    </row>
    <row r="84" spans="1:26" s="24" customFormat="1" hidden="1" outlineLevel="2" x14ac:dyDescent="0.25">
      <c r="A84" s="25"/>
      <c r="B84" s="11" t="str">
        <f>CONCATENATE("          ", "6373", " - ", "MAINTENANCE CONTRACTS")</f>
        <v xml:space="preserve">          6373 - MAINTENANCE CONTRACTS</v>
      </c>
      <c r="C84" s="11"/>
      <c r="D84" s="7"/>
      <c r="E84" s="2"/>
      <c r="F84" s="6">
        <f t="shared" si="47"/>
        <v>0</v>
      </c>
      <c r="G84" s="2"/>
      <c r="H84" s="7">
        <v>0</v>
      </c>
      <c r="I84" s="2"/>
      <c r="J84" s="6">
        <f t="shared" si="48"/>
        <v>0</v>
      </c>
      <c r="K84" s="2"/>
      <c r="L84" s="7">
        <f t="shared" si="49"/>
        <v>0</v>
      </c>
      <c r="M84" s="2"/>
      <c r="N84" s="6">
        <f t="shared" si="50"/>
        <v>0</v>
      </c>
      <c r="O84" s="11"/>
      <c r="P84" s="7">
        <v>19481.849999999999</v>
      </c>
      <c r="Q84" s="2"/>
      <c r="R84" s="6">
        <f t="shared" si="51"/>
        <v>3.7375109826920938E-2</v>
      </c>
      <c r="S84" s="2"/>
      <c r="T84" s="7">
        <v>4000</v>
      </c>
      <c r="U84" s="2"/>
      <c r="V84" s="6">
        <f t="shared" si="52"/>
        <v>4.8601551118503949E-3</v>
      </c>
      <c r="W84" s="2"/>
      <c r="X84" s="7">
        <f t="shared" si="53"/>
        <v>15481.849999999999</v>
      </c>
      <c r="Y84" s="2"/>
      <c r="Z84" s="6">
        <f t="shared" si="54"/>
        <v>3.8704624999999995</v>
      </c>
    </row>
    <row r="85" spans="1:26" s="24" customFormat="1" hidden="1" outlineLevel="2" x14ac:dyDescent="0.25">
      <c r="A85" s="25"/>
      <c r="B85" s="11" t="str">
        <f>CONCATENATE("          ", "6375", " - ", "OUTSIDE REPAIRS &amp; MAINTENANCE")</f>
        <v xml:space="preserve">          6375 - OUTSIDE REPAIRS &amp; MAINTENANCE</v>
      </c>
      <c r="C85" s="11"/>
      <c r="D85" s="7">
        <v>358.98</v>
      </c>
      <c r="E85" s="2"/>
      <c r="F85" s="6">
        <f t="shared" si="47"/>
        <v>5.8126176452729366E-3</v>
      </c>
      <c r="G85" s="2"/>
      <c r="H85" s="7">
        <v>1305</v>
      </c>
      <c r="I85" s="2"/>
      <c r="J85" s="6">
        <f t="shared" si="48"/>
        <v>2.1426812248583862E-2</v>
      </c>
      <c r="K85" s="2"/>
      <c r="L85" s="7">
        <f t="shared" si="49"/>
        <v>-946.02</v>
      </c>
      <c r="M85" s="2"/>
      <c r="N85" s="6">
        <f t="shared" si="50"/>
        <v>-0.72491954022988503</v>
      </c>
      <c r="O85" s="11"/>
      <c r="P85" s="7">
        <v>26807.82</v>
      </c>
      <c r="Q85" s="2"/>
      <c r="R85" s="6">
        <f t="shared" si="51"/>
        <v>5.14296751448311E-2</v>
      </c>
      <c r="S85" s="2"/>
      <c r="T85" s="7">
        <v>23680</v>
      </c>
      <c r="U85" s="2"/>
      <c r="V85" s="6">
        <f t="shared" si="52"/>
        <v>2.8772118262154336E-2</v>
      </c>
      <c r="W85" s="2"/>
      <c r="X85" s="7">
        <f t="shared" si="53"/>
        <v>3127.8199999999997</v>
      </c>
      <c r="Y85" s="2"/>
      <c r="Z85" s="6">
        <f t="shared" si="54"/>
        <v>0.13208699324324324</v>
      </c>
    </row>
    <row r="86" spans="1:26" s="27" customFormat="1" outlineLevel="1" collapsed="1" x14ac:dyDescent="0.25">
      <c r="A86" s="26"/>
      <c r="B86" s="13" t="str">
        <f>CONCATENATE("     ","Royalty &amp; Commissions                             ")</f>
        <v xml:space="preserve">     Royalty &amp; Commissions                             </v>
      </c>
      <c r="C86" s="13"/>
      <c r="D86" s="1">
        <f>SUM(OSRRefD22_14x_0)</f>
        <v>0</v>
      </c>
      <c r="E86" s="1"/>
      <c r="F86" s="5">
        <f t="shared" ref="F86:F88" si="55">IF(D$12=0,0,D86/D$12)</f>
        <v>0</v>
      </c>
      <c r="G86" s="1"/>
      <c r="H86" s="1">
        <f>SUM(OSRRefH22_14x_0)</f>
        <v>767</v>
      </c>
      <c r="I86" s="1"/>
      <c r="J86" s="5">
        <f t="shared" ref="J86:J88" si="56">IF(H$12=0,0,H86/H$12)</f>
        <v>1.2593383137673426E-2</v>
      </c>
      <c r="K86" s="1"/>
      <c r="L86" s="1">
        <f t="shared" ref="L86:L88" si="57">+D86-H86</f>
        <v>-767</v>
      </c>
      <c r="M86" s="1"/>
      <c r="N86" s="5">
        <f t="shared" ref="N86:N88" si="58">IF(H86=0,0,L86/H86)</f>
        <v>-1</v>
      </c>
      <c r="O86" s="13"/>
      <c r="P86" s="1">
        <f>SUM(OSRRefP22_14x_0)</f>
        <v>185.7</v>
      </c>
      <c r="Q86" s="1"/>
      <c r="R86" s="5">
        <f t="shared" ref="R86:R88" si="59">IF(P$12=0,0,P86/P$12)</f>
        <v>3.5625763953932603E-4</v>
      </c>
      <c r="S86" s="1"/>
      <c r="T86" s="1">
        <f>SUM(OSRRefT22_14x_0)</f>
        <v>10320</v>
      </c>
      <c r="U86" s="1"/>
      <c r="V86" s="5">
        <f t="shared" ref="V86:V88" si="60">IF(T$12=0,0,T86/T$12)</f>
        <v>1.2539200188574018E-2</v>
      </c>
      <c r="W86" s="1"/>
      <c r="X86" s="1">
        <f t="shared" ref="X86:X88" si="61">+P86-T86</f>
        <v>-10134.299999999999</v>
      </c>
      <c r="Y86" s="1"/>
      <c r="Z86" s="5">
        <f t="shared" ref="Z86:Z88" si="62">IF(T86=0,0,X86/T86)</f>
        <v>-0.98200581395348829</v>
      </c>
    </row>
    <row r="87" spans="1:26" s="24" customFormat="1" hidden="1" outlineLevel="2" x14ac:dyDescent="0.25">
      <c r="A87" s="25"/>
      <c r="B87" s="11" t="str">
        <f>CONCATENATE("          ", "6254", " - ", "ROYALTY &amp; COMMISSIONS")</f>
        <v xml:space="preserve">          6254 - ROYALTY &amp; COMMISSIONS</v>
      </c>
      <c r="C87" s="11"/>
      <c r="D87" s="7"/>
      <c r="E87" s="2"/>
      <c r="F87" s="6">
        <f t="shared" si="55"/>
        <v>0</v>
      </c>
      <c r="G87" s="2"/>
      <c r="H87" s="7">
        <v>0</v>
      </c>
      <c r="I87" s="2"/>
      <c r="J87" s="6">
        <f t="shared" si="56"/>
        <v>0</v>
      </c>
      <c r="K87" s="2"/>
      <c r="L87" s="7">
        <f t="shared" si="57"/>
        <v>0</v>
      </c>
      <c r="M87" s="2"/>
      <c r="N87" s="6">
        <f t="shared" si="58"/>
        <v>0</v>
      </c>
      <c r="O87" s="11"/>
      <c r="P87" s="7">
        <v>185.7</v>
      </c>
      <c r="Q87" s="2"/>
      <c r="R87" s="6">
        <f t="shared" si="59"/>
        <v>3.5625763953932603E-4</v>
      </c>
      <c r="S87" s="2"/>
      <c r="T87" s="7">
        <v>0</v>
      </c>
      <c r="U87" s="2"/>
      <c r="V87" s="6">
        <f t="shared" si="60"/>
        <v>0</v>
      </c>
      <c r="W87" s="2"/>
      <c r="X87" s="7">
        <f t="shared" si="61"/>
        <v>185.7</v>
      </c>
      <c r="Y87" s="2"/>
      <c r="Z87" s="6">
        <f t="shared" si="62"/>
        <v>0</v>
      </c>
    </row>
    <row r="88" spans="1:26" s="24" customFormat="1" hidden="1" outlineLevel="2" x14ac:dyDescent="0.25">
      <c r="A88" s="25"/>
      <c r="B88" s="11" t="str">
        <f>CONCATENATE("          ", "6259", " - ", "ROYALTY &amp; COMMISSIONS")</f>
        <v xml:space="preserve">          6259 - ROYALTY &amp; COMMISSIONS</v>
      </c>
      <c r="C88" s="11"/>
      <c r="D88" s="7"/>
      <c r="E88" s="2"/>
      <c r="F88" s="6">
        <f t="shared" si="55"/>
        <v>0</v>
      </c>
      <c r="G88" s="2"/>
      <c r="H88" s="7">
        <v>767</v>
      </c>
      <c r="I88" s="2"/>
      <c r="J88" s="6">
        <f t="shared" si="56"/>
        <v>1.2593383137673426E-2</v>
      </c>
      <c r="K88" s="2"/>
      <c r="L88" s="7">
        <f t="shared" si="57"/>
        <v>-767</v>
      </c>
      <c r="M88" s="2"/>
      <c r="N88" s="6">
        <f t="shared" si="58"/>
        <v>-1</v>
      </c>
      <c r="O88" s="11"/>
      <c r="P88" s="7"/>
      <c r="Q88" s="2"/>
      <c r="R88" s="6">
        <f t="shared" si="59"/>
        <v>0</v>
      </c>
      <c r="S88" s="2"/>
      <c r="T88" s="7">
        <v>10320</v>
      </c>
      <c r="U88" s="2"/>
      <c r="V88" s="6">
        <f t="shared" si="60"/>
        <v>1.2539200188574018E-2</v>
      </c>
      <c r="W88" s="2"/>
      <c r="X88" s="7">
        <f t="shared" si="61"/>
        <v>-10320</v>
      </c>
      <c r="Y88" s="2"/>
      <c r="Z88" s="6">
        <f t="shared" si="62"/>
        <v>-1</v>
      </c>
    </row>
    <row r="89" spans="1:26" s="27" customFormat="1" outlineLevel="1" collapsed="1" x14ac:dyDescent="0.25">
      <c r="A89" s="26"/>
      <c r="B89" s="13" t="str">
        <f>CONCATENATE("     ","Services                                          ")</f>
        <v xml:space="preserve">     Services                                          </v>
      </c>
      <c r="C89" s="13"/>
      <c r="D89" s="1">
        <f>SUM(OSRRefD22_15x_0)</f>
        <v>9774.8700000000008</v>
      </c>
      <c r="E89" s="1"/>
      <c r="F89" s="5">
        <f t="shared" ref="F89:F94" si="63">IF(D$12=0,0,D89/D$12)</f>
        <v>0.15827506223814439</v>
      </c>
      <c r="G89" s="1"/>
      <c r="H89" s="1">
        <f>SUM(OSRRefH22_15x_0)</f>
        <v>7708</v>
      </c>
      <c r="I89" s="1"/>
      <c r="J89" s="5">
        <f t="shared" ref="J89:J94" si="64">IF(H$12=0,0,H89/H$12)</f>
        <v>0.12655775387899187</v>
      </c>
      <c r="K89" s="1"/>
      <c r="L89" s="1">
        <f t="shared" ref="L89:L94" si="65">+D89-H89</f>
        <v>2066.8700000000008</v>
      </c>
      <c r="M89" s="1"/>
      <c r="N89" s="5">
        <f t="shared" ref="N89:N94" si="66">IF(H89=0,0,L89/H89)</f>
        <v>0.26814608199273493</v>
      </c>
      <c r="O89" s="13"/>
      <c r="P89" s="1">
        <f>SUM(OSRRefP22_15x_0)</f>
        <v>67102.31</v>
      </c>
      <c r="Q89" s="1"/>
      <c r="R89" s="5">
        <f t="shared" ref="R89:R94" si="67">IF(P$12=0,0,P89/P$12)</f>
        <v>0.1287329594412284</v>
      </c>
      <c r="S89" s="1"/>
      <c r="T89" s="1">
        <f>SUM(OSRRefT22_15x_0)</f>
        <v>90079</v>
      </c>
      <c r="U89" s="1"/>
      <c r="V89" s="5">
        <f t="shared" ref="V89:V94" si="68">IF(T$12=0,0,T89/T$12)</f>
        <v>0.10944947808009292</v>
      </c>
      <c r="W89" s="1"/>
      <c r="X89" s="1">
        <f t="shared" ref="X89:X94" si="69">+P89-T89</f>
        <v>-22976.690000000002</v>
      </c>
      <c r="Y89" s="1"/>
      <c r="Z89" s="5">
        <f t="shared" ref="Z89:Z94" si="70">IF(T89=0,0,X89/T89)</f>
        <v>-0.25507265844425453</v>
      </c>
    </row>
    <row r="90" spans="1:26" s="24" customFormat="1" hidden="1" outlineLevel="2" x14ac:dyDescent="0.25">
      <c r="A90" s="25"/>
      <c r="B90" s="11" t="str">
        <f>CONCATENATE("          ", "6282", " - ", "JANITORIAL/EXTERMINATOR EXPENS")</f>
        <v xml:space="preserve">          6282 - JANITORIAL/EXTERMINATOR EXPENS</v>
      </c>
      <c r="C90" s="11"/>
      <c r="D90" s="7">
        <v>970.35</v>
      </c>
      <c r="E90" s="2"/>
      <c r="F90" s="6">
        <f t="shared" si="63"/>
        <v>1.5711943651709269E-2</v>
      </c>
      <c r="G90" s="2"/>
      <c r="H90" s="7">
        <v>1376</v>
      </c>
      <c r="I90" s="2"/>
      <c r="J90" s="6">
        <f t="shared" si="64"/>
        <v>2.2592562187012562E-2</v>
      </c>
      <c r="K90" s="2"/>
      <c r="L90" s="7">
        <f t="shared" si="65"/>
        <v>-405.65</v>
      </c>
      <c r="M90" s="2"/>
      <c r="N90" s="6">
        <f t="shared" si="66"/>
        <v>-0.2948037790697674</v>
      </c>
      <c r="O90" s="11"/>
      <c r="P90" s="7">
        <v>13172.59</v>
      </c>
      <c r="Q90" s="2"/>
      <c r="R90" s="6">
        <f t="shared" si="67"/>
        <v>2.5271059881633445E-2</v>
      </c>
      <c r="S90" s="2"/>
      <c r="T90" s="7">
        <v>12967</v>
      </c>
      <c r="U90" s="2"/>
      <c r="V90" s="6">
        <f t="shared" si="68"/>
        <v>1.5755407833841016E-2</v>
      </c>
      <c r="W90" s="2"/>
      <c r="X90" s="7">
        <f t="shared" si="69"/>
        <v>205.59000000000015</v>
      </c>
      <c r="Y90" s="2"/>
      <c r="Z90" s="6">
        <f t="shared" si="70"/>
        <v>1.5854862342870375E-2</v>
      </c>
    </row>
    <row r="91" spans="1:26" s="24" customFormat="1" hidden="1" outlineLevel="2" x14ac:dyDescent="0.25">
      <c r="A91" s="25"/>
      <c r="B91" s="11" t="str">
        <f>CONCATENATE("          ", "6283", " - ", "PLANT SERVICE")</f>
        <v xml:space="preserve">          6283 - PLANT SERVICE</v>
      </c>
      <c r="C91" s="11"/>
      <c r="D91" s="7"/>
      <c r="E91" s="2"/>
      <c r="F91" s="6">
        <f t="shared" si="63"/>
        <v>0</v>
      </c>
      <c r="G91" s="2"/>
      <c r="H91" s="7">
        <v>0</v>
      </c>
      <c r="I91" s="2"/>
      <c r="J91" s="6">
        <f t="shared" si="64"/>
        <v>0</v>
      </c>
      <c r="K91" s="2"/>
      <c r="L91" s="7">
        <f t="shared" si="65"/>
        <v>0</v>
      </c>
      <c r="M91" s="2"/>
      <c r="N91" s="6">
        <f t="shared" si="66"/>
        <v>0</v>
      </c>
      <c r="O91" s="11"/>
      <c r="P91" s="7"/>
      <c r="Q91" s="2"/>
      <c r="R91" s="6">
        <f t="shared" si="67"/>
        <v>0</v>
      </c>
      <c r="S91" s="2"/>
      <c r="T91" s="7">
        <v>310</v>
      </c>
      <c r="U91" s="2"/>
      <c r="V91" s="6">
        <f t="shared" si="68"/>
        <v>3.7666202116840556E-4</v>
      </c>
      <c r="W91" s="2"/>
      <c r="X91" s="7">
        <f t="shared" si="69"/>
        <v>-310</v>
      </c>
      <c r="Y91" s="2"/>
      <c r="Z91" s="6">
        <f t="shared" si="70"/>
        <v>-1</v>
      </c>
    </row>
    <row r="92" spans="1:26" s="24" customFormat="1" hidden="1" outlineLevel="2" x14ac:dyDescent="0.25">
      <c r="A92" s="25"/>
      <c r="B92" s="11" t="str">
        <f>CONCATENATE("          ", "6284", " - ", "TRASH REMOVAL EXPENSE")</f>
        <v xml:space="preserve">          6284 - TRASH REMOVAL EXPENSE</v>
      </c>
      <c r="C92" s="11"/>
      <c r="D92" s="7">
        <v>5419</v>
      </c>
      <c r="E92" s="2"/>
      <c r="F92" s="6">
        <f t="shared" si="63"/>
        <v>8.7744651567591633E-2</v>
      </c>
      <c r="G92" s="2"/>
      <c r="H92" s="7">
        <v>2737</v>
      </c>
      <c r="I92" s="2"/>
      <c r="J92" s="6">
        <f t="shared" si="64"/>
        <v>4.4938839175765535E-2</v>
      </c>
      <c r="K92" s="2"/>
      <c r="L92" s="7">
        <f t="shared" si="65"/>
        <v>2682</v>
      </c>
      <c r="M92" s="2"/>
      <c r="N92" s="6">
        <f t="shared" si="66"/>
        <v>0.97990500548045301</v>
      </c>
      <c r="O92" s="11"/>
      <c r="P92" s="7">
        <v>32595</v>
      </c>
      <c r="Q92" s="2"/>
      <c r="R92" s="6">
        <f t="shared" si="67"/>
        <v>6.2532136568574759E-2</v>
      </c>
      <c r="S92" s="2"/>
      <c r="T92" s="7">
        <v>36028</v>
      </c>
      <c r="U92" s="2"/>
      <c r="V92" s="6">
        <f t="shared" si="68"/>
        <v>4.3775417092436507E-2</v>
      </c>
      <c r="W92" s="2"/>
      <c r="X92" s="7">
        <f t="shared" si="69"/>
        <v>-3433</v>
      </c>
      <c r="Y92" s="2"/>
      <c r="Z92" s="6">
        <f t="shared" si="70"/>
        <v>-9.5286999000777167E-2</v>
      </c>
    </row>
    <row r="93" spans="1:26" s="24" customFormat="1" hidden="1" outlineLevel="2" x14ac:dyDescent="0.25">
      <c r="A93" s="25"/>
      <c r="B93" s="11" t="str">
        <f>CONCATENATE("          ", "6285", " - ", "JANITORIAL SERVICES")</f>
        <v xml:space="preserve">          6285 - JANITORIAL SERVICES</v>
      </c>
      <c r="C93" s="11"/>
      <c r="D93" s="7">
        <v>3385.52</v>
      </c>
      <c r="E93" s="2"/>
      <c r="F93" s="6">
        <f t="shared" si="63"/>
        <v>5.4818467018843478E-2</v>
      </c>
      <c r="G93" s="2"/>
      <c r="H93" s="7">
        <v>3491</v>
      </c>
      <c r="I93" s="2"/>
      <c r="J93" s="6">
        <f t="shared" si="64"/>
        <v>5.7318775141613987E-2</v>
      </c>
      <c r="K93" s="2"/>
      <c r="L93" s="7">
        <f t="shared" si="65"/>
        <v>-105.48000000000002</v>
      </c>
      <c r="M93" s="2"/>
      <c r="N93" s="6">
        <f t="shared" si="66"/>
        <v>-3.0214838155256378E-2</v>
      </c>
      <c r="O93" s="11"/>
      <c r="P93" s="7">
        <v>20430.009999999998</v>
      </c>
      <c r="Q93" s="2"/>
      <c r="R93" s="6">
        <f t="shared" si="67"/>
        <v>3.9194114907726577E-2</v>
      </c>
      <c r="S93" s="2"/>
      <c r="T93" s="7">
        <v>39637</v>
      </c>
      <c r="U93" s="2"/>
      <c r="V93" s="6">
        <f t="shared" si="68"/>
        <v>4.8160492042103521E-2</v>
      </c>
      <c r="W93" s="2"/>
      <c r="X93" s="7">
        <f t="shared" si="69"/>
        <v>-19206.990000000002</v>
      </c>
      <c r="Y93" s="2"/>
      <c r="Z93" s="6">
        <f t="shared" si="70"/>
        <v>-0.48457224310618868</v>
      </c>
    </row>
    <row r="94" spans="1:26" s="24" customFormat="1" hidden="1" outlineLevel="2" x14ac:dyDescent="0.25">
      <c r="A94" s="25"/>
      <c r="B94" s="11" t="str">
        <f>CONCATENATE("          ", "6286", " - ", "LAUNDRY EXPENSE")</f>
        <v xml:space="preserve">          6286 - LAUNDRY EXPENSE</v>
      </c>
      <c r="C94" s="11"/>
      <c r="D94" s="7"/>
      <c r="E94" s="2"/>
      <c r="F94" s="6">
        <f t="shared" si="63"/>
        <v>0</v>
      </c>
      <c r="G94" s="2"/>
      <c r="H94" s="7">
        <v>104</v>
      </c>
      <c r="I94" s="2"/>
      <c r="J94" s="6">
        <f t="shared" si="64"/>
        <v>1.7075773745997866E-3</v>
      </c>
      <c r="K94" s="2"/>
      <c r="L94" s="7">
        <f t="shared" si="65"/>
        <v>-104</v>
      </c>
      <c r="M94" s="2"/>
      <c r="N94" s="6">
        <f t="shared" si="66"/>
        <v>-1</v>
      </c>
      <c r="O94" s="11"/>
      <c r="P94" s="7">
        <v>904.71</v>
      </c>
      <c r="Q94" s="2"/>
      <c r="R94" s="6">
        <f t="shared" si="67"/>
        <v>1.7356480832936116E-3</v>
      </c>
      <c r="S94" s="2"/>
      <c r="T94" s="7">
        <v>1137</v>
      </c>
      <c r="U94" s="2"/>
      <c r="V94" s="6">
        <f t="shared" si="68"/>
        <v>1.3814990905434746E-3</v>
      </c>
      <c r="W94" s="2"/>
      <c r="X94" s="7">
        <f t="shared" si="69"/>
        <v>-232.28999999999996</v>
      </c>
      <c r="Y94" s="2"/>
      <c r="Z94" s="6">
        <f t="shared" si="70"/>
        <v>-0.2043007915567282</v>
      </c>
    </row>
    <row r="95" spans="1:26" s="27" customFormat="1" outlineLevel="1" collapsed="1" x14ac:dyDescent="0.25">
      <c r="A95" s="26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SUM(OSRRefD22_16x_0)</f>
        <v>132.16999999999999</v>
      </c>
      <c r="E95" s="1"/>
      <c r="F95" s="5">
        <f t="shared" ref="F95:F97" si="71">IF(D$12=0,0,D95/D$12)</f>
        <v>2.1401016050357231E-3</v>
      </c>
      <c r="G95" s="1"/>
      <c r="H95" s="1">
        <f>SUM(OSRRefH22_16x_0)</f>
        <v>376</v>
      </c>
      <c r="I95" s="1"/>
      <c r="J95" s="5">
        <f t="shared" ref="J95:J97" si="72">IF(H$12=0,0,H95/H$12)</f>
        <v>6.1735489697069207E-3</v>
      </c>
      <c r="K95" s="1"/>
      <c r="L95" s="1">
        <f t="shared" ref="L95:L97" si="73">+D95-H95</f>
        <v>-243.83</v>
      </c>
      <c r="M95" s="1"/>
      <c r="N95" s="5">
        <f t="shared" ref="N95:N97" si="74">IF(H95=0,0,L95/H95)</f>
        <v>-0.64848404255319148</v>
      </c>
      <c r="O95" s="13"/>
      <c r="P95" s="1">
        <f>SUM(OSRRefP22_16x_0)</f>
        <v>1048.25</v>
      </c>
      <c r="Q95" s="1"/>
      <c r="R95" s="5">
        <f t="shared" ref="R95:R97" si="75">IF(P$12=0,0,P95/P$12)</f>
        <v>2.011023536064074E-3</v>
      </c>
      <c r="S95" s="1"/>
      <c r="T95" s="1">
        <f>SUM(OSRRefT22_16x_0)</f>
        <v>5017</v>
      </c>
      <c r="U95" s="1"/>
      <c r="V95" s="5">
        <f t="shared" ref="V95:V97" si="76">IF(T$12=0,0,T95/T$12)</f>
        <v>6.0958495490383577E-3</v>
      </c>
      <c r="W95" s="1"/>
      <c r="X95" s="1">
        <f t="shared" ref="X95:X97" si="77">+P95-T95</f>
        <v>-3968.75</v>
      </c>
      <c r="Y95" s="1"/>
      <c r="Z95" s="5">
        <f t="shared" ref="Z95:Z97" si="78">IF(T95=0,0,X95/T95)</f>
        <v>-0.79106039465816225</v>
      </c>
    </row>
    <row r="96" spans="1:26" s="24" customFormat="1" hidden="1" outlineLevel="2" x14ac:dyDescent="0.25">
      <c r="A96" s="25"/>
      <c r="B96" s="11" t="str">
        <f>CONCATENATE("          ", "6258", " - ", "MEMBERSHIP DUES")</f>
        <v xml:space="preserve">          6258 - MEMBERSHIP DUES</v>
      </c>
      <c r="C96" s="11"/>
      <c r="D96" s="7"/>
      <c r="E96" s="2"/>
      <c r="F96" s="6">
        <f t="shared" si="71"/>
        <v>0</v>
      </c>
      <c r="G96" s="2"/>
      <c r="H96" s="7"/>
      <c r="I96" s="2"/>
      <c r="J96" s="6">
        <f t="shared" si="72"/>
        <v>0</v>
      </c>
      <c r="K96" s="2"/>
      <c r="L96" s="7">
        <f t="shared" si="73"/>
        <v>0</v>
      </c>
      <c r="M96" s="2"/>
      <c r="N96" s="6">
        <f t="shared" si="74"/>
        <v>0</v>
      </c>
      <c r="O96" s="11"/>
      <c r="P96" s="7"/>
      <c r="Q96" s="2"/>
      <c r="R96" s="6">
        <f t="shared" si="75"/>
        <v>0</v>
      </c>
      <c r="S96" s="2"/>
      <c r="T96" s="7">
        <v>900</v>
      </c>
      <c r="U96" s="2"/>
      <c r="V96" s="6">
        <f t="shared" si="76"/>
        <v>1.0935349001663388E-3</v>
      </c>
      <c r="W96" s="2"/>
      <c r="X96" s="7">
        <f t="shared" si="77"/>
        <v>-900</v>
      </c>
      <c r="Y96" s="2"/>
      <c r="Z96" s="6">
        <f t="shared" si="78"/>
        <v>-1</v>
      </c>
    </row>
    <row r="97" spans="1:26" s="24" customFormat="1" hidden="1" outlineLevel="2" x14ac:dyDescent="0.25">
      <c r="A97" s="25"/>
      <c r="B97" s="11" t="str">
        <f>CONCATENATE("          ", "6275", " - ", "SUBSCRIPTIONS")</f>
        <v xml:space="preserve">          6275 - SUBSCRIPTIONS</v>
      </c>
      <c r="C97" s="11"/>
      <c r="D97" s="7">
        <v>132.16999999999999</v>
      </c>
      <c r="E97" s="2"/>
      <c r="F97" s="6">
        <f t="shared" si="71"/>
        <v>2.1401016050357231E-3</v>
      </c>
      <c r="G97" s="2"/>
      <c r="H97" s="7">
        <v>376</v>
      </c>
      <c r="I97" s="2"/>
      <c r="J97" s="6">
        <f t="shared" si="72"/>
        <v>6.1735489697069207E-3</v>
      </c>
      <c r="K97" s="2"/>
      <c r="L97" s="7">
        <f t="shared" si="73"/>
        <v>-243.83</v>
      </c>
      <c r="M97" s="2"/>
      <c r="N97" s="6">
        <f t="shared" si="74"/>
        <v>-0.64848404255319148</v>
      </c>
      <c r="O97" s="11"/>
      <c r="P97" s="7">
        <v>1048.25</v>
      </c>
      <c r="Q97" s="2"/>
      <c r="R97" s="6">
        <f t="shared" si="75"/>
        <v>2.011023536064074E-3</v>
      </c>
      <c r="S97" s="2"/>
      <c r="T97" s="7">
        <v>4117</v>
      </c>
      <c r="U97" s="2"/>
      <c r="V97" s="6">
        <f t="shared" si="76"/>
        <v>5.0023146488720185E-3</v>
      </c>
      <c r="W97" s="2"/>
      <c r="X97" s="7">
        <f t="shared" si="77"/>
        <v>-3068.75</v>
      </c>
      <c r="Y97" s="2"/>
      <c r="Z97" s="6">
        <f t="shared" si="78"/>
        <v>-0.74538498906971096</v>
      </c>
    </row>
    <row r="98" spans="1:26" s="27" customFormat="1" outlineLevel="1" collapsed="1" x14ac:dyDescent="0.25">
      <c r="A98" s="26"/>
      <c r="B98" s="13" t="str">
        <f>CONCATENATE("     ","Supplies                                          ")</f>
        <v xml:space="preserve">     Supplies                                          </v>
      </c>
      <c r="C98" s="13"/>
      <c r="D98" s="1">
        <f>SUM(OSRRefD22_17x_0)</f>
        <v>-27.79</v>
      </c>
      <c r="E98" s="1"/>
      <c r="F98" s="5">
        <f t="shared" ref="F98:F109" si="79">IF(D$12=0,0,D98/D$12)</f>
        <v>-4.4997672394599949E-4</v>
      </c>
      <c r="G98" s="1"/>
      <c r="H98" s="1">
        <f>SUM(OSRRefH22_17x_0)</f>
        <v>2337</v>
      </c>
      <c r="I98" s="1"/>
      <c r="J98" s="5">
        <f t="shared" ref="J98:J109" si="80">IF(H$12=0,0,H98/H$12)</f>
        <v>3.8371233888843281E-2</v>
      </c>
      <c r="K98" s="1"/>
      <c r="L98" s="1">
        <f t="shared" ref="L98:L109" si="81">+D98-H98</f>
        <v>-2364.79</v>
      </c>
      <c r="M98" s="1"/>
      <c r="N98" s="5">
        <f t="shared" ref="N98:N109" si="82">IF(H98=0,0,L98/H98)</f>
        <v>-1.0118913136499785</v>
      </c>
      <c r="O98" s="13"/>
      <c r="P98" s="1">
        <f>SUM(OSRRefP22_17x_0)</f>
        <v>-19558.300000000003</v>
      </c>
      <c r="Q98" s="1"/>
      <c r="R98" s="5">
        <f t="shared" ref="R98:R109" si="83">IF(P$12=0,0,P98/P$12)</f>
        <v>-3.7521775936467432E-2</v>
      </c>
      <c r="S98" s="1"/>
      <c r="T98" s="1">
        <f>SUM(OSRRefT22_17x_0)</f>
        <v>46933</v>
      </c>
      <c r="U98" s="1"/>
      <c r="V98" s="5">
        <f t="shared" ref="V98:V109" si="84">IF(T$12=0,0,T98/T$12)</f>
        <v>5.7025414966118647E-2</v>
      </c>
      <c r="W98" s="1"/>
      <c r="X98" s="1">
        <f t="shared" ref="X98:X109" si="85">+P98-T98</f>
        <v>-66491.3</v>
      </c>
      <c r="Y98" s="1"/>
      <c r="Z98" s="5">
        <f t="shared" ref="Z98:Z109" si="86">IF(T98=0,0,X98/T98)</f>
        <v>-1.4167281017620865</v>
      </c>
    </row>
    <row r="99" spans="1:26" s="24" customFormat="1" hidden="1" outlineLevel="2" x14ac:dyDescent="0.25">
      <c r="A99" s="25"/>
      <c r="B99" s="11" t="str">
        <f>CONCATENATE("          ", "6234", " - ", "EXPENDABLE SUPPLIES &amp; EQUIPMEN")</f>
        <v xml:space="preserve">          6234 - EXPENDABLE SUPPLIES &amp; EQUIPMEN</v>
      </c>
      <c r="C99" s="11"/>
      <c r="D99" s="7"/>
      <c r="E99" s="2"/>
      <c r="F99" s="6">
        <f t="shared" si="79"/>
        <v>0</v>
      </c>
      <c r="G99" s="2"/>
      <c r="H99" s="7"/>
      <c r="I99" s="2"/>
      <c r="J99" s="6">
        <f t="shared" si="80"/>
        <v>0</v>
      </c>
      <c r="K99" s="2"/>
      <c r="L99" s="7">
        <f t="shared" si="81"/>
        <v>0</v>
      </c>
      <c r="M99" s="2"/>
      <c r="N99" s="6">
        <f t="shared" si="82"/>
        <v>0</v>
      </c>
      <c r="O99" s="11"/>
      <c r="P99" s="7">
        <v>653.83000000000004</v>
      </c>
      <c r="Q99" s="2"/>
      <c r="R99" s="6">
        <f t="shared" si="83"/>
        <v>1.2543453551965404E-3</v>
      </c>
      <c r="S99" s="2"/>
      <c r="T99" s="7">
        <v>1104</v>
      </c>
      <c r="U99" s="2"/>
      <c r="V99" s="6">
        <f t="shared" si="84"/>
        <v>1.3414028108707089E-3</v>
      </c>
      <c r="W99" s="2"/>
      <c r="X99" s="7">
        <f t="shared" si="85"/>
        <v>-450.16999999999996</v>
      </c>
      <c r="Y99" s="2"/>
      <c r="Z99" s="6">
        <f t="shared" si="86"/>
        <v>-0.40776268115942027</v>
      </c>
    </row>
    <row r="100" spans="1:26" s="24" customFormat="1" hidden="1" outlineLevel="2" x14ac:dyDescent="0.25">
      <c r="A100" s="25"/>
      <c r="B100" s="11" t="str">
        <f>CONCATENATE("          ", "6235", " - ", "COVID-19 EXPENSES")</f>
        <v xml:space="preserve">          6235 - COVID-19 EXPENSES</v>
      </c>
      <c r="C100" s="11"/>
      <c r="D100" s="7"/>
      <c r="E100" s="2"/>
      <c r="F100" s="6">
        <f t="shared" si="79"/>
        <v>0</v>
      </c>
      <c r="G100" s="2"/>
      <c r="H100" s="7">
        <v>300</v>
      </c>
      <c r="I100" s="2"/>
      <c r="J100" s="6">
        <f t="shared" si="80"/>
        <v>4.9257039651916922E-3</v>
      </c>
      <c r="K100" s="2"/>
      <c r="L100" s="7">
        <f t="shared" si="81"/>
        <v>-300</v>
      </c>
      <c r="M100" s="2"/>
      <c r="N100" s="6">
        <f t="shared" si="82"/>
        <v>-1</v>
      </c>
      <c r="O100" s="11"/>
      <c r="P100" s="7">
        <v>7154.58</v>
      </c>
      <c r="Q100" s="2"/>
      <c r="R100" s="6">
        <f t="shared" si="83"/>
        <v>1.3725760811498499E-2</v>
      </c>
      <c r="S100" s="2"/>
      <c r="T100" s="7">
        <v>4800</v>
      </c>
      <c r="U100" s="2"/>
      <c r="V100" s="6">
        <f t="shared" si="84"/>
        <v>5.8321861342204738E-3</v>
      </c>
      <c r="W100" s="2"/>
      <c r="X100" s="7">
        <f t="shared" si="85"/>
        <v>2354.58</v>
      </c>
      <c r="Y100" s="2"/>
      <c r="Z100" s="6">
        <f t="shared" si="86"/>
        <v>0.49053749999999996</v>
      </c>
    </row>
    <row r="101" spans="1:26" s="24" customFormat="1" hidden="1" outlineLevel="2" x14ac:dyDescent="0.25">
      <c r="A101" s="25"/>
      <c r="B101" s="11" t="str">
        <f>CONCATENATE("          ", "6237", " - ", "JANITORIAL SUPPLIES")</f>
        <v xml:space="preserve">          6237 - JANITORIAL SUPPLIES</v>
      </c>
      <c r="C101" s="11"/>
      <c r="D101" s="7">
        <v>-30</v>
      </c>
      <c r="E101" s="2"/>
      <c r="F101" s="6">
        <f t="shared" si="79"/>
        <v>-4.8576112696581452E-4</v>
      </c>
      <c r="G101" s="2"/>
      <c r="H101" s="7">
        <v>600</v>
      </c>
      <c r="I101" s="2"/>
      <c r="J101" s="6">
        <f t="shared" si="80"/>
        <v>9.8514079303833844E-3</v>
      </c>
      <c r="K101" s="2"/>
      <c r="L101" s="7">
        <f t="shared" si="81"/>
        <v>-630</v>
      </c>
      <c r="M101" s="2"/>
      <c r="N101" s="6">
        <f t="shared" si="82"/>
        <v>-1.05</v>
      </c>
      <c r="O101" s="11"/>
      <c r="P101" s="7">
        <v>646.48</v>
      </c>
      <c r="Q101" s="2"/>
      <c r="R101" s="6">
        <f t="shared" si="83"/>
        <v>1.2402446893343216E-3</v>
      </c>
      <c r="S101" s="2"/>
      <c r="T101" s="7">
        <v>11173</v>
      </c>
      <c r="U101" s="2"/>
      <c r="V101" s="6">
        <f t="shared" si="84"/>
        <v>1.3575628266176115E-2</v>
      </c>
      <c r="W101" s="2"/>
      <c r="X101" s="7">
        <f t="shared" si="85"/>
        <v>-10526.52</v>
      </c>
      <c r="Y101" s="2"/>
      <c r="Z101" s="6">
        <f t="shared" si="86"/>
        <v>-0.94213908529490742</v>
      </c>
    </row>
    <row r="102" spans="1:26" s="24" customFormat="1" hidden="1" outlineLevel="2" x14ac:dyDescent="0.25">
      <c r="A102" s="25"/>
      <c r="B102" s="11" t="str">
        <f>CONCATENATE("          ", "6239", " - ", "KITCHEN SUPPLIES")</f>
        <v xml:space="preserve">          6239 - KITCHEN SUPPLIES</v>
      </c>
      <c r="C102" s="11"/>
      <c r="D102" s="7"/>
      <c r="E102" s="2"/>
      <c r="F102" s="6">
        <f t="shared" si="79"/>
        <v>0</v>
      </c>
      <c r="G102" s="2"/>
      <c r="H102" s="7">
        <v>50</v>
      </c>
      <c r="I102" s="2"/>
      <c r="J102" s="6">
        <f t="shared" si="80"/>
        <v>8.2095066086528196E-4</v>
      </c>
      <c r="K102" s="2"/>
      <c r="L102" s="7">
        <f t="shared" si="81"/>
        <v>-50</v>
      </c>
      <c r="M102" s="2"/>
      <c r="N102" s="6">
        <f t="shared" si="82"/>
        <v>-1</v>
      </c>
      <c r="O102" s="11"/>
      <c r="P102" s="7">
        <v>19.829999999999998</v>
      </c>
      <c r="Q102" s="2"/>
      <c r="R102" s="6">
        <f t="shared" si="83"/>
        <v>3.804302095888441E-5</v>
      </c>
      <c r="S102" s="2"/>
      <c r="T102" s="7">
        <v>493</v>
      </c>
      <c r="U102" s="2"/>
      <c r="V102" s="6">
        <f t="shared" si="84"/>
        <v>5.9901411753556118E-4</v>
      </c>
      <c r="W102" s="2"/>
      <c r="X102" s="7">
        <f t="shared" si="85"/>
        <v>-473.17</v>
      </c>
      <c r="Y102" s="2"/>
      <c r="Z102" s="6">
        <f t="shared" si="86"/>
        <v>-0.95977687626774855</v>
      </c>
    </row>
    <row r="103" spans="1:26" s="24" customFormat="1" hidden="1" outlineLevel="2" x14ac:dyDescent="0.25">
      <c r="A103" s="25"/>
      <c r="B103" s="11" t="str">
        <f>CONCATENATE("          ", "6241", " - ", "OFFICE EXPENSE")</f>
        <v xml:space="preserve">          6241 - OFFICE EXPENSE</v>
      </c>
      <c r="C103" s="11"/>
      <c r="D103" s="7">
        <v>2.21</v>
      </c>
      <c r="E103" s="2"/>
      <c r="F103" s="6">
        <f t="shared" si="79"/>
        <v>3.5784403019814998E-5</v>
      </c>
      <c r="G103" s="2"/>
      <c r="H103" s="7">
        <v>25</v>
      </c>
      <c r="I103" s="2"/>
      <c r="J103" s="6">
        <f t="shared" si="80"/>
        <v>4.1047533043264098E-4</v>
      </c>
      <c r="K103" s="2"/>
      <c r="L103" s="7">
        <f t="shared" si="81"/>
        <v>-22.79</v>
      </c>
      <c r="M103" s="2"/>
      <c r="N103" s="6">
        <f t="shared" si="82"/>
        <v>-0.91159999999999997</v>
      </c>
      <c r="O103" s="11"/>
      <c r="P103" s="7">
        <v>-28409.63</v>
      </c>
      <c r="Q103" s="2"/>
      <c r="R103" s="6">
        <f t="shared" si="83"/>
        <v>-5.4502680258404004E-2</v>
      </c>
      <c r="S103" s="2"/>
      <c r="T103" s="7">
        <v>5737</v>
      </c>
      <c r="U103" s="2"/>
      <c r="V103" s="6">
        <f t="shared" si="84"/>
        <v>6.9706774691714289E-3</v>
      </c>
      <c r="W103" s="2"/>
      <c r="X103" s="7">
        <f t="shared" si="85"/>
        <v>-34146.630000000005</v>
      </c>
      <c r="Y103" s="2"/>
      <c r="Z103" s="6">
        <f t="shared" si="86"/>
        <v>-5.9520010458427759</v>
      </c>
    </row>
    <row r="104" spans="1:26" s="24" customFormat="1" hidden="1" outlineLevel="2" x14ac:dyDescent="0.25">
      <c r="A104" s="25"/>
      <c r="B104" s="11" t="str">
        <f>CONCATENATE("          ", "6243", " - ", "PAPER SUPPLIES")</f>
        <v xml:space="preserve">          6243 - PAPER SUPPLIES</v>
      </c>
      <c r="C104" s="11"/>
      <c r="D104" s="7"/>
      <c r="E104" s="2"/>
      <c r="F104" s="6">
        <f t="shared" si="79"/>
        <v>0</v>
      </c>
      <c r="G104" s="2"/>
      <c r="H104" s="7">
        <v>685</v>
      </c>
      <c r="I104" s="2"/>
      <c r="J104" s="6">
        <f t="shared" si="80"/>
        <v>1.1247024053854363E-2</v>
      </c>
      <c r="K104" s="2"/>
      <c r="L104" s="7">
        <f t="shared" si="81"/>
        <v>-685</v>
      </c>
      <c r="M104" s="2"/>
      <c r="N104" s="6">
        <f t="shared" si="82"/>
        <v>-1</v>
      </c>
      <c r="O104" s="11"/>
      <c r="P104" s="7">
        <v>255.33</v>
      </c>
      <c r="Q104" s="2"/>
      <c r="R104" s="6">
        <f t="shared" si="83"/>
        <v>4.8983986593202004E-4</v>
      </c>
      <c r="S104" s="2"/>
      <c r="T104" s="7">
        <v>7826</v>
      </c>
      <c r="U104" s="2"/>
      <c r="V104" s="6">
        <f t="shared" si="84"/>
        <v>9.5088934763352968E-3</v>
      </c>
      <c r="W104" s="2"/>
      <c r="X104" s="7">
        <f t="shared" si="85"/>
        <v>-7570.67</v>
      </c>
      <c r="Y104" s="2"/>
      <c r="Z104" s="6">
        <f t="shared" si="86"/>
        <v>-0.96737413749041656</v>
      </c>
    </row>
    <row r="105" spans="1:26" s="24" customFormat="1" hidden="1" outlineLevel="2" x14ac:dyDescent="0.25">
      <c r="A105" s="25"/>
      <c r="B105" s="11" t="str">
        <f>CONCATENATE("          ", "6244", " - ", "SAFETY SUPPLY EXPENSE")</f>
        <v xml:space="preserve">          6244 - SAFETY SUPPLY EXPENSE</v>
      </c>
      <c r="C105" s="11"/>
      <c r="D105" s="7"/>
      <c r="E105" s="2"/>
      <c r="F105" s="6">
        <f t="shared" si="79"/>
        <v>0</v>
      </c>
      <c r="G105" s="2"/>
      <c r="H105" s="7">
        <v>0</v>
      </c>
      <c r="I105" s="2"/>
      <c r="J105" s="6">
        <f t="shared" si="80"/>
        <v>0</v>
      </c>
      <c r="K105" s="2"/>
      <c r="L105" s="7">
        <f t="shared" si="81"/>
        <v>0</v>
      </c>
      <c r="M105" s="2"/>
      <c r="N105" s="6">
        <f t="shared" si="82"/>
        <v>0</v>
      </c>
      <c r="O105" s="11"/>
      <c r="P105" s="7"/>
      <c r="Q105" s="2"/>
      <c r="R105" s="6">
        <f t="shared" si="83"/>
        <v>0</v>
      </c>
      <c r="S105" s="2"/>
      <c r="T105" s="7">
        <v>0</v>
      </c>
      <c r="U105" s="2"/>
      <c r="V105" s="6">
        <f t="shared" si="84"/>
        <v>0</v>
      </c>
      <c r="W105" s="2"/>
      <c r="X105" s="7">
        <f t="shared" si="85"/>
        <v>0</v>
      </c>
      <c r="Y105" s="2"/>
      <c r="Z105" s="6">
        <f t="shared" si="86"/>
        <v>0</v>
      </c>
    </row>
    <row r="106" spans="1:26" s="24" customFormat="1" hidden="1" outlineLevel="2" x14ac:dyDescent="0.25">
      <c r="A106" s="25"/>
      <c r="B106" s="11" t="str">
        <f>CONCATENATE("          ", "6245", " - ", "PRINTING")</f>
        <v xml:space="preserve">          6245 - PRINTING</v>
      </c>
      <c r="C106" s="11"/>
      <c r="D106" s="7"/>
      <c r="E106" s="2"/>
      <c r="F106" s="6">
        <f t="shared" si="79"/>
        <v>0</v>
      </c>
      <c r="G106" s="2"/>
      <c r="H106" s="7">
        <v>0</v>
      </c>
      <c r="I106" s="2"/>
      <c r="J106" s="6">
        <f t="shared" si="80"/>
        <v>0</v>
      </c>
      <c r="K106" s="2"/>
      <c r="L106" s="7">
        <f t="shared" si="81"/>
        <v>0</v>
      </c>
      <c r="M106" s="2"/>
      <c r="N106" s="6">
        <f t="shared" si="82"/>
        <v>0</v>
      </c>
      <c r="O106" s="11"/>
      <c r="P106" s="7"/>
      <c r="Q106" s="2"/>
      <c r="R106" s="6">
        <f t="shared" si="83"/>
        <v>0</v>
      </c>
      <c r="S106" s="2"/>
      <c r="T106" s="7">
        <v>0</v>
      </c>
      <c r="U106" s="2"/>
      <c r="V106" s="6">
        <f t="shared" si="84"/>
        <v>0</v>
      </c>
      <c r="W106" s="2"/>
      <c r="X106" s="7">
        <f t="shared" si="85"/>
        <v>0</v>
      </c>
      <c r="Y106" s="2"/>
      <c r="Z106" s="6">
        <f t="shared" si="86"/>
        <v>0</v>
      </c>
    </row>
    <row r="107" spans="1:26" s="24" customFormat="1" hidden="1" outlineLevel="2" x14ac:dyDescent="0.25">
      <c r="A107" s="25"/>
      <c r="B107" s="11" t="str">
        <f>CONCATENATE("          ", "6246", " - ", "REPLACEMENTS")</f>
        <v xml:space="preserve">          6246 - REPLACEMENTS</v>
      </c>
      <c r="C107" s="11"/>
      <c r="D107" s="7"/>
      <c r="E107" s="2"/>
      <c r="F107" s="6">
        <f t="shared" si="79"/>
        <v>0</v>
      </c>
      <c r="G107" s="2"/>
      <c r="H107" s="7">
        <v>0</v>
      </c>
      <c r="I107" s="2"/>
      <c r="J107" s="6">
        <f t="shared" si="80"/>
        <v>0</v>
      </c>
      <c r="K107" s="2"/>
      <c r="L107" s="7">
        <f t="shared" si="81"/>
        <v>0</v>
      </c>
      <c r="M107" s="2"/>
      <c r="N107" s="6">
        <f t="shared" si="82"/>
        <v>0</v>
      </c>
      <c r="O107" s="11"/>
      <c r="P107" s="7"/>
      <c r="Q107" s="2"/>
      <c r="R107" s="6">
        <f t="shared" si="83"/>
        <v>0</v>
      </c>
      <c r="S107" s="2"/>
      <c r="T107" s="7">
        <v>0</v>
      </c>
      <c r="U107" s="2"/>
      <c r="V107" s="6">
        <f t="shared" si="84"/>
        <v>0</v>
      </c>
      <c r="W107" s="2"/>
      <c r="X107" s="7">
        <f t="shared" si="85"/>
        <v>0</v>
      </c>
      <c r="Y107" s="2"/>
      <c r="Z107" s="6">
        <f t="shared" si="86"/>
        <v>0</v>
      </c>
    </row>
    <row r="108" spans="1:26" s="24" customFormat="1" hidden="1" outlineLevel="2" x14ac:dyDescent="0.25">
      <c r="A108" s="25"/>
      <c r="B108" s="11" t="str">
        <f>CONCATENATE("          ", "6247", " - ", "STORE SUPPLIES")</f>
        <v xml:space="preserve">          6247 - STORE SUPPLIES</v>
      </c>
      <c r="C108" s="11"/>
      <c r="D108" s="7"/>
      <c r="E108" s="2"/>
      <c r="F108" s="6">
        <f t="shared" si="79"/>
        <v>0</v>
      </c>
      <c r="G108" s="2"/>
      <c r="H108" s="7">
        <v>677</v>
      </c>
      <c r="I108" s="2"/>
      <c r="J108" s="6">
        <f t="shared" si="80"/>
        <v>1.1115671948115918E-2</v>
      </c>
      <c r="K108" s="2"/>
      <c r="L108" s="7">
        <f t="shared" si="81"/>
        <v>-677</v>
      </c>
      <c r="M108" s="2"/>
      <c r="N108" s="6">
        <f t="shared" si="82"/>
        <v>-1</v>
      </c>
      <c r="O108" s="11"/>
      <c r="P108" s="7">
        <v>121.28</v>
      </c>
      <c r="Q108" s="2"/>
      <c r="R108" s="6">
        <f t="shared" si="83"/>
        <v>2.3267057901631374E-4</v>
      </c>
      <c r="S108" s="2"/>
      <c r="T108" s="7">
        <v>15585</v>
      </c>
      <c r="U108" s="2"/>
      <c r="V108" s="6">
        <f t="shared" si="84"/>
        <v>1.89363793545471E-2</v>
      </c>
      <c r="W108" s="2"/>
      <c r="X108" s="7">
        <f t="shared" si="85"/>
        <v>-15463.72</v>
      </c>
      <c r="Y108" s="2"/>
      <c r="Z108" s="6">
        <f t="shared" si="86"/>
        <v>-0.99221815848572337</v>
      </c>
    </row>
    <row r="109" spans="1:26" s="24" customFormat="1" hidden="1" outlineLevel="2" x14ac:dyDescent="0.25">
      <c r="A109" s="25"/>
      <c r="B109" s="11" t="str">
        <f>CONCATENATE("          ", "6248", " - ", "UNIFORMS")</f>
        <v xml:space="preserve">          6248 - UNIFORMS</v>
      </c>
      <c r="C109" s="11"/>
      <c r="D109" s="7"/>
      <c r="E109" s="2"/>
      <c r="F109" s="6">
        <f t="shared" si="79"/>
        <v>0</v>
      </c>
      <c r="G109" s="2"/>
      <c r="H109" s="7"/>
      <c r="I109" s="2"/>
      <c r="J109" s="6">
        <f t="shared" si="80"/>
        <v>0</v>
      </c>
      <c r="K109" s="2"/>
      <c r="L109" s="7">
        <f t="shared" si="81"/>
        <v>0</v>
      </c>
      <c r="M109" s="2"/>
      <c r="N109" s="6">
        <f t="shared" si="82"/>
        <v>0</v>
      </c>
      <c r="O109" s="11"/>
      <c r="P109" s="7"/>
      <c r="Q109" s="2"/>
      <c r="R109" s="6">
        <f t="shared" si="83"/>
        <v>0</v>
      </c>
      <c r="S109" s="2"/>
      <c r="T109" s="7">
        <v>215</v>
      </c>
      <c r="U109" s="2"/>
      <c r="V109" s="6">
        <f t="shared" si="84"/>
        <v>2.6123333726195874E-4</v>
      </c>
      <c r="W109" s="2"/>
      <c r="X109" s="7">
        <f t="shared" si="85"/>
        <v>-215</v>
      </c>
      <c r="Y109" s="2"/>
      <c r="Z109" s="6">
        <f t="shared" si="86"/>
        <v>-1</v>
      </c>
    </row>
    <row r="110" spans="1:26" s="27" customFormat="1" outlineLevel="1" collapsed="1" x14ac:dyDescent="0.25">
      <c r="A110" s="26"/>
      <c r="B110" s="13" t="str">
        <f>CONCATENATE("     ","Telephone/Data Lines                              ")</f>
        <v xml:space="preserve">     Telephone/Data Lines                              </v>
      </c>
      <c r="C110" s="13"/>
      <c r="D110" s="1">
        <f>SUM(OSRRefD22_18x_0)</f>
        <v>435.8</v>
      </c>
      <c r="E110" s="1"/>
      <c r="F110" s="5">
        <f t="shared" ref="F110:F112" si="87">IF(D$12=0,0,D110/D$12)</f>
        <v>7.0564899710567324E-3</v>
      </c>
      <c r="G110" s="1"/>
      <c r="H110" s="1">
        <f>SUM(OSRRefH22_18x_0)</f>
        <v>470</v>
      </c>
      <c r="I110" s="1"/>
      <c r="J110" s="5">
        <f t="shared" ref="J110:J112" si="88">IF(H$12=0,0,H110/H$12)</f>
        <v>7.7169362121336507E-3</v>
      </c>
      <c r="K110" s="1"/>
      <c r="L110" s="1">
        <f t="shared" ref="L110:L112" si="89">+D110-H110</f>
        <v>-34.199999999999989</v>
      </c>
      <c r="M110" s="1"/>
      <c r="N110" s="5">
        <f t="shared" ref="N110:N112" si="90">IF(H110=0,0,L110/H110)</f>
        <v>-7.2765957446808485E-2</v>
      </c>
      <c r="O110" s="13"/>
      <c r="P110" s="1">
        <f>SUM(OSRRefP22_18x_0)</f>
        <v>9800.2000000000007</v>
      </c>
      <c r="Q110" s="1"/>
      <c r="R110" s="5">
        <f t="shared" ref="R110:R112" si="91">IF(P$12=0,0,P110/P$12)</f>
        <v>1.880127150787993E-2</v>
      </c>
      <c r="S110" s="1"/>
      <c r="T110" s="1">
        <f>SUM(OSRRefT22_18x_0)</f>
        <v>6857</v>
      </c>
      <c r="U110" s="1"/>
      <c r="V110" s="5">
        <f t="shared" ref="V110:V112" si="92">IF(T$12=0,0,T110/T$12)</f>
        <v>8.3315209004895391E-3</v>
      </c>
      <c r="W110" s="1"/>
      <c r="X110" s="1">
        <f t="shared" ref="X110:X112" si="93">+P110-T110</f>
        <v>2943.2000000000007</v>
      </c>
      <c r="Y110" s="1"/>
      <c r="Z110" s="5">
        <f t="shared" ref="Z110:Z112" si="94">IF(T110=0,0,X110/T110)</f>
        <v>0.42922560886685152</v>
      </c>
    </row>
    <row r="111" spans="1:26" s="24" customFormat="1" hidden="1" outlineLevel="2" x14ac:dyDescent="0.25">
      <c r="A111" s="25"/>
      <c r="B111" s="11" t="str">
        <f>CONCATENATE("          ", "6303", " - ", "DATA PHONE LINES")</f>
        <v xml:space="preserve">          6303 - DATA PHONE LINES</v>
      </c>
      <c r="C111" s="11"/>
      <c r="D111" s="7"/>
      <c r="E111" s="2"/>
      <c r="F111" s="6">
        <f t="shared" si="87"/>
        <v>0</v>
      </c>
      <c r="G111" s="2"/>
      <c r="H111" s="7">
        <v>370</v>
      </c>
      <c r="I111" s="2"/>
      <c r="J111" s="6">
        <f t="shared" si="88"/>
        <v>6.0750348904030872E-3</v>
      </c>
      <c r="K111" s="2"/>
      <c r="L111" s="7">
        <f t="shared" si="89"/>
        <v>-370</v>
      </c>
      <c r="M111" s="2"/>
      <c r="N111" s="6">
        <f t="shared" si="90"/>
        <v>-1</v>
      </c>
      <c r="O111" s="11"/>
      <c r="P111" s="7"/>
      <c r="Q111" s="2"/>
      <c r="R111" s="6">
        <f t="shared" si="91"/>
        <v>0</v>
      </c>
      <c r="S111" s="2"/>
      <c r="T111" s="7">
        <v>4107</v>
      </c>
      <c r="U111" s="2"/>
      <c r="V111" s="6">
        <f t="shared" si="92"/>
        <v>4.9901642610923926E-3</v>
      </c>
      <c r="W111" s="2"/>
      <c r="X111" s="7">
        <f t="shared" si="93"/>
        <v>-4107</v>
      </c>
      <c r="Y111" s="2"/>
      <c r="Z111" s="6">
        <f t="shared" si="94"/>
        <v>-1</v>
      </c>
    </row>
    <row r="112" spans="1:26" s="24" customFormat="1" hidden="1" outlineLevel="2" x14ac:dyDescent="0.25">
      <c r="A112" s="25"/>
      <c r="B112" s="11" t="str">
        <f>CONCATENATE("          ", "6309", " - ", "TELEPHONE")</f>
        <v xml:space="preserve">          6309 - TELEPHONE</v>
      </c>
      <c r="C112" s="11"/>
      <c r="D112" s="7">
        <v>435.8</v>
      </c>
      <c r="E112" s="2"/>
      <c r="F112" s="6">
        <f t="shared" si="87"/>
        <v>7.0564899710567324E-3</v>
      </c>
      <c r="G112" s="2"/>
      <c r="H112" s="7">
        <v>100</v>
      </c>
      <c r="I112" s="2"/>
      <c r="J112" s="6">
        <f t="shared" si="88"/>
        <v>1.6419013217305639E-3</v>
      </c>
      <c r="K112" s="2"/>
      <c r="L112" s="7">
        <f t="shared" si="89"/>
        <v>335.8</v>
      </c>
      <c r="M112" s="2"/>
      <c r="N112" s="6">
        <f t="shared" si="90"/>
        <v>3.3580000000000001</v>
      </c>
      <c r="O112" s="11"/>
      <c r="P112" s="7">
        <v>9800.2000000000007</v>
      </c>
      <c r="Q112" s="2"/>
      <c r="R112" s="6">
        <f t="shared" si="91"/>
        <v>1.880127150787993E-2</v>
      </c>
      <c r="S112" s="2"/>
      <c r="T112" s="7">
        <v>2750</v>
      </c>
      <c r="U112" s="2"/>
      <c r="V112" s="6">
        <f t="shared" si="92"/>
        <v>3.3413566393971465E-3</v>
      </c>
      <c r="W112" s="2"/>
      <c r="X112" s="7">
        <f t="shared" si="93"/>
        <v>7050.2000000000007</v>
      </c>
      <c r="Y112" s="2"/>
      <c r="Z112" s="6">
        <f t="shared" si="94"/>
        <v>2.5637090909090912</v>
      </c>
    </row>
    <row r="113" spans="1:26" s="27" customFormat="1" outlineLevel="1" collapsed="1" x14ac:dyDescent="0.25">
      <c r="A113" s="26"/>
      <c r="B113" s="13" t="str">
        <f>CONCATENATE("     ","Training                                          ")</f>
        <v xml:space="preserve">     Training                                          </v>
      </c>
      <c r="C113" s="13"/>
      <c r="D113" s="1">
        <f>SUM(OSRRefD22_19x_0)</f>
        <v>0</v>
      </c>
      <c r="E113" s="1"/>
      <c r="F113" s="5">
        <f t="shared" ref="F113:F118" si="95">IF(D$12=0,0,D113/D$12)</f>
        <v>0</v>
      </c>
      <c r="G113" s="1"/>
      <c r="H113" s="1">
        <f>SUM(OSRRefH22_19x_0)</f>
        <v>0</v>
      </c>
      <c r="I113" s="1"/>
      <c r="J113" s="5">
        <f t="shared" ref="J113:J118" si="96">IF(H$12=0,0,H113/H$12)</f>
        <v>0</v>
      </c>
      <c r="K113" s="1"/>
      <c r="L113" s="1">
        <f t="shared" ref="L113:L118" si="97">+D113-H113</f>
        <v>0</v>
      </c>
      <c r="M113" s="1"/>
      <c r="N113" s="5">
        <f t="shared" ref="N113:N118" si="98">IF(H113=0,0,L113/H113)</f>
        <v>0</v>
      </c>
      <c r="O113" s="13"/>
      <c r="P113" s="1">
        <f>SUM(OSRRefP22_19x_0)</f>
        <v>400</v>
      </c>
      <c r="Q113" s="1"/>
      <c r="R113" s="5">
        <f t="shared" ref="R113:R118" si="99">IF(P$12=0,0,P113/P$12)</f>
        <v>7.6738317617517727E-4</v>
      </c>
      <c r="S113" s="1"/>
      <c r="T113" s="1">
        <f>SUM(OSRRefT22_19x_0)</f>
        <v>240</v>
      </c>
      <c r="U113" s="1"/>
      <c r="V113" s="5">
        <f t="shared" ref="V113:V118" si="100">IF(T$12=0,0,T113/T$12)</f>
        <v>2.9160930671102368E-4</v>
      </c>
      <c r="W113" s="1"/>
      <c r="X113" s="1">
        <f t="shared" ref="X113:X118" si="101">+P113-T113</f>
        <v>160</v>
      </c>
      <c r="Y113" s="1"/>
      <c r="Z113" s="5">
        <f t="shared" ref="Z113:Z118" si="102">IF(T113=0,0,X113/T113)</f>
        <v>0.66666666666666663</v>
      </c>
    </row>
    <row r="114" spans="1:26" s="24" customFormat="1" hidden="1" outlineLevel="2" x14ac:dyDescent="0.25">
      <c r="A114" s="25"/>
      <c r="B114" s="11" t="str">
        <f>CONCATENATE("          ", "6376", " - ", "TRAINING")</f>
        <v xml:space="preserve">          6376 - TRAINING</v>
      </c>
      <c r="C114" s="11"/>
      <c r="D114" s="7"/>
      <c r="E114" s="2"/>
      <c r="F114" s="6">
        <f t="shared" si="95"/>
        <v>0</v>
      </c>
      <c r="G114" s="2"/>
      <c r="H114" s="7">
        <v>0</v>
      </c>
      <c r="I114" s="2"/>
      <c r="J114" s="6">
        <f t="shared" si="96"/>
        <v>0</v>
      </c>
      <c r="K114" s="2"/>
      <c r="L114" s="7">
        <f t="shared" si="97"/>
        <v>0</v>
      </c>
      <c r="M114" s="2"/>
      <c r="N114" s="6">
        <f t="shared" si="98"/>
        <v>0</v>
      </c>
      <c r="O114" s="11"/>
      <c r="P114" s="7">
        <v>400</v>
      </c>
      <c r="Q114" s="2"/>
      <c r="R114" s="6">
        <f t="shared" si="99"/>
        <v>7.6738317617517727E-4</v>
      </c>
      <c r="S114" s="2"/>
      <c r="T114" s="7">
        <v>240</v>
      </c>
      <c r="U114" s="2"/>
      <c r="V114" s="6">
        <f t="shared" si="100"/>
        <v>2.9160930671102368E-4</v>
      </c>
      <c r="W114" s="2"/>
      <c r="X114" s="7">
        <f t="shared" si="101"/>
        <v>160</v>
      </c>
      <c r="Y114" s="2"/>
      <c r="Z114" s="6">
        <f t="shared" si="102"/>
        <v>0.66666666666666663</v>
      </c>
    </row>
    <row r="115" spans="1:26" s="27" customFormat="1" outlineLevel="1" collapsed="1" x14ac:dyDescent="0.25">
      <c r="A115" s="26"/>
      <c r="B115" s="13" t="str">
        <f>CONCATENATE("     ","Travel                                            ")</f>
        <v xml:space="preserve">     Travel                                            </v>
      </c>
      <c r="C115" s="13"/>
      <c r="D115" s="1">
        <f>SUM(OSRRefD22_20x_0)</f>
        <v>0</v>
      </c>
      <c r="E115" s="1"/>
      <c r="F115" s="5">
        <f t="shared" si="95"/>
        <v>0</v>
      </c>
      <c r="G115" s="1"/>
      <c r="H115" s="1">
        <f>SUM(OSRRefH22_20x_0)</f>
        <v>0</v>
      </c>
      <c r="I115" s="1"/>
      <c r="J115" s="5">
        <f t="shared" si="96"/>
        <v>0</v>
      </c>
      <c r="K115" s="1"/>
      <c r="L115" s="1">
        <f t="shared" si="97"/>
        <v>0</v>
      </c>
      <c r="M115" s="1"/>
      <c r="N115" s="5">
        <f t="shared" si="98"/>
        <v>0</v>
      </c>
      <c r="O115" s="13"/>
      <c r="P115" s="1">
        <f>SUM(OSRRefP22_20x_0)</f>
        <v>332.21</v>
      </c>
      <c r="Q115" s="1"/>
      <c r="R115" s="5">
        <f t="shared" si="99"/>
        <v>6.3733091239288908E-4</v>
      </c>
      <c r="S115" s="1"/>
      <c r="T115" s="1">
        <f>SUM(OSRRefT22_20x_0)</f>
        <v>1500</v>
      </c>
      <c r="U115" s="1"/>
      <c r="V115" s="5">
        <f t="shared" si="100"/>
        <v>1.8225581669438981E-3</v>
      </c>
      <c r="W115" s="1"/>
      <c r="X115" s="1">
        <f t="shared" si="101"/>
        <v>-1167.79</v>
      </c>
      <c r="Y115" s="1"/>
      <c r="Z115" s="5">
        <f t="shared" si="102"/>
        <v>-0.77852666666666659</v>
      </c>
    </row>
    <row r="116" spans="1:26" s="24" customFormat="1" hidden="1" outlineLevel="2" x14ac:dyDescent="0.25">
      <c r="A116" s="25"/>
      <c r="B116" s="11" t="str">
        <f>CONCATENATE("          ", "6292", " - ", "TRAVEL/CONFERENCE")</f>
        <v xml:space="preserve">          6292 - TRAVEL/CONFERENCE</v>
      </c>
      <c r="C116" s="11"/>
      <c r="D116" s="7"/>
      <c r="E116" s="2"/>
      <c r="F116" s="6">
        <f t="shared" si="95"/>
        <v>0</v>
      </c>
      <c r="G116" s="2"/>
      <c r="H116" s="7"/>
      <c r="I116" s="2"/>
      <c r="J116" s="6">
        <f t="shared" si="96"/>
        <v>0</v>
      </c>
      <c r="K116" s="2"/>
      <c r="L116" s="7">
        <f t="shared" si="97"/>
        <v>0</v>
      </c>
      <c r="M116" s="2"/>
      <c r="N116" s="6">
        <f t="shared" si="98"/>
        <v>0</v>
      </c>
      <c r="O116" s="11"/>
      <c r="P116" s="7"/>
      <c r="Q116" s="2"/>
      <c r="R116" s="6">
        <f t="shared" si="99"/>
        <v>0</v>
      </c>
      <c r="S116" s="2"/>
      <c r="T116" s="7">
        <v>1500</v>
      </c>
      <c r="U116" s="2"/>
      <c r="V116" s="6">
        <f t="shared" si="100"/>
        <v>1.8225581669438981E-3</v>
      </c>
      <c r="W116" s="2"/>
      <c r="X116" s="7">
        <f t="shared" si="101"/>
        <v>-1500</v>
      </c>
      <c r="Y116" s="2"/>
      <c r="Z116" s="6">
        <f t="shared" si="102"/>
        <v>-1</v>
      </c>
    </row>
    <row r="117" spans="1:26" s="24" customFormat="1" hidden="1" outlineLevel="2" x14ac:dyDescent="0.25">
      <c r="A117" s="25"/>
      <c r="B117" s="11" t="str">
        <f>CONCATENATE("          ", "6294", " - ", "TRAVEL OPERATIONAL")</f>
        <v xml:space="preserve">          6294 - TRAVEL OPERATIONAL</v>
      </c>
      <c r="C117" s="11"/>
      <c r="D117" s="7"/>
      <c r="E117" s="2"/>
      <c r="F117" s="6">
        <f t="shared" si="95"/>
        <v>0</v>
      </c>
      <c r="G117" s="2"/>
      <c r="H117" s="7"/>
      <c r="I117" s="2"/>
      <c r="J117" s="6">
        <f t="shared" si="96"/>
        <v>0</v>
      </c>
      <c r="K117" s="2"/>
      <c r="L117" s="7">
        <f t="shared" si="97"/>
        <v>0</v>
      </c>
      <c r="M117" s="2"/>
      <c r="N117" s="6">
        <f t="shared" si="98"/>
        <v>0</v>
      </c>
      <c r="O117" s="11"/>
      <c r="P117" s="7"/>
      <c r="Q117" s="2"/>
      <c r="R117" s="6">
        <f t="shared" si="99"/>
        <v>0</v>
      </c>
      <c r="S117" s="2"/>
      <c r="T117" s="7">
        <v>0</v>
      </c>
      <c r="U117" s="2"/>
      <c r="V117" s="6">
        <f t="shared" si="100"/>
        <v>0</v>
      </c>
      <c r="W117" s="2"/>
      <c r="X117" s="7">
        <f t="shared" si="101"/>
        <v>0</v>
      </c>
      <c r="Y117" s="2"/>
      <c r="Z117" s="6">
        <f t="shared" si="102"/>
        <v>0</v>
      </c>
    </row>
    <row r="118" spans="1:26" s="24" customFormat="1" hidden="1" outlineLevel="2" x14ac:dyDescent="0.25">
      <c r="A118" s="25"/>
      <c r="B118" s="11" t="str">
        <f>CONCATENATE("          ", "6298", " - ", "VEHICLE MILEAGE")</f>
        <v xml:space="preserve">          6298 - VEHICLE MILEAGE</v>
      </c>
      <c r="C118" s="11"/>
      <c r="D118" s="7"/>
      <c r="E118" s="2"/>
      <c r="F118" s="6">
        <f t="shared" si="95"/>
        <v>0</v>
      </c>
      <c r="G118" s="2"/>
      <c r="H118" s="7"/>
      <c r="I118" s="2"/>
      <c r="J118" s="6">
        <f t="shared" si="96"/>
        <v>0</v>
      </c>
      <c r="K118" s="2"/>
      <c r="L118" s="7">
        <f t="shared" si="97"/>
        <v>0</v>
      </c>
      <c r="M118" s="2"/>
      <c r="N118" s="6">
        <f t="shared" si="98"/>
        <v>0</v>
      </c>
      <c r="O118" s="11"/>
      <c r="P118" s="7">
        <v>332.21</v>
      </c>
      <c r="Q118" s="2"/>
      <c r="R118" s="6">
        <f t="shared" si="99"/>
        <v>6.3733091239288908E-4</v>
      </c>
      <c r="S118" s="2"/>
      <c r="T118" s="7"/>
      <c r="U118" s="2"/>
      <c r="V118" s="6">
        <f t="shared" si="100"/>
        <v>0</v>
      </c>
      <c r="W118" s="2"/>
      <c r="X118" s="7">
        <f t="shared" si="101"/>
        <v>332.21</v>
      </c>
      <c r="Y118" s="2"/>
      <c r="Z118" s="6">
        <f t="shared" si="102"/>
        <v>0</v>
      </c>
    </row>
    <row r="119" spans="1:26" s="27" customFormat="1" outlineLevel="1" collapsed="1" x14ac:dyDescent="0.25">
      <c r="A119" s="26"/>
      <c r="B119" s="13" t="str">
        <f>CONCATENATE("     ","Utilities                                         ")</f>
        <v xml:space="preserve">     Utilities                                         </v>
      </c>
      <c r="C119" s="13"/>
      <c r="D119" s="1">
        <f>SUM(OSRRefD22_21x_0)</f>
        <v>4784</v>
      </c>
      <c r="E119" s="1"/>
      <c r="F119" s="5">
        <f t="shared" ref="F119:F120" si="103">IF(D$12=0,0,D119/D$12)</f>
        <v>7.746270771348189E-2</v>
      </c>
      <c r="G119" s="1"/>
      <c r="H119" s="1">
        <f>SUM(OSRRefH22_21x_0)</f>
        <v>4150</v>
      </c>
      <c r="I119" s="1"/>
      <c r="J119" s="5">
        <f t="shared" ref="J119:J120" si="104">IF(H$12=0,0,H119/H$12)</f>
        <v>6.8138904851818408E-2</v>
      </c>
      <c r="K119" s="1"/>
      <c r="L119" s="1">
        <f t="shared" ref="L119:L120" si="105">+D119-H119</f>
        <v>634</v>
      </c>
      <c r="M119" s="1"/>
      <c r="N119" s="5">
        <f t="shared" ref="N119:N120" si="106">IF(H119=0,0,L119/H119)</f>
        <v>0.1527710843373494</v>
      </c>
      <c r="O119" s="13"/>
      <c r="P119" s="1">
        <f>SUM(OSRRefP22_21x_0)</f>
        <v>12756</v>
      </c>
      <c r="Q119" s="1"/>
      <c r="R119" s="5">
        <f t="shared" ref="R119:R120" si="107">IF(P$12=0,0,P119/P$12)</f>
        <v>2.4471849488226404E-2</v>
      </c>
      <c r="S119" s="1"/>
      <c r="T119" s="1">
        <f>SUM(OSRRefT22_21x_0)</f>
        <v>45944</v>
      </c>
      <c r="U119" s="1"/>
      <c r="V119" s="5">
        <f t="shared" ref="V119:V120" si="108">IF(T$12=0,0,T119/T$12)</f>
        <v>5.582374161471363E-2</v>
      </c>
      <c r="W119" s="1"/>
      <c r="X119" s="1">
        <f t="shared" ref="X119:X120" si="109">+P119-T119</f>
        <v>-33188</v>
      </c>
      <c r="Y119" s="1"/>
      <c r="Z119" s="5">
        <f t="shared" ref="Z119:Z120" si="110">IF(T119=0,0,X119/T119)</f>
        <v>-0.72235765279470665</v>
      </c>
    </row>
    <row r="120" spans="1:26" s="24" customFormat="1" hidden="1" outlineLevel="2" x14ac:dyDescent="0.25">
      <c r="A120" s="25"/>
      <c r="B120" s="11" t="str">
        <f>CONCATENATE("          ", "6274", " - ", "UTILITIES")</f>
        <v xml:space="preserve">          6274 - UTILITIES</v>
      </c>
      <c r="C120" s="11"/>
      <c r="D120" s="7">
        <v>4784</v>
      </c>
      <c r="E120" s="2"/>
      <c r="F120" s="6">
        <f t="shared" si="103"/>
        <v>7.746270771348189E-2</v>
      </c>
      <c r="G120" s="2"/>
      <c r="H120" s="7">
        <v>4150</v>
      </c>
      <c r="I120" s="2"/>
      <c r="J120" s="6">
        <f t="shared" si="104"/>
        <v>6.8138904851818408E-2</v>
      </c>
      <c r="K120" s="2"/>
      <c r="L120" s="7">
        <f t="shared" si="105"/>
        <v>634</v>
      </c>
      <c r="M120" s="2"/>
      <c r="N120" s="6">
        <f t="shared" si="106"/>
        <v>0.1527710843373494</v>
      </c>
      <c r="O120" s="11"/>
      <c r="P120" s="7">
        <v>12756</v>
      </c>
      <c r="Q120" s="2"/>
      <c r="R120" s="6">
        <f t="shared" si="107"/>
        <v>2.4471849488226404E-2</v>
      </c>
      <c r="S120" s="2"/>
      <c r="T120" s="7">
        <v>45944</v>
      </c>
      <c r="U120" s="2"/>
      <c r="V120" s="6">
        <f t="shared" si="108"/>
        <v>5.582374161471363E-2</v>
      </c>
      <c r="W120" s="2"/>
      <c r="X120" s="7">
        <f t="shared" si="109"/>
        <v>-33188</v>
      </c>
      <c r="Y120" s="2"/>
      <c r="Z120" s="6">
        <f t="shared" si="110"/>
        <v>-0.72235765279470665</v>
      </c>
    </row>
    <row r="121" spans="1:26" s="56" customFormat="1" x14ac:dyDescent="0.25">
      <c r="A121" s="36"/>
      <c r="B121" s="36"/>
      <c r="C121" s="36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6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collapsed="1" x14ac:dyDescent="0.25">
      <c r="A122" s="10"/>
      <c r="B122" s="29" t="s">
        <v>293</v>
      </c>
      <c r="C122" s="10"/>
      <c r="D122" s="4">
        <f>SUM(OSRRefD25x_0)</f>
        <v>41.26</v>
      </c>
      <c r="E122" s="4"/>
      <c r="F122" s="12">
        <f t="shared" ref="F122:F126" si="111">IF(D$12=0,0,D122/D$12)</f>
        <v>6.6808346995365019E-4</v>
      </c>
      <c r="G122" s="4"/>
      <c r="H122" s="4">
        <f>SUM(OSRRefH25x_0)</f>
        <v>15263</v>
      </c>
      <c r="I122" s="4"/>
      <c r="J122" s="12">
        <f t="shared" ref="J122:J126" si="112">IF(H$12=0,0,H122/H$12)</f>
        <v>0.250603398735736</v>
      </c>
      <c r="K122" s="4"/>
      <c r="L122" s="4">
        <f t="shared" ref="L122:L126" si="113">+D122-H122</f>
        <v>-15221.74</v>
      </c>
      <c r="M122" s="4"/>
      <c r="N122" s="12">
        <f t="shared" ref="N122:N126" si="114">IF(H122=0,0,L122/H122)</f>
        <v>-0.99729673065583435</v>
      </c>
      <c r="O122" s="10"/>
      <c r="P122" s="4">
        <f>SUM(OSRRefP25x_0)</f>
        <v>22486.66</v>
      </c>
      <c r="Q122" s="4"/>
      <c r="R122" s="12">
        <f t="shared" ref="R122:R126" si="115">IF(P$12=0,0,P122/P$12)</f>
        <v>4.3139711430928276E-2</v>
      </c>
      <c r="S122" s="4"/>
      <c r="T122" s="4">
        <f>SUM(OSRRefT25x_0)</f>
        <v>78950</v>
      </c>
      <c r="U122" s="4"/>
      <c r="V122" s="12">
        <f t="shared" ref="V122:V126" si="116">IF(T$12=0,0,T122/T$12)</f>
        <v>9.5927311520147163E-2</v>
      </c>
      <c r="W122" s="4"/>
      <c r="X122" s="4">
        <f t="shared" ref="X122:X126" si="117">+P122-T122</f>
        <v>-56463.34</v>
      </c>
      <c r="Y122" s="4"/>
      <c r="Z122" s="12">
        <f t="shared" ref="Z122:Z126" si="118">IF(T122=0,0,X122/T122)</f>
        <v>-0.71517846738442048</v>
      </c>
    </row>
    <row r="123" spans="1:26" s="24" customFormat="1" hidden="1" outlineLevel="1" x14ac:dyDescent="0.25">
      <c r="A123" s="44"/>
      <c r="B123" s="11" t="str">
        <f>CONCATENATE("          ", "9150", " - ", "MISC. INCOME")</f>
        <v xml:space="preserve">          9150 - MISC. INCOME</v>
      </c>
      <c r="C123" s="11"/>
      <c r="D123" s="2">
        <f>--8.44</f>
        <v>8.44</v>
      </c>
      <c r="E123" s="2"/>
      <c r="F123" s="19">
        <f t="shared" si="111"/>
        <v>1.3666079705304914E-4</v>
      </c>
      <c r="G123" s="2"/>
      <c r="H123" s="2">
        <v>3557</v>
      </c>
      <c r="I123" s="2"/>
      <c r="J123" s="19">
        <f t="shared" si="112"/>
        <v>5.8402430013956161E-2</v>
      </c>
      <c r="K123" s="2"/>
      <c r="L123" s="2">
        <f t="shared" si="113"/>
        <v>-3548.56</v>
      </c>
      <c r="M123" s="2"/>
      <c r="N123" s="19">
        <f t="shared" si="114"/>
        <v>-0.99762721394433507</v>
      </c>
      <c r="O123" s="11"/>
      <c r="P123" s="2">
        <f>--5349.92</f>
        <v>5349.92</v>
      </c>
      <c r="Q123" s="2"/>
      <c r="R123" s="19">
        <f t="shared" si="115"/>
        <v>1.0263596504707762E-2</v>
      </c>
      <c r="S123" s="2"/>
      <c r="T123" s="2">
        <v>27061</v>
      </c>
      <c r="U123" s="2"/>
      <c r="V123" s="19">
        <f t="shared" si="116"/>
        <v>3.2880164370445886E-2</v>
      </c>
      <c r="W123" s="2"/>
      <c r="X123" s="2">
        <f t="shared" si="117"/>
        <v>-21711.08</v>
      </c>
      <c r="Y123" s="2"/>
      <c r="Z123" s="19">
        <f t="shared" si="118"/>
        <v>-0.80230146705591077</v>
      </c>
    </row>
    <row r="124" spans="1:26" s="24" customFormat="1" hidden="1" outlineLevel="1" x14ac:dyDescent="0.25">
      <c r="A124" s="44"/>
      <c r="B124" s="11" t="str">
        <f>CONCATENATE("          ", "9151", " - ", "MISC. INCOME")</f>
        <v xml:space="preserve">          9151 - MISC. INCOME</v>
      </c>
      <c r="C124" s="11"/>
      <c r="D124" s="2">
        <f t="shared" ref="D124:D125" si="119">0</f>
        <v>0</v>
      </c>
      <c r="E124" s="2"/>
      <c r="F124" s="19">
        <f t="shared" si="111"/>
        <v>0</v>
      </c>
      <c r="G124" s="2"/>
      <c r="H124" s="2">
        <v>6027</v>
      </c>
      <c r="I124" s="2"/>
      <c r="J124" s="19">
        <f t="shared" si="112"/>
        <v>9.8957392660701096E-2</v>
      </c>
      <c r="K124" s="2"/>
      <c r="L124" s="2">
        <f t="shared" si="113"/>
        <v>-6027</v>
      </c>
      <c r="M124" s="2"/>
      <c r="N124" s="19">
        <f t="shared" si="114"/>
        <v>-1</v>
      </c>
      <c r="O124" s="11"/>
      <c r="P124" s="2">
        <f>0</f>
        <v>0</v>
      </c>
      <c r="Q124" s="2"/>
      <c r="R124" s="19">
        <f t="shared" si="115"/>
        <v>0</v>
      </c>
      <c r="S124" s="2"/>
      <c r="T124" s="2">
        <v>35395</v>
      </c>
      <c r="U124" s="2"/>
      <c r="V124" s="19">
        <f t="shared" si="116"/>
        <v>4.3006297545986179E-2</v>
      </c>
      <c r="W124" s="2"/>
      <c r="X124" s="2">
        <f t="shared" si="117"/>
        <v>-35395</v>
      </c>
      <c r="Y124" s="2"/>
      <c r="Z124" s="19">
        <f t="shared" si="118"/>
        <v>-1</v>
      </c>
    </row>
    <row r="125" spans="1:26" s="24" customFormat="1" hidden="1" outlineLevel="1" x14ac:dyDescent="0.25">
      <c r="A125" s="44"/>
      <c r="B125" s="11" t="str">
        <f>CONCATENATE("          ", "9160", " - ", "MISC. INCOME")</f>
        <v xml:space="preserve">          9160 - MISC. INCOME</v>
      </c>
      <c r="C125" s="11"/>
      <c r="D125" s="2">
        <f t="shared" si="119"/>
        <v>0</v>
      </c>
      <c r="E125" s="2"/>
      <c r="F125" s="19">
        <f t="shared" si="111"/>
        <v>0</v>
      </c>
      <c r="G125" s="2"/>
      <c r="H125" s="2">
        <v>5679</v>
      </c>
      <c r="I125" s="2"/>
      <c r="J125" s="19">
        <f t="shared" si="112"/>
        <v>9.3243576061078734E-2</v>
      </c>
      <c r="K125" s="2"/>
      <c r="L125" s="2">
        <f t="shared" si="113"/>
        <v>-5679</v>
      </c>
      <c r="M125" s="2"/>
      <c r="N125" s="19">
        <f t="shared" si="114"/>
        <v>-1</v>
      </c>
      <c r="O125" s="11"/>
      <c r="P125" s="2">
        <f>--13615.06</f>
        <v>13615.06</v>
      </c>
      <c r="Q125" s="2"/>
      <c r="R125" s="19">
        <f t="shared" si="115"/>
        <v>2.6119919966539021E-2</v>
      </c>
      <c r="S125" s="2"/>
      <c r="T125" s="2">
        <v>16494</v>
      </c>
      <c r="U125" s="2"/>
      <c r="V125" s="19">
        <f t="shared" si="116"/>
        <v>2.0040849603715102E-2</v>
      </c>
      <c r="W125" s="2"/>
      <c r="X125" s="2">
        <f t="shared" si="117"/>
        <v>-2878.9400000000005</v>
      </c>
      <c r="Y125" s="2"/>
      <c r="Z125" s="19">
        <f t="shared" si="118"/>
        <v>-0.17454468291499942</v>
      </c>
    </row>
    <row r="126" spans="1:26" s="24" customFormat="1" hidden="1" outlineLevel="1" x14ac:dyDescent="0.25">
      <c r="A126" s="44"/>
      <c r="B126" s="11" t="str">
        <f>CONCATENATE("          ", "9165", " - ", "OTHER INCOME")</f>
        <v xml:space="preserve">          9165 - OTHER INCOME</v>
      </c>
      <c r="C126" s="11"/>
      <c r="D126" s="2">
        <f>--32.82</f>
        <v>32.82</v>
      </c>
      <c r="E126" s="2"/>
      <c r="F126" s="19">
        <f t="shared" si="111"/>
        <v>5.3142267290060105E-4</v>
      </c>
      <c r="G126" s="2"/>
      <c r="H126" s="2"/>
      <c r="I126" s="2"/>
      <c r="J126" s="19">
        <f t="shared" si="112"/>
        <v>0</v>
      </c>
      <c r="K126" s="2"/>
      <c r="L126" s="2">
        <f t="shared" si="113"/>
        <v>32.82</v>
      </c>
      <c r="M126" s="2"/>
      <c r="N126" s="19">
        <f t="shared" si="114"/>
        <v>0</v>
      </c>
      <c r="O126" s="11"/>
      <c r="P126" s="2">
        <f>--3521.68</f>
        <v>3521.68</v>
      </c>
      <c r="Q126" s="2"/>
      <c r="R126" s="19">
        <f t="shared" si="115"/>
        <v>6.756194959681495E-3</v>
      </c>
      <c r="S126" s="2"/>
      <c r="T126" s="2"/>
      <c r="U126" s="2"/>
      <c r="V126" s="19">
        <f t="shared" si="116"/>
        <v>0</v>
      </c>
      <c r="W126" s="2"/>
      <c r="X126" s="2">
        <f t="shared" si="117"/>
        <v>3521.68</v>
      </c>
      <c r="Y126" s="2"/>
      <c r="Z126" s="19">
        <f t="shared" si="118"/>
        <v>0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10"/>
      <c r="B128" s="28" t="s">
        <v>277</v>
      </c>
      <c r="C128" s="28"/>
      <c r="D128" s="20">
        <f>+D32-D34+D122</f>
        <v>-77026.910000000018</v>
      </c>
      <c r="E128" s="14"/>
      <c r="F128" s="21">
        <f>IF(D$12=0,0,D128/D$12)</f>
        <v>-1.2472226202764791</v>
      </c>
      <c r="G128" s="14"/>
      <c r="H128" s="20">
        <f>+H32-H34+H122</f>
        <v>-104986.85032127943</v>
      </c>
      <c r="I128" s="14"/>
      <c r="J128" s="21">
        <f>IF(H$12=0,0,H128/H$12)</f>
        <v>-1.7237804830683758</v>
      </c>
      <c r="K128" s="15"/>
      <c r="L128" s="20">
        <f>+D128-H128</f>
        <v>27959.940321279413</v>
      </c>
      <c r="M128" s="15"/>
      <c r="N128" s="21">
        <f>IF(H128=0,0,L128/H128)</f>
        <v>-0.26631849832352106</v>
      </c>
      <c r="O128" s="29"/>
      <c r="P128" s="20">
        <f>+P32-P34+P122</f>
        <v>-984175.21000000043</v>
      </c>
      <c r="Q128" s="14"/>
      <c r="R128" s="21">
        <f>IF(P$12=0,0,P128/P$12)</f>
        <v>-1.888098746406681</v>
      </c>
      <c r="S128" s="14"/>
      <c r="T128" s="20">
        <f>+T32-T34+T122</f>
        <v>-1279640.8115292054</v>
      </c>
      <c r="U128" s="14"/>
      <c r="V128" s="21">
        <f>IF(T$12=0,0,T128/T$12)</f>
        <v>-1.5548132078715138</v>
      </c>
      <c r="W128" s="15"/>
      <c r="X128" s="20">
        <f>+P128-T128</f>
        <v>295465.60152920499</v>
      </c>
      <c r="Y128" s="15"/>
      <c r="Z128" s="21">
        <f>IF(T128=0,0,X128/T128)</f>
        <v>-0.23089729466827147</v>
      </c>
    </row>
    <row r="129" spans="1:26" x14ac:dyDescent="0.25">
      <c r="A129" s="9"/>
      <c r="B129" s="10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52"/>
      <c r="B130" s="10" t="s">
        <v>128</v>
      </c>
      <c r="C130" s="10"/>
      <c r="D130" s="4">
        <v>15258.75</v>
      </c>
      <c r="E130" s="4"/>
      <c r="F130" s="12">
        <f>IF(D$12=0,0,D130/D$12)</f>
        <v>0.24707025320298739</v>
      </c>
      <c r="G130" s="4"/>
      <c r="H130" s="4">
        <v>13887</v>
      </c>
      <c r="I130" s="4"/>
      <c r="J130" s="12">
        <f>IF(H$12=0,0,H130/H$12)</f>
        <v>0.22801083654872342</v>
      </c>
      <c r="K130" s="4"/>
      <c r="L130" s="4">
        <f>+D130-H130</f>
        <v>1371.75</v>
      </c>
      <c r="M130" s="4"/>
      <c r="N130" s="12">
        <f>IF(H130=0,0,L130/H130)</f>
        <v>9.8779434003024413E-2</v>
      </c>
      <c r="O130" s="10"/>
      <c r="P130" s="4">
        <v>111386.6</v>
      </c>
      <c r="Q130" s="4"/>
      <c r="R130" s="12">
        <f>IF(P$12=0,0,P130/P$12)</f>
        <v>0.21369050722838501</v>
      </c>
      <c r="S130" s="4"/>
      <c r="T130" s="4">
        <v>151940</v>
      </c>
      <c r="U130" s="4"/>
      <c r="V130" s="12">
        <f>IF(T$12=0,0,T130/T$12)</f>
        <v>0.18461299192363725</v>
      </c>
      <c r="W130" s="4"/>
      <c r="X130" s="4">
        <f>+P130-T130</f>
        <v>-40553.399999999994</v>
      </c>
      <c r="Y130" s="4"/>
      <c r="Z130" s="12">
        <f>IF(T130=0,0,X130/T130)</f>
        <v>-0.26690404106884291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8" t="s">
        <v>126</v>
      </c>
      <c r="C132" s="28"/>
      <c r="D132" s="35">
        <f>+D128-D130</f>
        <v>-92285.660000000018</v>
      </c>
      <c r="E132" s="14"/>
      <c r="F132" s="34">
        <f>IF(D$12=0,0,D132/D$12)</f>
        <v>-1.4942928734794665</v>
      </c>
      <c r="G132" s="14"/>
      <c r="H132" s="35">
        <f>+H128-H130</f>
        <v>-118873.85032127943</v>
      </c>
      <c r="I132" s="14"/>
      <c r="J132" s="34">
        <f>IF(H$12=0,0,H132/H$12)</f>
        <v>-1.9517913196170993</v>
      </c>
      <c r="K132" s="15"/>
      <c r="L132" s="35">
        <f>D132-H132</f>
        <v>26588.190321279413</v>
      </c>
      <c r="M132" s="15"/>
      <c r="N132" s="34">
        <f>IF(H132=0,0,L132/H132)</f>
        <v>-0.22366727627160823</v>
      </c>
      <c r="O132" s="29"/>
      <c r="P132" s="35">
        <f>+P128-P130</f>
        <v>-1095561.8100000005</v>
      </c>
      <c r="Q132" s="14"/>
      <c r="R132" s="34">
        <f>IF(P$12=0,0,P132/P$12)</f>
        <v>-2.101789253635066</v>
      </c>
      <c r="S132" s="14"/>
      <c r="T132" s="35">
        <f>+T128-T130</f>
        <v>-1431580.8115292054</v>
      </c>
      <c r="U132" s="14"/>
      <c r="V132" s="34">
        <f>IF(T$12=0,0,T132/T$12)</f>
        <v>-1.739426199795151</v>
      </c>
      <c r="W132" s="15"/>
      <c r="X132" s="35">
        <f>P132-T132</f>
        <v>336019.00152920489</v>
      </c>
      <c r="Y132" s="15"/>
      <c r="Z132" s="34">
        <f>IF(T132=0,0,X132/T132)</f>
        <v>-0.23471884983584793</v>
      </c>
    </row>
    <row r="133" spans="1:26" ht="15.75" thickTop="1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ht="15.75" thickBot="1" x14ac:dyDescent="0.3">
      <c r="A135" s="10"/>
      <c r="B135" s="28" t="s">
        <v>294</v>
      </c>
      <c r="C135" s="28"/>
      <c r="D135" s="33">
        <f>SUM(D132:D134)</f>
        <v>-92285.660000000018</v>
      </c>
      <c r="E135" s="14"/>
      <c r="F135" s="32">
        <f>IF(D$12=0,0,D135/D$12)</f>
        <v>-1.4942928734794665</v>
      </c>
      <c r="G135" s="14"/>
      <c r="H135" s="33">
        <f>SUM(H132:H134)</f>
        <v>-118873.85032127943</v>
      </c>
      <c r="I135" s="14"/>
      <c r="J135" s="32">
        <f>IF(H$12=0,0,H135/H$12)</f>
        <v>-1.9517913196170993</v>
      </c>
      <c r="K135" s="15"/>
      <c r="L135" s="33">
        <f>+D135-H135</f>
        <v>26588.190321279413</v>
      </c>
      <c r="M135" s="15"/>
      <c r="N135" s="32">
        <f>IF(H135=0,0,L135/H135)</f>
        <v>-0.22366727627160823</v>
      </c>
      <c r="O135" s="29"/>
      <c r="P135" s="33">
        <f>SUM(P132:P134)</f>
        <v>-1095561.8100000005</v>
      </c>
      <c r="Q135" s="14"/>
      <c r="R135" s="32">
        <f>IF(P$12=0,0,P135/P$12)</f>
        <v>-2.101789253635066</v>
      </c>
      <c r="S135" s="14"/>
      <c r="T135" s="33">
        <f>SUM(T132:T134)</f>
        <v>-1431580.8115292054</v>
      </c>
      <c r="U135" s="14"/>
      <c r="V135" s="32">
        <f>IF(T$12=0,0,T135/T$12)</f>
        <v>-1.739426199795151</v>
      </c>
      <c r="W135" s="15"/>
      <c r="X135" s="33">
        <f>+P135-T135</f>
        <v>336019.00152920489</v>
      </c>
      <c r="Y135" s="15"/>
      <c r="Z135" s="32">
        <f>IF(T135=0,0,X135/T135)</f>
        <v>-0.23471884983584793</v>
      </c>
    </row>
    <row r="136" spans="1:26" ht="15.75" thickTop="1" x14ac:dyDescent="0.25">
      <c r="A136" s="9"/>
      <c r="C136" s="9"/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  <row r="137" spans="1:26" x14ac:dyDescent="0.25">
      <c r="A137" s="9"/>
      <c r="B137" s="60">
        <v>44356.891791284725</v>
      </c>
      <c r="D137" s="18"/>
      <c r="E137" s="18"/>
      <c r="G137" s="18"/>
      <c r="H137" s="18"/>
      <c r="I137" s="18"/>
      <c r="J137" s="42"/>
      <c r="K137" s="18"/>
      <c r="L137" s="18"/>
      <c r="M137" s="18"/>
      <c r="P137" s="18"/>
      <c r="Q137" s="18"/>
      <c r="R137" s="42"/>
      <c r="S137" s="18"/>
      <c r="T137" s="18"/>
      <c r="U137" s="18"/>
      <c r="V137" s="42"/>
      <c r="W137" s="18"/>
      <c r="X137" s="18"/>
    </row>
    <row r="138" spans="1:26" x14ac:dyDescent="0.25">
      <c r="A138" s="9"/>
      <c r="B138" s="55" t="s">
        <v>56</v>
      </c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A139" s="9"/>
      <c r="B139" s="63"/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  <row r="140" spans="1:26" x14ac:dyDescent="0.25"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106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61754.750000000007</v>
      </c>
      <c r="E12" s="4"/>
      <c r="F12" s="12"/>
      <c r="G12" s="4"/>
      <c r="H12" s="4">
        <f>SUM(OSRRefH13x_0)</f>
        <v>13095</v>
      </c>
      <c r="I12" s="4"/>
      <c r="J12" s="12"/>
      <c r="K12" s="4"/>
      <c r="L12" s="4">
        <f t="shared" ref="L12:L19" si="0">+D12-H12</f>
        <v>48659.750000000007</v>
      </c>
      <c r="M12" s="4"/>
      <c r="N12" s="12">
        <f t="shared" ref="N12:N19" si="1">IF(H12=0,0,L12/H12)</f>
        <v>3.7159030164184808</v>
      </c>
      <c r="O12" s="10"/>
      <c r="P12" s="4">
        <f>SUM(OSRRefP13x_0)</f>
        <v>518375.06</v>
      </c>
      <c r="Q12" s="4"/>
      <c r="R12" s="12"/>
      <c r="S12" s="4"/>
      <c r="T12" s="4">
        <f>SUM(OSRRefT13x_0)</f>
        <v>222795</v>
      </c>
      <c r="U12" s="4"/>
      <c r="V12" s="12"/>
      <c r="W12" s="4"/>
      <c r="X12" s="4">
        <f t="shared" ref="X12:X19" si="2">+P12-T12</f>
        <v>295580.06</v>
      </c>
      <c r="Y12" s="4"/>
      <c r="Z12" s="12">
        <f t="shared" ref="Z12:Z19" si="3">IF(T12=0,0,X12/T12)</f>
        <v>1.3266907246571962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4070</v>
      </c>
      <c r="I13" s="2"/>
      <c r="J13" s="19"/>
      <c r="K13" s="2"/>
      <c r="L13" s="2">
        <f t="shared" si="0"/>
        <v>-4070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69292</v>
      </c>
      <c r="U13" s="2"/>
      <c r="V13" s="19"/>
      <c r="W13" s="2"/>
      <c r="X13" s="2">
        <f t="shared" si="2"/>
        <v>-69292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--7161.66</f>
        <v>7161.66</v>
      </c>
      <c r="E14" s="2"/>
      <c r="F14" s="19"/>
      <c r="G14" s="2"/>
      <c r="H14" s="2"/>
      <c r="I14" s="2"/>
      <c r="J14" s="19"/>
      <c r="K14" s="2"/>
      <c r="L14" s="2">
        <f t="shared" si="0"/>
        <v>7161.66</v>
      </c>
      <c r="M14" s="2"/>
      <c r="N14" s="19">
        <f t="shared" si="1"/>
        <v>0</v>
      </c>
      <c r="O14" s="11"/>
      <c r="P14" s="2">
        <f>--39282.92</f>
        <v>39282.92</v>
      </c>
      <c r="Q14" s="2"/>
      <c r="R14" s="19"/>
      <c r="S14" s="2"/>
      <c r="T14" s="2"/>
      <c r="U14" s="2"/>
      <c r="V14" s="19"/>
      <c r="W14" s="2"/>
      <c r="X14" s="2">
        <f t="shared" si="2"/>
        <v>39282.92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--47978.22</f>
        <v>47978.22</v>
      </c>
      <c r="E15" s="2"/>
      <c r="F15" s="19"/>
      <c r="G15" s="2"/>
      <c r="H15" s="2"/>
      <c r="I15" s="2"/>
      <c r="J15" s="19"/>
      <c r="K15" s="2"/>
      <c r="L15" s="2">
        <f t="shared" si="0"/>
        <v>47978.22</v>
      </c>
      <c r="M15" s="2"/>
      <c r="N15" s="19">
        <f t="shared" si="1"/>
        <v>0</v>
      </c>
      <c r="O15" s="11"/>
      <c r="P15" s="2">
        <f>--428653.01</f>
        <v>428653.01</v>
      </c>
      <c r="Q15" s="2"/>
      <c r="R15" s="19"/>
      <c r="S15" s="2"/>
      <c r="T15" s="2"/>
      <c r="U15" s="2"/>
      <c r="V15" s="19"/>
      <c r="W15" s="2"/>
      <c r="X15" s="2">
        <f t="shared" si="2"/>
        <v>428653.01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"4058", " - ", "TAXABLE SALES-FOOD")</f>
        <v xml:space="preserve">          4058 - TAXABLE SALES-FOOD</v>
      </c>
      <c r="C16" s="11"/>
      <c r="D16" s="2">
        <f t="shared" ref="D16:D17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--974.91</f>
        <v>974.91</v>
      </c>
      <c r="Q16" s="2"/>
      <c r="R16" s="19"/>
      <c r="S16" s="2"/>
      <c r="T16" s="2"/>
      <c r="U16" s="2"/>
      <c r="V16" s="19"/>
      <c r="W16" s="2"/>
      <c r="X16" s="2">
        <f t="shared" si="2"/>
        <v>974.91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19"/>
      <c r="G17" s="2"/>
      <c r="H17" s="2">
        <v>9025</v>
      </c>
      <c r="I17" s="2"/>
      <c r="J17" s="19"/>
      <c r="K17" s="2"/>
      <c r="L17" s="2">
        <f t="shared" si="0"/>
        <v>-9025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v>153503</v>
      </c>
      <c r="U17" s="2"/>
      <c r="V17" s="19"/>
      <c r="W17" s="2"/>
      <c r="X17" s="2">
        <f t="shared" si="2"/>
        <v>-153503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>--6614.87</f>
        <v>6614.87</v>
      </c>
      <c r="E18" s="2"/>
      <c r="F18" s="19"/>
      <c r="G18" s="2"/>
      <c r="H18" s="2"/>
      <c r="I18" s="2"/>
      <c r="J18" s="19"/>
      <c r="K18" s="2"/>
      <c r="L18" s="2">
        <f t="shared" si="0"/>
        <v>6614.87</v>
      </c>
      <c r="M18" s="2"/>
      <c r="N18" s="19">
        <f t="shared" si="1"/>
        <v>0</v>
      </c>
      <c r="O18" s="11"/>
      <c r="P18" s="2">
        <f>--37883.27</f>
        <v>37883.269999999997</v>
      </c>
      <c r="Q18" s="2"/>
      <c r="R18" s="19"/>
      <c r="S18" s="2"/>
      <c r="T18" s="2"/>
      <c r="U18" s="2"/>
      <c r="V18" s="19"/>
      <c r="W18" s="2"/>
      <c r="X18" s="2">
        <f t="shared" si="2"/>
        <v>37883.269999999997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>0</f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--11580.95</f>
        <v>11580.95</v>
      </c>
      <c r="Q19" s="2"/>
      <c r="R19" s="19"/>
      <c r="S19" s="2"/>
      <c r="T19" s="2"/>
      <c r="U19" s="2"/>
      <c r="V19" s="19"/>
      <c r="W19" s="2"/>
      <c r="X19" s="2">
        <f t="shared" si="2"/>
        <v>11580.95</v>
      </c>
      <c r="Y19" s="2"/>
      <c r="Z19" s="19">
        <f t="shared" si="3"/>
        <v>0</v>
      </c>
    </row>
    <row r="20" spans="1:26" x14ac:dyDescent="0.25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25">
      <c r="A21" s="10"/>
      <c r="B21" s="29" t="s">
        <v>257</v>
      </c>
      <c r="C21" s="10"/>
      <c r="D21" s="4">
        <f>SUM(OSRRefD16x_0)</f>
        <v>4243.1399999999994</v>
      </c>
      <c r="E21" s="4"/>
      <c r="F21" s="12">
        <f t="shared" ref="F21:F24" si="5">IF(D$12=0,0,D21/D$12)</f>
        <v>6.8709532465114007E-2</v>
      </c>
      <c r="G21" s="4"/>
      <c r="H21" s="4">
        <f>SUM(OSRRefH16x_0)</f>
        <v>4323</v>
      </c>
      <c r="I21" s="4"/>
      <c r="J21" s="12">
        <f t="shared" ref="J21:J24" si="6">IF(H$12=0,0,H21/H$12)</f>
        <v>0.33012600229095074</v>
      </c>
      <c r="K21" s="4"/>
      <c r="L21" s="4">
        <f t="shared" ref="L21:L24" si="7">+D21-H21</f>
        <v>-79.860000000000582</v>
      </c>
      <c r="M21" s="4"/>
      <c r="N21" s="12">
        <f t="shared" ref="N21:N24" si="8">IF(H21=0,0,L21/H21)</f>
        <v>-1.8473282442748228E-2</v>
      </c>
      <c r="O21" s="10"/>
      <c r="P21" s="4">
        <f>SUM(OSRRefP16x_0)</f>
        <v>17763.440000000002</v>
      </c>
      <c r="Q21" s="4"/>
      <c r="R21" s="12">
        <f t="shared" ref="R21:R24" si="9">IF(P$12=0,0,P21/P$12)</f>
        <v>3.4267543658446843E-2</v>
      </c>
      <c r="S21" s="4"/>
      <c r="T21" s="4">
        <f>SUM(OSRRefT16x_0)</f>
        <v>70617</v>
      </c>
      <c r="U21" s="4"/>
      <c r="V21" s="12">
        <f t="shared" ref="V21:V24" si="10">IF(T$12=0,0,T21/T$12)</f>
        <v>0.3169595367939137</v>
      </c>
      <c r="W21" s="4"/>
      <c r="X21" s="4">
        <f t="shared" ref="X21:X24" si="11">+P21-T21</f>
        <v>-52853.56</v>
      </c>
      <c r="Y21" s="4"/>
      <c r="Z21" s="12">
        <f t="shared" ref="Z21:Z24" si="12">IF(T21=0,0,X21/T21)</f>
        <v>-0.74845377175467664</v>
      </c>
    </row>
    <row r="22" spans="1:26" s="24" customFormat="1" hidden="1" outlineLevel="1" x14ac:dyDescent="0.25">
      <c r="A22" s="44"/>
      <c r="B22" s="11" t="str">
        <f>CONCATENATE("          ", "5000", " - ", "PURCHASES @ COST")</f>
        <v xml:space="preserve">          5000 - PURCHASES @ COST</v>
      </c>
      <c r="C22" s="11"/>
      <c r="D22" s="2"/>
      <c r="E22" s="2"/>
      <c r="F22" s="19">
        <f t="shared" si="5"/>
        <v>0</v>
      </c>
      <c r="G22" s="2"/>
      <c r="H22" s="2">
        <v>4323</v>
      </c>
      <c r="I22" s="2"/>
      <c r="J22" s="19">
        <f t="shared" si="6"/>
        <v>0.33012600229095074</v>
      </c>
      <c r="K22" s="2"/>
      <c r="L22" s="2">
        <f t="shared" si="7"/>
        <v>-4323</v>
      </c>
      <c r="M22" s="2"/>
      <c r="N22" s="19">
        <f t="shared" si="8"/>
        <v>-1</v>
      </c>
      <c r="O22" s="11"/>
      <c r="P22" s="2"/>
      <c r="Q22" s="2"/>
      <c r="R22" s="19">
        <f t="shared" si="9"/>
        <v>0</v>
      </c>
      <c r="S22" s="2"/>
      <c r="T22" s="2">
        <v>70617</v>
      </c>
      <c r="U22" s="2"/>
      <c r="V22" s="19">
        <f t="shared" si="10"/>
        <v>0.3169595367939137</v>
      </c>
      <c r="W22" s="2"/>
      <c r="X22" s="2">
        <f t="shared" si="11"/>
        <v>-70617</v>
      </c>
      <c r="Y22" s="2"/>
      <c r="Z22" s="19">
        <f t="shared" si="12"/>
        <v>-1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3991.14</v>
      </c>
      <c r="E23" s="2"/>
      <c r="F23" s="19">
        <f t="shared" si="5"/>
        <v>6.462887470194599E-2</v>
      </c>
      <c r="G23" s="2"/>
      <c r="H23" s="2"/>
      <c r="I23" s="2"/>
      <c r="J23" s="19">
        <f t="shared" si="6"/>
        <v>0</v>
      </c>
      <c r="K23" s="2"/>
      <c r="L23" s="2">
        <f t="shared" si="7"/>
        <v>3991.14</v>
      </c>
      <c r="M23" s="2"/>
      <c r="N23" s="19">
        <f t="shared" si="8"/>
        <v>0</v>
      </c>
      <c r="O23" s="11"/>
      <c r="P23" s="2">
        <v>12127.43</v>
      </c>
      <c r="Q23" s="2"/>
      <c r="R23" s="19">
        <f t="shared" si="9"/>
        <v>2.3395087718919193E-2</v>
      </c>
      <c r="S23" s="2"/>
      <c r="T23" s="2"/>
      <c r="U23" s="2"/>
      <c r="V23" s="19">
        <f t="shared" si="10"/>
        <v>0</v>
      </c>
      <c r="W23" s="2"/>
      <c r="X23" s="2">
        <f t="shared" si="11"/>
        <v>12127.43</v>
      </c>
      <c r="Y23" s="2"/>
      <c r="Z23" s="19">
        <f t="shared" si="12"/>
        <v>0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>
        <v>252</v>
      </c>
      <c r="E24" s="2"/>
      <c r="F24" s="19">
        <f t="shared" si="5"/>
        <v>4.0806577631680146E-3</v>
      </c>
      <c r="G24" s="2"/>
      <c r="H24" s="2"/>
      <c r="I24" s="2"/>
      <c r="J24" s="19">
        <f t="shared" si="6"/>
        <v>0</v>
      </c>
      <c r="K24" s="2"/>
      <c r="L24" s="2">
        <f t="shared" si="7"/>
        <v>252</v>
      </c>
      <c r="M24" s="2"/>
      <c r="N24" s="19">
        <f t="shared" si="8"/>
        <v>0</v>
      </c>
      <c r="O24" s="11"/>
      <c r="P24" s="2">
        <v>5636.01</v>
      </c>
      <c r="Q24" s="2"/>
      <c r="R24" s="19">
        <f t="shared" si="9"/>
        <v>1.0872455939527646E-2</v>
      </c>
      <c r="S24" s="2"/>
      <c r="T24" s="2"/>
      <c r="U24" s="2"/>
      <c r="V24" s="19">
        <f t="shared" si="10"/>
        <v>0</v>
      </c>
      <c r="W24" s="2"/>
      <c r="X24" s="2">
        <f t="shared" si="11"/>
        <v>5636.01</v>
      </c>
      <c r="Y24" s="2"/>
      <c r="Z24" s="19">
        <f t="shared" si="12"/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8" t="s">
        <v>108</v>
      </c>
      <c r="C26" s="28"/>
      <c r="D26" s="20">
        <f>D12-D21</f>
        <v>57511.610000000008</v>
      </c>
      <c r="E26" s="14"/>
      <c r="F26" s="21">
        <f>IF(D$12=0,0,D26/D$12)</f>
        <v>0.93129046753488598</v>
      </c>
      <c r="G26" s="14"/>
      <c r="H26" s="20">
        <f>H12-H21</f>
        <v>8772</v>
      </c>
      <c r="I26" s="14"/>
      <c r="J26" s="21">
        <f>IF(H$12=0,0,H26/H$12)</f>
        <v>0.66987399770904921</v>
      </c>
      <c r="K26" s="15"/>
      <c r="L26" s="20">
        <f>+D26-H26</f>
        <v>48739.610000000008</v>
      </c>
      <c r="M26" s="15"/>
      <c r="N26" s="21">
        <f>IF(H26=0,0,L26/H26)</f>
        <v>5.5562710898312826</v>
      </c>
      <c r="O26" s="29"/>
      <c r="P26" s="20">
        <f>P12-P21</f>
        <v>500611.62</v>
      </c>
      <c r="Q26" s="14"/>
      <c r="R26" s="21">
        <f>IF(P$12=0,0,P26/P$12)</f>
        <v>0.96573245634155314</v>
      </c>
      <c r="S26" s="14"/>
      <c r="T26" s="20">
        <f>T12-T21</f>
        <v>152178</v>
      </c>
      <c r="U26" s="14"/>
      <c r="V26" s="21">
        <f>IF(T$12=0,0,T26/T$12)</f>
        <v>0.68304046320608636</v>
      </c>
      <c r="W26" s="15"/>
      <c r="X26" s="20">
        <f>+P26-T26</f>
        <v>348433.62</v>
      </c>
      <c r="Y26" s="15"/>
      <c r="Z26" s="21">
        <f>IF(T26=0,0,X26/T26)</f>
        <v>2.2896451523873358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295</v>
      </c>
      <c r="C28" s="10"/>
      <c r="D28" s="22">
        <f>SUM(OSRRefD22x_0)</f>
        <v>119689.45000000004</v>
      </c>
      <c r="E28" s="22"/>
      <c r="F28" s="31">
        <f t="shared" ref="F28:F38" si="13">IF(D$12=0,0,D28/D$12)</f>
        <v>1.9381416004436911</v>
      </c>
      <c r="G28" s="22"/>
      <c r="H28" s="22">
        <f>SUM(OSRRefH22x_0)</f>
        <v>104306.99763337949</v>
      </c>
      <c r="I28" s="22"/>
      <c r="J28" s="31">
        <f t="shared" ref="J28:J38" si="14">IF(H$12=0,0,H28/H$12)</f>
        <v>7.9654064630301251</v>
      </c>
      <c r="K28" s="4"/>
      <c r="L28" s="22">
        <f t="shared" ref="L28:L38" si="15">+D28-H28</f>
        <v>15382.45236662055</v>
      </c>
      <c r="M28" s="4"/>
      <c r="N28" s="31">
        <f t="shared" ref="N28:N38" si="16">IF(H28=0,0,L28/H28)</f>
        <v>0.14747287061877792</v>
      </c>
      <c r="O28" s="10"/>
      <c r="P28" s="22">
        <f>SUM(OSRRefP22x_0)</f>
        <v>1233731.1400000001</v>
      </c>
      <c r="Q28" s="22"/>
      <c r="R28" s="31">
        <f t="shared" ref="R28:R38" si="17">IF(P$12=0,0,P28/P$12)</f>
        <v>2.3799971009407748</v>
      </c>
      <c r="S28" s="22"/>
      <c r="T28" s="22">
        <f>SUM(OSRRefT22x_0)</f>
        <v>1212898.9264038051</v>
      </c>
      <c r="U28" s="22"/>
      <c r="V28" s="31">
        <f t="shared" ref="V28:V38" si="18">IF(T$12=0,0,T28/T$12)</f>
        <v>5.444013224730381</v>
      </c>
      <c r="W28" s="4"/>
      <c r="X28" s="22">
        <f t="shared" ref="X28:X38" si="19">+P28-T28</f>
        <v>20832.213596194983</v>
      </c>
      <c r="Y28" s="4"/>
      <c r="Z28" s="31">
        <f t="shared" ref="Z28:Z38" si="20">IF(T28=0,0,X28/T28)</f>
        <v>1.7175556134723963E-2</v>
      </c>
    </row>
    <row r="29" spans="1:26" s="27" customFormat="1" outlineLevel="1" collapsed="1" x14ac:dyDescent="0.25">
      <c r="A29" s="26"/>
      <c r="B29" s="13" t="str">
        <f>CONCATENATE("     ","*Benefits                                         ")</f>
        <v xml:space="preserve">     *Benefits                                         </v>
      </c>
      <c r="C29" s="13"/>
      <c r="D29" s="1">
        <f>SUM(OSRRefD22_0x_0)</f>
        <v>19280.190000000002</v>
      </c>
      <c r="E29" s="1"/>
      <c r="F29" s="5">
        <f t="shared" si="13"/>
        <v>0.3122057817414855</v>
      </c>
      <c r="G29" s="1"/>
      <c r="H29" s="1">
        <f>SUM(OSRRefH22_0x_0)</f>
        <v>13546.28420773847</v>
      </c>
      <c r="I29" s="1"/>
      <c r="J29" s="5">
        <f t="shared" si="14"/>
        <v>1.0344623297242055</v>
      </c>
      <c r="K29" s="1"/>
      <c r="L29" s="1">
        <f t="shared" si="15"/>
        <v>5733.905792261532</v>
      </c>
      <c r="M29" s="1"/>
      <c r="N29" s="5">
        <f t="shared" si="16"/>
        <v>0.42328255515161661</v>
      </c>
      <c r="O29" s="13"/>
      <c r="P29" s="1">
        <f>SUM(OSRRefP22_0x_0)</f>
        <v>228121.13000000003</v>
      </c>
      <c r="Q29" s="1"/>
      <c r="R29" s="5">
        <f t="shared" si="17"/>
        <v>0.44006964764084144</v>
      </c>
      <c r="S29" s="1"/>
      <c r="T29" s="1">
        <f>SUM(OSRRefT22_0x_0)</f>
        <v>153595.07382944634</v>
      </c>
      <c r="U29" s="1"/>
      <c r="V29" s="5">
        <f t="shared" si="18"/>
        <v>0.68940090140912647</v>
      </c>
      <c r="W29" s="1"/>
      <c r="X29" s="1">
        <f t="shared" si="19"/>
        <v>74526.056170553697</v>
      </c>
      <c r="Y29" s="1"/>
      <c r="Z29" s="5">
        <f t="shared" si="20"/>
        <v>0.48521123960855833</v>
      </c>
    </row>
    <row r="30" spans="1:26" s="24" customFormat="1" hidden="1" outlineLevel="2" x14ac:dyDescent="0.25">
      <c r="A30" s="25"/>
      <c r="B30" s="11" t="str">
        <f>CONCATENATE("          ", "6111", " - ", "F.I.C.A.")</f>
        <v xml:space="preserve">          6111 - F.I.C.A.</v>
      </c>
      <c r="C30" s="11"/>
      <c r="D30" s="7">
        <v>2396.2199999999998</v>
      </c>
      <c r="E30" s="2"/>
      <c r="F30" s="6">
        <f t="shared" si="13"/>
        <v>3.8802197401819283E-2</v>
      </c>
      <c r="G30" s="2"/>
      <c r="H30" s="7">
        <v>1565.2505469692301</v>
      </c>
      <c r="I30" s="2"/>
      <c r="J30" s="6">
        <f t="shared" si="14"/>
        <v>0.11953039686668424</v>
      </c>
      <c r="K30" s="2"/>
      <c r="L30" s="7">
        <f t="shared" si="15"/>
        <v>830.96945303076973</v>
      </c>
      <c r="M30" s="2"/>
      <c r="N30" s="6">
        <f t="shared" si="16"/>
        <v>0.53088590490497689</v>
      </c>
      <c r="O30" s="11"/>
      <c r="P30" s="7">
        <v>27981.51</v>
      </c>
      <c r="Q30" s="2"/>
      <c r="R30" s="6">
        <f t="shared" si="17"/>
        <v>5.3979275160344321E-2</v>
      </c>
      <c r="S30" s="2"/>
      <c r="T30" s="7">
        <v>17929.5470648308</v>
      </c>
      <c r="U30" s="2"/>
      <c r="V30" s="6">
        <f t="shared" si="18"/>
        <v>8.0475536097447425E-2</v>
      </c>
      <c r="W30" s="2"/>
      <c r="X30" s="7">
        <f t="shared" si="19"/>
        <v>10051.962935169198</v>
      </c>
      <c r="Y30" s="2"/>
      <c r="Z30" s="6">
        <f t="shared" si="20"/>
        <v>0.56063674664076391</v>
      </c>
    </row>
    <row r="31" spans="1:26" s="24" customFormat="1" hidden="1" outlineLevel="2" x14ac:dyDescent="0.25">
      <c r="A31" s="25"/>
      <c r="B31" s="11" t="str">
        <f>CONCATENATE("          ", "6112", " - ", "COMPENSATION INSURANCE")</f>
        <v xml:space="preserve">          6112 - COMPENSATION INSURANCE</v>
      </c>
      <c r="C31" s="11"/>
      <c r="D31" s="7">
        <v>920.55</v>
      </c>
      <c r="E31" s="2"/>
      <c r="F31" s="6">
        <f t="shared" si="13"/>
        <v>1.4906545650334587E-2</v>
      </c>
      <c r="G31" s="2"/>
      <c r="H31" s="7">
        <v>733.94947153846101</v>
      </c>
      <c r="I31" s="2"/>
      <c r="J31" s="6">
        <f t="shared" si="14"/>
        <v>5.6048069609657199E-2</v>
      </c>
      <c r="K31" s="2"/>
      <c r="L31" s="7">
        <f t="shared" si="15"/>
        <v>186.60052846153894</v>
      </c>
      <c r="M31" s="2"/>
      <c r="N31" s="6">
        <f t="shared" si="16"/>
        <v>0.25424165517879327</v>
      </c>
      <c r="O31" s="11"/>
      <c r="P31" s="7">
        <v>7935.09</v>
      </c>
      <c r="Q31" s="2"/>
      <c r="R31" s="6">
        <f t="shared" si="17"/>
        <v>1.5307623017203027E-2</v>
      </c>
      <c r="S31" s="2"/>
      <c r="T31" s="7">
        <v>7557.5639344615402</v>
      </c>
      <c r="U31" s="2"/>
      <c r="V31" s="6">
        <f t="shared" si="18"/>
        <v>3.3921604768785384E-2</v>
      </c>
      <c r="W31" s="2"/>
      <c r="X31" s="7">
        <f t="shared" si="19"/>
        <v>377.52606553845999</v>
      </c>
      <c r="Y31" s="2"/>
      <c r="Z31" s="6">
        <f t="shared" si="20"/>
        <v>4.9953406787204092E-2</v>
      </c>
    </row>
    <row r="32" spans="1:26" s="24" customFormat="1" hidden="1" outlineLevel="2" x14ac:dyDescent="0.25">
      <c r="A32" s="25"/>
      <c r="B32" s="11" t="str">
        <f>CONCATENATE("          ", "6113", " - ", "GROUP INSURANCE")</f>
        <v xml:space="preserve">          6113 - GROUP INSURANCE</v>
      </c>
      <c r="C32" s="11"/>
      <c r="D32" s="7">
        <v>8554.93</v>
      </c>
      <c r="E32" s="2"/>
      <c r="F32" s="6">
        <f t="shared" si="13"/>
        <v>0.13853072030896407</v>
      </c>
      <c r="G32" s="2"/>
      <c r="H32" s="7">
        <v>7261.1538461538503</v>
      </c>
      <c r="I32" s="2"/>
      <c r="J32" s="6">
        <f t="shared" si="14"/>
        <v>0.55449819367345177</v>
      </c>
      <c r="K32" s="2"/>
      <c r="L32" s="7">
        <f t="shared" si="15"/>
        <v>1293.77615384615</v>
      </c>
      <c r="M32" s="2"/>
      <c r="N32" s="6">
        <f t="shared" si="16"/>
        <v>0.17817776365273522</v>
      </c>
      <c r="O32" s="11"/>
      <c r="P32" s="7">
        <v>103706.5</v>
      </c>
      <c r="Q32" s="2"/>
      <c r="R32" s="6">
        <f t="shared" si="17"/>
        <v>0.20006074366309212</v>
      </c>
      <c r="S32" s="2"/>
      <c r="T32" s="7">
        <v>81733.730769230795</v>
      </c>
      <c r="U32" s="2"/>
      <c r="V32" s="6">
        <f t="shared" si="18"/>
        <v>0.36685621656334655</v>
      </c>
      <c r="W32" s="2"/>
      <c r="X32" s="7">
        <f t="shared" si="19"/>
        <v>21972.769230769205</v>
      </c>
      <c r="Y32" s="2"/>
      <c r="Z32" s="6">
        <f t="shared" si="20"/>
        <v>0.26883355285479027</v>
      </c>
    </row>
    <row r="33" spans="1:26" s="24" customFormat="1" hidden="1" outlineLevel="2" x14ac:dyDescent="0.25">
      <c r="A33" s="25"/>
      <c r="B33" s="11" t="str">
        <f>CONCATENATE("          ", "6114", " - ", "STATE UNEMPLOYMENT INSURANCE")</f>
        <v xml:space="preserve">          6114 - STATE UNEMPLOYMENT INSURANCE</v>
      </c>
      <c r="C33" s="11"/>
      <c r="D33" s="7">
        <v>118.49</v>
      </c>
      <c r="E33" s="2"/>
      <c r="F33" s="6">
        <f t="shared" si="13"/>
        <v>1.9187188030070558E-3</v>
      </c>
      <c r="G33" s="2"/>
      <c r="H33" s="7">
        <v>71.047939999999997</v>
      </c>
      <c r="I33" s="2"/>
      <c r="J33" s="6">
        <f t="shared" si="14"/>
        <v>5.4255777014127525E-3</v>
      </c>
      <c r="K33" s="2"/>
      <c r="L33" s="7">
        <f t="shared" si="15"/>
        <v>47.442059999999998</v>
      </c>
      <c r="M33" s="2"/>
      <c r="N33" s="6">
        <f t="shared" si="16"/>
        <v>0.66774715776418003</v>
      </c>
      <c r="O33" s="11"/>
      <c r="P33" s="7">
        <v>1030.46</v>
      </c>
      <c r="Q33" s="2"/>
      <c r="R33" s="6">
        <f t="shared" si="17"/>
        <v>1.9878656970881278E-3</v>
      </c>
      <c r="S33" s="2"/>
      <c r="T33" s="7">
        <v>776.82802400000003</v>
      </c>
      <c r="U33" s="2"/>
      <c r="V33" s="6">
        <f t="shared" si="18"/>
        <v>3.486739038129222E-3</v>
      </c>
      <c r="W33" s="2"/>
      <c r="X33" s="7">
        <f t="shared" si="19"/>
        <v>253.63197600000001</v>
      </c>
      <c r="Y33" s="2"/>
      <c r="Z33" s="6">
        <f t="shared" si="20"/>
        <v>0.32649694419366104</v>
      </c>
    </row>
    <row r="34" spans="1:26" s="24" customFormat="1" hidden="1" outlineLevel="2" x14ac:dyDescent="0.25">
      <c r="A34" s="25"/>
      <c r="B34" s="11" t="str">
        <f>CONCATENATE("          ", "6115", " - ", "P.E.R.S.")</f>
        <v xml:space="preserve">          6115 - P.E.R.S.</v>
      </c>
      <c r="C34" s="11"/>
      <c r="D34" s="7">
        <v>2783.65</v>
      </c>
      <c r="E34" s="2"/>
      <c r="F34" s="6">
        <f t="shared" si="13"/>
        <v>4.507588485096288E-2</v>
      </c>
      <c r="G34" s="2"/>
      <c r="H34" s="7">
        <v>1386.13172615385</v>
      </c>
      <c r="I34" s="2"/>
      <c r="J34" s="6">
        <f t="shared" si="14"/>
        <v>0.10585198366963344</v>
      </c>
      <c r="K34" s="2"/>
      <c r="L34" s="7">
        <f t="shared" si="15"/>
        <v>1397.5182738461501</v>
      </c>
      <c r="M34" s="2"/>
      <c r="N34" s="6">
        <f t="shared" si="16"/>
        <v>1.0082146216535242</v>
      </c>
      <c r="O34" s="11"/>
      <c r="P34" s="7">
        <v>35214.639999999999</v>
      </c>
      <c r="Q34" s="2"/>
      <c r="R34" s="6">
        <f t="shared" si="17"/>
        <v>6.7932743523579239E-2</v>
      </c>
      <c r="S34" s="2"/>
      <c r="T34" s="7">
        <v>16633.580713846201</v>
      </c>
      <c r="U34" s="2"/>
      <c r="V34" s="6">
        <f t="shared" si="18"/>
        <v>7.4658680463413452E-2</v>
      </c>
      <c r="W34" s="2"/>
      <c r="X34" s="7">
        <f t="shared" si="19"/>
        <v>18581.059286153799</v>
      </c>
      <c r="Y34" s="2"/>
      <c r="Z34" s="6">
        <f t="shared" si="20"/>
        <v>1.1170811388005271</v>
      </c>
    </row>
    <row r="35" spans="1:26" s="24" customFormat="1" hidden="1" outlineLevel="2" x14ac:dyDescent="0.25">
      <c r="A35" s="25"/>
      <c r="B35" s="11" t="str">
        <f>CONCATENATE("          ", "6116", " - ", "EDUCATIONAL BENEFITS")</f>
        <v xml:space="preserve">          6116 - EDUCATIONAL BENEFITS</v>
      </c>
      <c r="C35" s="11"/>
      <c r="D35" s="7"/>
      <c r="E35" s="2"/>
      <c r="F35" s="6">
        <f t="shared" si="13"/>
        <v>0</v>
      </c>
      <c r="G35" s="2"/>
      <c r="H35" s="7">
        <v>0</v>
      </c>
      <c r="I35" s="2"/>
      <c r="J35" s="6">
        <f t="shared" si="14"/>
        <v>0</v>
      </c>
      <c r="K35" s="2"/>
      <c r="L35" s="7">
        <f t="shared" si="15"/>
        <v>0</v>
      </c>
      <c r="M35" s="2"/>
      <c r="N35" s="6">
        <f t="shared" si="16"/>
        <v>0</v>
      </c>
      <c r="O35" s="11"/>
      <c r="P35" s="7"/>
      <c r="Q35" s="2"/>
      <c r="R35" s="6">
        <f t="shared" si="17"/>
        <v>0</v>
      </c>
      <c r="S35" s="2"/>
      <c r="T35" s="7">
        <v>0</v>
      </c>
      <c r="U35" s="2"/>
      <c r="V35" s="6">
        <f t="shared" si="18"/>
        <v>0</v>
      </c>
      <c r="W35" s="2"/>
      <c r="X35" s="7">
        <f t="shared" si="19"/>
        <v>0</v>
      </c>
      <c r="Y35" s="2"/>
      <c r="Z35" s="6">
        <f t="shared" si="20"/>
        <v>0</v>
      </c>
    </row>
    <row r="36" spans="1:26" s="24" customFormat="1" hidden="1" outlineLevel="2" x14ac:dyDescent="0.25">
      <c r="A36" s="25"/>
      <c r="B36" s="11" t="str">
        <f>CONCATENATE("          ", "6118", " - ", "VACATION")</f>
        <v xml:space="preserve">          6118 - VACATION</v>
      </c>
      <c r="C36" s="11"/>
      <c r="D36" s="7">
        <v>2462.92</v>
      </c>
      <c r="E36" s="2"/>
      <c r="F36" s="6">
        <f t="shared" si="13"/>
        <v>3.9882276262149872E-2</v>
      </c>
      <c r="G36" s="2"/>
      <c r="H36" s="7">
        <v>1524.1520769230799</v>
      </c>
      <c r="I36" s="2"/>
      <c r="J36" s="6">
        <f t="shared" si="14"/>
        <v>0.11639191118160214</v>
      </c>
      <c r="K36" s="2"/>
      <c r="L36" s="7">
        <f t="shared" si="15"/>
        <v>938.76792307692017</v>
      </c>
      <c r="M36" s="2"/>
      <c r="N36" s="6">
        <f t="shared" si="16"/>
        <v>0.61592798861126863</v>
      </c>
      <c r="O36" s="11"/>
      <c r="P36" s="7">
        <v>29592.22</v>
      </c>
      <c r="Q36" s="2"/>
      <c r="R36" s="6">
        <f t="shared" si="17"/>
        <v>5.7086504123095738E-2</v>
      </c>
      <c r="S36" s="2"/>
      <c r="T36" s="7">
        <v>18177.554923077001</v>
      </c>
      <c r="U36" s="2"/>
      <c r="V36" s="6">
        <f t="shared" si="18"/>
        <v>8.158870227373595E-2</v>
      </c>
      <c r="W36" s="2"/>
      <c r="X36" s="7">
        <f t="shared" si="19"/>
        <v>11414.665076923</v>
      </c>
      <c r="Y36" s="2"/>
      <c r="Z36" s="6">
        <f t="shared" si="20"/>
        <v>0.62795382135975331</v>
      </c>
    </row>
    <row r="37" spans="1:26" s="24" customFormat="1" hidden="1" outlineLevel="2" x14ac:dyDescent="0.25">
      <c r="A37" s="25"/>
      <c r="B37" s="11" t="str">
        <f>CONCATENATE("          ", "6119", " - ", "SICK LEAVE")</f>
        <v xml:space="preserve">          6119 - SICK LEAVE</v>
      </c>
      <c r="C37" s="11"/>
      <c r="D37" s="7">
        <v>1382.86</v>
      </c>
      <c r="E37" s="2"/>
      <c r="F37" s="6">
        <f t="shared" si="13"/>
        <v>2.2392771406248096E-2</v>
      </c>
      <c r="G37" s="2"/>
      <c r="H37" s="7">
        <v>654.59860000000003</v>
      </c>
      <c r="I37" s="2"/>
      <c r="J37" s="6">
        <f t="shared" si="14"/>
        <v>4.9988438335242462E-2</v>
      </c>
      <c r="K37" s="2"/>
      <c r="L37" s="7">
        <f t="shared" si="15"/>
        <v>728.26139999999987</v>
      </c>
      <c r="M37" s="2"/>
      <c r="N37" s="6">
        <f t="shared" si="16"/>
        <v>1.1125312519764017</v>
      </c>
      <c r="O37" s="11"/>
      <c r="P37" s="7">
        <v>16965.29</v>
      </c>
      <c r="Q37" s="2"/>
      <c r="R37" s="6">
        <f t="shared" si="17"/>
        <v>3.2727828379706385E-2</v>
      </c>
      <c r="S37" s="2"/>
      <c r="T37" s="7">
        <v>6936.2683999999999</v>
      </c>
      <c r="U37" s="2"/>
      <c r="V37" s="6">
        <f t="shared" si="18"/>
        <v>3.1132962588927039E-2</v>
      </c>
      <c r="W37" s="2"/>
      <c r="X37" s="7">
        <f t="shared" si="19"/>
        <v>10029.0216</v>
      </c>
      <c r="Y37" s="2"/>
      <c r="Z37" s="6">
        <f t="shared" si="20"/>
        <v>1.4458814194675627</v>
      </c>
    </row>
    <row r="38" spans="1:26" s="24" customFormat="1" hidden="1" outlineLevel="2" x14ac:dyDescent="0.25">
      <c r="A38" s="25"/>
      <c r="B38" s="11" t="str">
        <f>CONCATENATE("          ", "6156", " - ", "EMPLOYEE MEALS")</f>
        <v xml:space="preserve">          6156 - EMPLOYEE MEALS</v>
      </c>
      <c r="C38" s="11"/>
      <c r="D38" s="7">
        <v>660.57</v>
      </c>
      <c r="E38" s="2"/>
      <c r="F38" s="6">
        <f t="shared" si="13"/>
        <v>1.0696667057999586E-2</v>
      </c>
      <c r="G38" s="2"/>
      <c r="H38" s="7">
        <v>350</v>
      </c>
      <c r="I38" s="2"/>
      <c r="J38" s="6">
        <f t="shared" si="14"/>
        <v>2.6727758686521573E-2</v>
      </c>
      <c r="K38" s="2"/>
      <c r="L38" s="7">
        <f t="shared" si="15"/>
        <v>310.57000000000005</v>
      </c>
      <c r="M38" s="2"/>
      <c r="N38" s="6">
        <f t="shared" si="16"/>
        <v>0.88734285714285732</v>
      </c>
      <c r="O38" s="11"/>
      <c r="P38" s="7">
        <v>5695.42</v>
      </c>
      <c r="Q38" s="2"/>
      <c r="R38" s="6">
        <f t="shared" si="17"/>
        <v>1.0987064076732396E-2</v>
      </c>
      <c r="S38" s="2"/>
      <c r="T38" s="7">
        <v>3850</v>
      </c>
      <c r="U38" s="2"/>
      <c r="V38" s="6">
        <f t="shared" si="18"/>
        <v>1.7280459615341456E-2</v>
      </c>
      <c r="W38" s="2"/>
      <c r="X38" s="7">
        <f t="shared" si="19"/>
        <v>1845.42</v>
      </c>
      <c r="Y38" s="2"/>
      <c r="Z38" s="6">
        <f t="shared" si="20"/>
        <v>0.47932987012987016</v>
      </c>
    </row>
    <row r="39" spans="1:26" s="27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26587.039999999994</v>
      </c>
      <c r="E39" s="1"/>
      <c r="F39" s="5">
        <f t="shared" ref="F39:F49" si="21">IF(D$12=0,0,D39/D$12)</f>
        <v>0.43052623482404173</v>
      </c>
      <c r="G39" s="1"/>
      <c r="H39" s="1">
        <f>SUM(OSRRefH22_1x_0)</f>
        <v>25147.380092307692</v>
      </c>
      <c r="I39" s="1"/>
      <c r="J39" s="5">
        <f t="shared" ref="J39:J49" si="22">IF(H$12=0,0,H39/H$12)</f>
        <v>1.920380304872676</v>
      </c>
      <c r="K39" s="1"/>
      <c r="L39" s="1">
        <f t="shared" ref="L39:L49" si="23">+D39-H39</f>
        <v>1439.6599076923012</v>
      </c>
      <c r="M39" s="1"/>
      <c r="N39" s="5">
        <f t="shared" ref="N39:N49" si="24">IF(H39=0,0,L39/H39)</f>
        <v>5.7248902367077095E-2</v>
      </c>
      <c r="O39" s="13"/>
      <c r="P39" s="1">
        <f>SUM(OSRRefP22_1x_0)</f>
        <v>319514.60000000003</v>
      </c>
      <c r="Q39" s="1"/>
      <c r="R39" s="5">
        <f t="shared" ref="R39:R49" si="25">IF(P$12=0,0,P39/P$12)</f>
        <v>0.61637726166841444</v>
      </c>
      <c r="S39" s="1"/>
      <c r="T39" s="1">
        <f>SUM(OSRRefT22_1x_0)</f>
        <v>273666.18590769201</v>
      </c>
      <c r="U39" s="1"/>
      <c r="V39" s="5">
        <f t="shared" ref="V39:V49" si="26">IF(T$12=0,0,T39/T$12)</f>
        <v>1.228331811340883</v>
      </c>
      <c r="W39" s="1"/>
      <c r="X39" s="1">
        <f t="shared" ref="X39:X49" si="27">+P39-T39</f>
        <v>45848.414092308027</v>
      </c>
      <c r="Y39" s="1"/>
      <c r="Z39" s="5">
        <f t="shared" ref="Z39:Z49" si="28">IF(T39=0,0,X39/T39)</f>
        <v>0.16753408514917062</v>
      </c>
    </row>
    <row r="40" spans="1:26" s="24" customFormat="1" hidden="1" outlineLevel="2" x14ac:dyDescent="0.25">
      <c r="A40" s="25"/>
      <c r="B40" s="11" t="str">
        <f>CONCATENATE("          ", "6001", " - ", "ADMINISTRATIVE SALARIES")</f>
        <v xml:space="preserve">          6001 - ADMINISTRATIVE SALARIES</v>
      </c>
      <c r="C40" s="11"/>
      <c r="D40" s="7">
        <v>8301.9599999999991</v>
      </c>
      <c r="E40" s="2"/>
      <c r="F40" s="6">
        <f t="shared" si="21"/>
        <v>0.13443435525202513</v>
      </c>
      <c r="G40" s="2"/>
      <c r="H40" s="7">
        <v>9962.3076923076896</v>
      </c>
      <c r="I40" s="2"/>
      <c r="J40" s="6">
        <f t="shared" si="22"/>
        <v>0.76077187417393588</v>
      </c>
      <c r="K40" s="2"/>
      <c r="L40" s="7">
        <f t="shared" si="23"/>
        <v>-1660.3476923076905</v>
      </c>
      <c r="M40" s="2"/>
      <c r="N40" s="6">
        <f t="shared" si="24"/>
        <v>-0.16666296038915901</v>
      </c>
      <c r="O40" s="11"/>
      <c r="P40" s="7">
        <v>119358.13</v>
      </c>
      <c r="Q40" s="2"/>
      <c r="R40" s="6">
        <f t="shared" si="25"/>
        <v>0.23025438376607085</v>
      </c>
      <c r="S40" s="2"/>
      <c r="T40" s="7">
        <v>119547.69230769201</v>
      </c>
      <c r="U40" s="2"/>
      <c r="V40" s="6">
        <f t="shared" si="26"/>
        <v>0.53658157637151649</v>
      </c>
      <c r="W40" s="2"/>
      <c r="X40" s="7">
        <f t="shared" si="27"/>
        <v>-189.56230769200192</v>
      </c>
      <c r="Y40" s="2"/>
      <c r="Z40" s="6">
        <f t="shared" si="28"/>
        <v>-1.5856626257921083E-3</v>
      </c>
    </row>
    <row r="41" spans="1:26" s="24" customFormat="1" hidden="1" outlineLevel="2" x14ac:dyDescent="0.25">
      <c r="A41" s="25"/>
      <c r="B41" s="11" t="str">
        <f>CONCATENATE("          ", "6002", " - ", "STAFF SALARIES")</f>
        <v xml:space="preserve">          6002 - STAFF SALARIES</v>
      </c>
      <c r="C41" s="11"/>
      <c r="D41" s="7">
        <v>14361.06</v>
      </c>
      <c r="E41" s="2"/>
      <c r="F41" s="6">
        <f t="shared" si="21"/>
        <v>0.23254988482667321</v>
      </c>
      <c r="G41" s="2"/>
      <c r="H41" s="7">
        <v>4543.7219999999998</v>
      </c>
      <c r="I41" s="2"/>
      <c r="J41" s="6">
        <f t="shared" si="22"/>
        <v>0.34698144329896907</v>
      </c>
      <c r="K41" s="2"/>
      <c r="L41" s="7">
        <f t="shared" si="23"/>
        <v>9817.3379999999997</v>
      </c>
      <c r="M41" s="2"/>
      <c r="N41" s="6">
        <f t="shared" si="24"/>
        <v>2.1606379087452976</v>
      </c>
      <c r="O41" s="11"/>
      <c r="P41" s="7">
        <v>164214.35</v>
      </c>
      <c r="Q41" s="2"/>
      <c r="R41" s="6">
        <f t="shared" si="25"/>
        <v>0.31678674896126369</v>
      </c>
      <c r="S41" s="2"/>
      <c r="T41" s="7">
        <v>54524.663999999997</v>
      </c>
      <c r="U41" s="2"/>
      <c r="V41" s="6">
        <f t="shared" si="26"/>
        <v>0.24473019592001616</v>
      </c>
      <c r="W41" s="2"/>
      <c r="X41" s="7">
        <f t="shared" si="27"/>
        <v>109689.68600000002</v>
      </c>
      <c r="Y41" s="2"/>
      <c r="Z41" s="6">
        <f t="shared" si="28"/>
        <v>2.0117443731519375</v>
      </c>
    </row>
    <row r="42" spans="1:26" s="24" customFormat="1" hidden="1" outlineLevel="2" x14ac:dyDescent="0.25">
      <c r="A42" s="25"/>
      <c r="B42" s="11" t="str">
        <f>CONCATENATE("          ", "6003", " - ", "STAFF HOURLY-9 MONTH")</f>
        <v xml:space="preserve">          6003 - STAFF HOURLY-9 MONTH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7">
        <v>2883.67</v>
      </c>
      <c r="E43" s="2"/>
      <c r="F43" s="6">
        <f t="shared" si="21"/>
        <v>4.6695517348867899E-2</v>
      </c>
      <c r="G43" s="2"/>
      <c r="H43" s="7">
        <v>2966.4</v>
      </c>
      <c r="I43" s="2"/>
      <c r="J43" s="6">
        <f t="shared" si="22"/>
        <v>0.22652920962199313</v>
      </c>
      <c r="K43" s="2"/>
      <c r="L43" s="7">
        <f t="shared" si="23"/>
        <v>-82.730000000000018</v>
      </c>
      <c r="M43" s="2"/>
      <c r="N43" s="6">
        <f t="shared" si="24"/>
        <v>-2.788902373247034E-2</v>
      </c>
      <c r="O43" s="11"/>
      <c r="P43" s="7">
        <v>31463.03</v>
      </c>
      <c r="Q43" s="2"/>
      <c r="R43" s="6">
        <f t="shared" si="25"/>
        <v>6.0695493336427105E-2</v>
      </c>
      <c r="S43" s="2"/>
      <c r="T43" s="7">
        <v>33575.94</v>
      </c>
      <c r="U43" s="2"/>
      <c r="V43" s="6">
        <f t="shared" si="26"/>
        <v>0.15070329226418908</v>
      </c>
      <c r="W43" s="2"/>
      <c r="X43" s="7">
        <f t="shared" si="27"/>
        <v>-2112.9100000000035</v>
      </c>
      <c r="Y43" s="2"/>
      <c r="Z43" s="6">
        <f t="shared" si="28"/>
        <v>-6.2929288055673299E-2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7">
        <v>1040.3499999999999</v>
      </c>
      <c r="E44" s="2"/>
      <c r="F44" s="6">
        <f t="shared" si="21"/>
        <v>1.684647739647557E-2</v>
      </c>
      <c r="G44" s="2"/>
      <c r="H44" s="7">
        <v>4025.1120000000001</v>
      </c>
      <c r="I44" s="2"/>
      <c r="J44" s="6">
        <f t="shared" si="22"/>
        <v>0.30737777777777781</v>
      </c>
      <c r="K44" s="2"/>
      <c r="L44" s="7">
        <f t="shared" si="23"/>
        <v>-2984.7620000000002</v>
      </c>
      <c r="M44" s="2"/>
      <c r="N44" s="6">
        <f t="shared" si="24"/>
        <v>-0.74153514237616247</v>
      </c>
      <c r="O44" s="11"/>
      <c r="P44" s="7">
        <v>4331.3999999999996</v>
      </c>
      <c r="Q44" s="2"/>
      <c r="R44" s="6">
        <f t="shared" si="25"/>
        <v>8.3557260644445356E-3</v>
      </c>
      <c r="S44" s="2"/>
      <c r="T44" s="7">
        <v>34546.356</v>
      </c>
      <c r="U44" s="2"/>
      <c r="V44" s="6">
        <f t="shared" si="26"/>
        <v>0.15505893758836597</v>
      </c>
      <c r="W44" s="2"/>
      <c r="X44" s="7">
        <f t="shared" si="27"/>
        <v>-30214.955999999998</v>
      </c>
      <c r="Y44" s="2"/>
      <c r="Z44" s="6">
        <f t="shared" si="28"/>
        <v>-0.874620640162453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7"/>
      <c r="E46" s="2"/>
      <c r="F46" s="6">
        <f t="shared" si="21"/>
        <v>0</v>
      </c>
      <c r="G46" s="2"/>
      <c r="H46" s="7">
        <v>1007.7912</v>
      </c>
      <c r="I46" s="2"/>
      <c r="J46" s="6">
        <f t="shared" si="22"/>
        <v>7.6960000000000001E-2</v>
      </c>
      <c r="K46" s="2"/>
      <c r="L46" s="7">
        <f t="shared" si="23"/>
        <v>-1007.7912</v>
      </c>
      <c r="M46" s="2"/>
      <c r="N46" s="6">
        <f t="shared" si="24"/>
        <v>-1</v>
      </c>
      <c r="O46" s="11"/>
      <c r="P46" s="7">
        <v>147.69</v>
      </c>
      <c r="Q46" s="2"/>
      <c r="R46" s="6">
        <f t="shared" si="25"/>
        <v>2.8490954020820371E-4</v>
      </c>
      <c r="S46" s="2"/>
      <c r="T46" s="7">
        <v>3454.1311999999998</v>
      </c>
      <c r="U46" s="2"/>
      <c r="V46" s="6">
        <f t="shared" si="26"/>
        <v>1.5503629794205435E-2</v>
      </c>
      <c r="W46" s="2"/>
      <c r="X46" s="7">
        <f t="shared" si="27"/>
        <v>-3306.4411999999998</v>
      </c>
      <c r="Y46" s="2"/>
      <c r="Z46" s="6">
        <f t="shared" si="28"/>
        <v>-0.95724250428009217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7"/>
      <c r="E47" s="2"/>
      <c r="F47" s="6">
        <f t="shared" si="21"/>
        <v>0</v>
      </c>
      <c r="G47" s="2"/>
      <c r="H47" s="7">
        <v>2642.0472</v>
      </c>
      <c r="I47" s="2"/>
      <c r="J47" s="6">
        <f t="shared" si="22"/>
        <v>0.20175999999999999</v>
      </c>
      <c r="K47" s="2"/>
      <c r="L47" s="7">
        <f t="shared" si="23"/>
        <v>-2642.0472</v>
      </c>
      <c r="M47" s="2"/>
      <c r="N47" s="6">
        <f t="shared" si="24"/>
        <v>-1</v>
      </c>
      <c r="O47" s="11"/>
      <c r="P47" s="7"/>
      <c r="Q47" s="2"/>
      <c r="R47" s="6">
        <f t="shared" si="25"/>
        <v>0</v>
      </c>
      <c r="S47" s="2"/>
      <c r="T47" s="7">
        <v>28017.402399999999</v>
      </c>
      <c r="U47" s="2"/>
      <c r="V47" s="6">
        <f t="shared" si="26"/>
        <v>0.12575417940258982</v>
      </c>
      <c r="W47" s="2"/>
      <c r="X47" s="7">
        <f t="shared" si="27"/>
        <v>-28017.402399999999</v>
      </c>
      <c r="Y47" s="2"/>
      <c r="Z47" s="6">
        <f t="shared" si="28"/>
        <v>-1</v>
      </c>
    </row>
    <row r="48" spans="1:26" s="24" customFormat="1" hidden="1" outlineLevel="2" x14ac:dyDescent="0.25">
      <c r="A48" s="25"/>
      <c r="B48" s="11" t="str">
        <f>CONCATENATE("          ", "6009", " - ", "TEMPORARY-SEASONAL")</f>
        <v xml:space="preserve">          6009 - TEMPORARY-SEASONAL</v>
      </c>
      <c r="C48" s="11"/>
      <c r="D48" s="7"/>
      <c r="E48" s="2"/>
      <c r="F48" s="6">
        <f t="shared" si="21"/>
        <v>0</v>
      </c>
      <c r="G48" s="2"/>
      <c r="H48" s="7">
        <v>0</v>
      </c>
      <c r="I48" s="2"/>
      <c r="J48" s="6">
        <f t="shared" si="22"/>
        <v>0</v>
      </c>
      <c r="K48" s="2"/>
      <c r="L48" s="7">
        <f t="shared" si="23"/>
        <v>0</v>
      </c>
      <c r="M48" s="2"/>
      <c r="N48" s="6">
        <f t="shared" si="24"/>
        <v>0</v>
      </c>
      <c r="O48" s="11"/>
      <c r="P48" s="7"/>
      <c r="Q48" s="2"/>
      <c r="R48" s="6">
        <f t="shared" si="25"/>
        <v>0</v>
      </c>
      <c r="S48" s="2"/>
      <c r="T48" s="7">
        <v>0</v>
      </c>
      <c r="U48" s="2"/>
      <c r="V48" s="6">
        <f t="shared" si="26"/>
        <v>0</v>
      </c>
      <c r="W48" s="2"/>
      <c r="X48" s="7">
        <f t="shared" si="27"/>
        <v>0</v>
      </c>
      <c r="Y48" s="2"/>
      <c r="Z48" s="6">
        <f t="shared" si="28"/>
        <v>0</v>
      </c>
    </row>
    <row r="49" spans="1:26" s="24" customFormat="1" hidden="1" outlineLevel="2" x14ac:dyDescent="0.25">
      <c r="A49" s="25"/>
      <c r="B49" s="11" t="str">
        <f>CONCATENATE("          ", "6010", " - ", "GRATUITY")</f>
        <v xml:space="preserve">          6010 - GRATUITY</v>
      </c>
      <c r="C49" s="11"/>
      <c r="D49" s="7"/>
      <c r="E49" s="2"/>
      <c r="F49" s="6">
        <f t="shared" si="21"/>
        <v>0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0</v>
      </c>
      <c r="M49" s="2"/>
      <c r="N49" s="6">
        <f t="shared" si="24"/>
        <v>0</v>
      </c>
      <c r="O49" s="11"/>
      <c r="P49" s="7"/>
      <c r="Q49" s="2"/>
      <c r="R49" s="6">
        <f t="shared" si="25"/>
        <v>0</v>
      </c>
      <c r="S49" s="2"/>
      <c r="T49" s="7">
        <v>0</v>
      </c>
      <c r="U49" s="2"/>
      <c r="V49" s="6">
        <f t="shared" si="26"/>
        <v>0</v>
      </c>
      <c r="W49" s="2"/>
      <c r="X49" s="7">
        <f t="shared" si="27"/>
        <v>0</v>
      </c>
      <c r="Y49" s="2"/>
      <c r="Z49" s="6">
        <f t="shared" si="28"/>
        <v>0</v>
      </c>
    </row>
    <row r="50" spans="1:26" s="27" customFormat="1" outlineLevel="1" collapsed="1" x14ac:dyDescent="0.25">
      <c r="A50" s="26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6.3</v>
      </c>
      <c r="E50" s="1"/>
      <c r="F50" s="5">
        <f t="shared" ref="F50:F59" si="29">IF(D$12=0,0,D50/D$12)</f>
        <v>1.0201644407920037E-4</v>
      </c>
      <c r="G50" s="1"/>
      <c r="H50" s="1">
        <f>SUM(OSRRefH22_2x_0)</f>
        <v>300</v>
      </c>
      <c r="I50" s="1"/>
      <c r="J50" s="5">
        <f t="shared" ref="J50:J59" si="30">IF(H$12=0,0,H50/H$12)</f>
        <v>2.2909507445589918E-2</v>
      </c>
      <c r="K50" s="1"/>
      <c r="L50" s="1">
        <f t="shared" ref="L50:L59" si="31">+D50-H50</f>
        <v>-293.7</v>
      </c>
      <c r="M50" s="1"/>
      <c r="N50" s="5">
        <f t="shared" ref="N50:N59" si="32">IF(H50=0,0,L50/H50)</f>
        <v>-0.97899999999999998</v>
      </c>
      <c r="O50" s="13"/>
      <c r="P50" s="1">
        <f>SUM(OSRRefP22_2x_0)</f>
        <v>447.45</v>
      </c>
      <c r="Q50" s="1"/>
      <c r="R50" s="5">
        <f t="shared" ref="R50:R59" si="33">IF(P$12=0,0,P50/P$12)</f>
        <v>8.6317810119954455E-4</v>
      </c>
      <c r="S50" s="1"/>
      <c r="T50" s="1">
        <f>SUM(OSRRefT22_2x_0)</f>
        <v>6179</v>
      </c>
      <c r="U50" s="1"/>
      <c r="V50" s="5">
        <f t="shared" ref="V50:V59" si="34">IF(T$12=0,0,T50/T$12)</f>
        <v>2.773401557485581E-2</v>
      </c>
      <c r="W50" s="1"/>
      <c r="X50" s="1">
        <f t="shared" ref="X50:X59" si="35">+P50-T50</f>
        <v>-5731.55</v>
      </c>
      <c r="Y50" s="1"/>
      <c r="Z50" s="5">
        <f t="shared" ref="Z50:Z59" si="36">IF(T50=0,0,X50/T50)</f>
        <v>-0.92758536980093864</v>
      </c>
    </row>
    <row r="51" spans="1:26" s="24" customFormat="1" hidden="1" outlineLevel="2" x14ac:dyDescent="0.25">
      <c r="A51" s="25"/>
      <c r="B51" s="11" t="str">
        <f>CONCATENATE("          ", "6362", " - ", "ADVERTISING EXPENSE")</f>
        <v xml:space="preserve">          6362 - ADVERTISING EXPENSE</v>
      </c>
      <c r="C51" s="11"/>
      <c r="D51" s="7">
        <v>6.3</v>
      </c>
      <c r="E51" s="2"/>
      <c r="F51" s="6">
        <f t="shared" si="29"/>
        <v>1.0201644407920037E-4</v>
      </c>
      <c r="G51" s="2"/>
      <c r="H51" s="7">
        <v>300</v>
      </c>
      <c r="I51" s="2"/>
      <c r="J51" s="6">
        <f t="shared" si="30"/>
        <v>2.2909507445589918E-2</v>
      </c>
      <c r="K51" s="2"/>
      <c r="L51" s="7">
        <f t="shared" si="31"/>
        <v>-293.7</v>
      </c>
      <c r="M51" s="2"/>
      <c r="N51" s="6">
        <f t="shared" si="32"/>
        <v>-0.97899999999999998</v>
      </c>
      <c r="O51" s="11"/>
      <c r="P51" s="7">
        <v>447.45</v>
      </c>
      <c r="Q51" s="2"/>
      <c r="R51" s="6">
        <f t="shared" si="33"/>
        <v>8.6317810119954455E-4</v>
      </c>
      <c r="S51" s="2"/>
      <c r="T51" s="7">
        <v>6179</v>
      </c>
      <c r="U51" s="2"/>
      <c r="V51" s="6">
        <f t="shared" si="34"/>
        <v>2.773401557485581E-2</v>
      </c>
      <c r="W51" s="2"/>
      <c r="X51" s="7">
        <f t="shared" si="35"/>
        <v>-5731.55</v>
      </c>
      <c r="Y51" s="2"/>
      <c r="Z51" s="6">
        <f t="shared" si="36"/>
        <v>-0.92758536980093864</v>
      </c>
    </row>
    <row r="52" spans="1:26" s="27" customFormat="1" outlineLevel="1" collapsed="1" x14ac:dyDescent="0.25">
      <c r="A52" s="26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7.22</v>
      </c>
      <c r="E52" s="1"/>
      <c r="F52" s="5">
        <f t="shared" si="29"/>
        <v>1.1691408353203598E-4</v>
      </c>
      <c r="G52" s="1"/>
      <c r="H52" s="1">
        <f>SUM(OSRRefH22_3x_0)</f>
        <v>5</v>
      </c>
      <c r="I52" s="1"/>
      <c r="J52" s="5">
        <f t="shared" si="30"/>
        <v>3.8182512409316535E-4</v>
      </c>
      <c r="K52" s="1"/>
      <c r="L52" s="1">
        <f t="shared" si="31"/>
        <v>2.2199999999999998</v>
      </c>
      <c r="M52" s="1"/>
      <c r="N52" s="5">
        <f t="shared" si="32"/>
        <v>0.44399999999999995</v>
      </c>
      <c r="O52" s="13"/>
      <c r="P52" s="1">
        <f>SUM(OSRRefP22_3x_0)</f>
        <v>16.2</v>
      </c>
      <c r="Q52" s="1"/>
      <c r="R52" s="5">
        <f t="shared" si="33"/>
        <v>3.1251503496329471E-5</v>
      </c>
      <c r="S52" s="1"/>
      <c r="T52" s="1">
        <f>SUM(OSRRefT22_3x_0)</f>
        <v>85</v>
      </c>
      <c r="U52" s="1"/>
      <c r="V52" s="5">
        <f t="shared" si="34"/>
        <v>3.8151664085818801E-4</v>
      </c>
      <c r="W52" s="1"/>
      <c r="X52" s="1">
        <f t="shared" si="35"/>
        <v>-68.8</v>
      </c>
      <c r="Y52" s="1"/>
      <c r="Z52" s="5">
        <f t="shared" si="36"/>
        <v>-0.80941176470588228</v>
      </c>
    </row>
    <row r="53" spans="1:26" s="24" customFormat="1" hidden="1" outlineLevel="2" x14ac:dyDescent="0.25">
      <c r="A53" s="25"/>
      <c r="B53" s="11" t="str">
        <f>CONCATENATE("          ", "6272", " - ", "CASH (OVER/SHORT)")</f>
        <v xml:space="preserve">          6272 - CASH (OVER/SHORT)</v>
      </c>
      <c r="C53" s="11"/>
      <c r="D53" s="7">
        <v>7.22</v>
      </c>
      <c r="E53" s="2"/>
      <c r="F53" s="6">
        <f t="shared" si="29"/>
        <v>1.1691408353203598E-4</v>
      </c>
      <c r="G53" s="2"/>
      <c r="H53" s="7">
        <v>5</v>
      </c>
      <c r="I53" s="2"/>
      <c r="J53" s="6">
        <f t="shared" si="30"/>
        <v>3.8182512409316535E-4</v>
      </c>
      <c r="K53" s="2"/>
      <c r="L53" s="7">
        <f t="shared" si="31"/>
        <v>2.2199999999999998</v>
      </c>
      <c r="M53" s="2"/>
      <c r="N53" s="6">
        <f t="shared" si="32"/>
        <v>0.44399999999999995</v>
      </c>
      <c r="O53" s="11"/>
      <c r="P53" s="7">
        <v>16.2</v>
      </c>
      <c r="Q53" s="2"/>
      <c r="R53" s="6">
        <f t="shared" si="33"/>
        <v>3.1251503496329471E-5</v>
      </c>
      <c r="S53" s="2"/>
      <c r="T53" s="7">
        <v>85</v>
      </c>
      <c r="U53" s="2"/>
      <c r="V53" s="6">
        <f t="shared" si="34"/>
        <v>3.8151664085818801E-4</v>
      </c>
      <c r="W53" s="2"/>
      <c r="X53" s="7">
        <f t="shared" si="35"/>
        <v>-68.8</v>
      </c>
      <c r="Y53" s="2"/>
      <c r="Z53" s="6">
        <f t="shared" si="36"/>
        <v>-0.80941176470588228</v>
      </c>
    </row>
    <row r="54" spans="1:26" s="27" customFormat="1" outlineLevel="1" collapsed="1" x14ac:dyDescent="0.25">
      <c r="A54" s="26"/>
      <c r="B54" s="13" t="str">
        <f>CONCATENATE("     ","Bank/card Fees                                    ")</f>
        <v xml:space="preserve">     Bank/card Fees                                    </v>
      </c>
      <c r="C54" s="13"/>
      <c r="D54" s="1">
        <f>SUM(OSRRefD22_4x_0)</f>
        <v>695.08</v>
      </c>
      <c r="E54" s="1"/>
      <c r="F54" s="5">
        <f t="shared" si="29"/>
        <v>1.125549046834454E-2</v>
      </c>
      <c r="G54" s="1"/>
      <c r="H54" s="1">
        <f>SUM(OSRRefH22_4x_0)</f>
        <v>999</v>
      </c>
      <c r="I54" s="1"/>
      <c r="J54" s="5">
        <f t="shared" si="30"/>
        <v>7.628865979381444E-2</v>
      </c>
      <c r="K54" s="1"/>
      <c r="L54" s="1">
        <f t="shared" si="31"/>
        <v>-303.91999999999996</v>
      </c>
      <c r="M54" s="1"/>
      <c r="N54" s="5">
        <f t="shared" si="32"/>
        <v>-0.30422422422422418</v>
      </c>
      <c r="O54" s="13"/>
      <c r="P54" s="1">
        <f>SUM(OSRRefP22_4x_0)</f>
        <v>7018.13</v>
      </c>
      <c r="Q54" s="1"/>
      <c r="R54" s="5">
        <f t="shared" si="33"/>
        <v>1.3538710755104615E-2</v>
      </c>
      <c r="S54" s="1"/>
      <c r="T54" s="1">
        <f>SUM(OSRRefT22_4x_0)</f>
        <v>27382</v>
      </c>
      <c r="U54" s="1"/>
      <c r="V54" s="5">
        <f t="shared" si="34"/>
        <v>0.12290221952916358</v>
      </c>
      <c r="W54" s="1"/>
      <c r="X54" s="1">
        <f t="shared" si="35"/>
        <v>-20363.87</v>
      </c>
      <c r="Y54" s="1"/>
      <c r="Z54" s="5">
        <f t="shared" si="36"/>
        <v>-0.74369549338981811</v>
      </c>
    </row>
    <row r="55" spans="1:26" s="24" customFormat="1" hidden="1" outlineLevel="2" x14ac:dyDescent="0.25">
      <c r="A55" s="25"/>
      <c r="B55" s="11" t="str">
        <f>CONCATENATE("          ", "6381", " - ", "BANK/CREDIT CARD FEES")</f>
        <v xml:space="preserve">          6381 - BANK/CREDIT CARD FEES</v>
      </c>
      <c r="C55" s="11"/>
      <c r="D55" s="7">
        <v>695.08</v>
      </c>
      <c r="E55" s="2"/>
      <c r="F55" s="6">
        <f t="shared" si="29"/>
        <v>1.125549046834454E-2</v>
      </c>
      <c r="G55" s="2"/>
      <c r="H55" s="7">
        <v>999</v>
      </c>
      <c r="I55" s="2"/>
      <c r="J55" s="6">
        <f t="shared" si="30"/>
        <v>7.628865979381444E-2</v>
      </c>
      <c r="K55" s="2"/>
      <c r="L55" s="7">
        <f t="shared" si="31"/>
        <v>-303.91999999999996</v>
      </c>
      <c r="M55" s="2"/>
      <c r="N55" s="6">
        <f t="shared" si="32"/>
        <v>-0.30422422422422418</v>
      </c>
      <c r="O55" s="11"/>
      <c r="P55" s="7">
        <v>7018.13</v>
      </c>
      <c r="Q55" s="2"/>
      <c r="R55" s="6">
        <f t="shared" si="33"/>
        <v>1.3538710755104615E-2</v>
      </c>
      <c r="S55" s="2"/>
      <c r="T55" s="7">
        <v>27382</v>
      </c>
      <c r="U55" s="2"/>
      <c r="V55" s="6">
        <f t="shared" si="34"/>
        <v>0.12290221952916358</v>
      </c>
      <c r="W55" s="2"/>
      <c r="X55" s="7">
        <f t="shared" si="35"/>
        <v>-20363.87</v>
      </c>
      <c r="Y55" s="2"/>
      <c r="Z55" s="6">
        <f t="shared" si="36"/>
        <v>-0.74369549338981811</v>
      </c>
    </row>
    <row r="56" spans="1:26" s="27" customFormat="1" outlineLevel="1" collapsed="1" x14ac:dyDescent="0.25">
      <c r="A56" s="26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SUM(OSRRefD22_5x_0)</f>
        <v>36720.730000000003</v>
      </c>
      <c r="E56" s="1"/>
      <c r="F56" s="5">
        <f t="shared" si="29"/>
        <v>0.59462195215752633</v>
      </c>
      <c r="G56" s="1"/>
      <c r="H56" s="1">
        <f>SUM(OSRRefH22_5x_0)</f>
        <v>37717</v>
      </c>
      <c r="I56" s="1"/>
      <c r="J56" s="5">
        <f t="shared" si="30"/>
        <v>2.8802596410843835</v>
      </c>
      <c r="K56" s="1"/>
      <c r="L56" s="1">
        <f t="shared" si="31"/>
        <v>-996.2699999999968</v>
      </c>
      <c r="M56" s="1"/>
      <c r="N56" s="5">
        <f t="shared" si="32"/>
        <v>-2.6414348967309088E-2</v>
      </c>
      <c r="O56" s="13"/>
      <c r="P56" s="1">
        <f>SUM(OSRRefP22_5x_0)</f>
        <v>406751.85</v>
      </c>
      <c r="Q56" s="1"/>
      <c r="R56" s="5">
        <f t="shared" si="33"/>
        <v>0.78466709027243708</v>
      </c>
      <c r="S56" s="1"/>
      <c r="T56" s="1">
        <f>SUM(OSRRefT22_5x_0)</f>
        <v>417491</v>
      </c>
      <c r="U56" s="1"/>
      <c r="V56" s="5">
        <f t="shared" si="34"/>
        <v>1.8738795753944208</v>
      </c>
      <c r="W56" s="1"/>
      <c r="X56" s="1">
        <f t="shared" si="35"/>
        <v>-10739.150000000023</v>
      </c>
      <c r="Y56" s="1"/>
      <c r="Z56" s="5">
        <f t="shared" si="36"/>
        <v>-2.5723069479342126E-2</v>
      </c>
    </row>
    <row r="57" spans="1:26" s="24" customFormat="1" hidden="1" outlineLevel="2" x14ac:dyDescent="0.25">
      <c r="A57" s="25"/>
      <c r="B57" s="11" t="str">
        <f>CONCATENATE("          ", "6321", " - ", "BUILDING DEPRECIATION")</f>
        <v xml:space="preserve">          6321 - BUILDING DEPRECIATION</v>
      </c>
      <c r="C57" s="11"/>
      <c r="D57" s="7">
        <v>23583.49</v>
      </c>
      <c r="E57" s="2"/>
      <c r="F57" s="6">
        <f t="shared" si="29"/>
        <v>0.38188949028212404</v>
      </c>
      <c r="G57" s="2"/>
      <c r="H57" s="7"/>
      <c r="I57" s="2"/>
      <c r="J57" s="6">
        <f t="shared" si="30"/>
        <v>0</v>
      </c>
      <c r="K57" s="2"/>
      <c r="L57" s="7">
        <f t="shared" si="31"/>
        <v>23583.49</v>
      </c>
      <c r="M57" s="2"/>
      <c r="N57" s="6">
        <f t="shared" si="32"/>
        <v>0</v>
      </c>
      <c r="O57" s="11"/>
      <c r="P57" s="7">
        <v>260202.58</v>
      </c>
      <c r="Q57" s="2"/>
      <c r="R57" s="6">
        <f t="shared" si="33"/>
        <v>0.50195813818666346</v>
      </c>
      <c r="S57" s="2"/>
      <c r="T57" s="7"/>
      <c r="U57" s="2"/>
      <c r="V57" s="6">
        <f t="shared" si="34"/>
        <v>0</v>
      </c>
      <c r="W57" s="2"/>
      <c r="X57" s="7">
        <f t="shared" si="35"/>
        <v>260202.58</v>
      </c>
      <c r="Y57" s="2"/>
      <c r="Z57" s="6">
        <f t="shared" si="36"/>
        <v>0</v>
      </c>
    </row>
    <row r="58" spans="1:26" s="24" customFormat="1" hidden="1" outlineLevel="2" x14ac:dyDescent="0.25">
      <c r="A58" s="25"/>
      <c r="B58" s="11" t="str">
        <f>CONCATENATE("          ", "6322", " - ", "EQUIPMENT DEPRECIATION EXPENSE")</f>
        <v xml:space="preserve">          6322 - EQUIPMENT DEPRECIATION EXPENSE</v>
      </c>
      <c r="C58" s="11"/>
      <c r="D58" s="7">
        <v>13137.24</v>
      </c>
      <c r="E58" s="2"/>
      <c r="F58" s="6">
        <f t="shared" si="29"/>
        <v>0.21273246187540226</v>
      </c>
      <c r="G58" s="2"/>
      <c r="H58" s="7">
        <v>37167</v>
      </c>
      <c r="I58" s="2"/>
      <c r="J58" s="6">
        <f t="shared" si="30"/>
        <v>2.8382588774341353</v>
      </c>
      <c r="K58" s="2"/>
      <c r="L58" s="7">
        <f t="shared" si="31"/>
        <v>-24029.760000000002</v>
      </c>
      <c r="M58" s="2"/>
      <c r="N58" s="6">
        <f t="shared" si="32"/>
        <v>-0.64653482928404238</v>
      </c>
      <c r="O58" s="11"/>
      <c r="P58" s="7">
        <v>146549.26999999999</v>
      </c>
      <c r="Q58" s="2"/>
      <c r="R58" s="6">
        <f t="shared" si="33"/>
        <v>0.28270895208577357</v>
      </c>
      <c r="S58" s="2"/>
      <c r="T58" s="7">
        <v>411441</v>
      </c>
      <c r="U58" s="2"/>
      <c r="V58" s="6">
        <f t="shared" si="34"/>
        <v>1.8467245674274557</v>
      </c>
      <c r="W58" s="2"/>
      <c r="X58" s="7">
        <f t="shared" si="35"/>
        <v>-264891.73</v>
      </c>
      <c r="Y58" s="2"/>
      <c r="Z58" s="6">
        <f t="shared" si="36"/>
        <v>-0.64381461740565471</v>
      </c>
    </row>
    <row r="59" spans="1:26" s="24" customFormat="1" hidden="1" outlineLevel="2" x14ac:dyDescent="0.25">
      <c r="A59" s="25"/>
      <c r="B59" s="11" t="str">
        <f>CONCATENATE("          ", "6326", " - ", "VEHICLES DEPRECIATION EXPENSE")</f>
        <v xml:space="preserve">          6326 - VEHICLES DEPRECIATION EXPENSE</v>
      </c>
      <c r="C59" s="11"/>
      <c r="D59" s="7"/>
      <c r="E59" s="2"/>
      <c r="F59" s="6">
        <f t="shared" si="29"/>
        <v>0</v>
      </c>
      <c r="G59" s="2"/>
      <c r="H59" s="7">
        <v>550</v>
      </c>
      <c r="I59" s="2"/>
      <c r="J59" s="6">
        <f t="shared" si="30"/>
        <v>4.2000763650248185E-2</v>
      </c>
      <c r="K59" s="2"/>
      <c r="L59" s="7">
        <f t="shared" si="31"/>
        <v>-550</v>
      </c>
      <c r="M59" s="2"/>
      <c r="N59" s="6">
        <f t="shared" si="32"/>
        <v>-1</v>
      </c>
      <c r="O59" s="11"/>
      <c r="P59" s="7"/>
      <c r="Q59" s="2"/>
      <c r="R59" s="6">
        <f t="shared" si="33"/>
        <v>0</v>
      </c>
      <c r="S59" s="2"/>
      <c r="T59" s="7">
        <v>6050</v>
      </c>
      <c r="U59" s="2"/>
      <c r="V59" s="6">
        <f t="shared" si="34"/>
        <v>2.7155007966965149E-2</v>
      </c>
      <c r="W59" s="2"/>
      <c r="X59" s="7">
        <f t="shared" si="35"/>
        <v>-6050</v>
      </c>
      <c r="Y59" s="2"/>
      <c r="Z59" s="6">
        <f t="shared" si="36"/>
        <v>-1</v>
      </c>
    </row>
    <row r="60" spans="1:26" s="27" customFormat="1" outlineLevel="1" collapsed="1" x14ac:dyDescent="0.25">
      <c r="A60" s="26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SUM(OSRRefD22_6x_0)</f>
        <v>0</v>
      </c>
      <c r="E60" s="1"/>
      <c r="F60" s="5">
        <f t="shared" ref="F60:F78" si="37">IF(D$12=0,0,D60/D$12)</f>
        <v>0</v>
      </c>
      <c r="G60" s="1"/>
      <c r="H60" s="1">
        <f>SUM(OSRRefH22_6x_0)</f>
        <v>100</v>
      </c>
      <c r="I60" s="1"/>
      <c r="J60" s="5">
        <f t="shared" ref="J60:J78" si="38">IF(H$12=0,0,H60/H$12)</f>
        <v>7.6365024818633069E-3</v>
      </c>
      <c r="K60" s="1"/>
      <c r="L60" s="1">
        <f t="shared" ref="L60:L78" si="39">+D60-H60</f>
        <v>-100</v>
      </c>
      <c r="M60" s="1"/>
      <c r="N60" s="5">
        <f t="shared" ref="N60:N78" si="40">IF(H60=0,0,L60/H60)</f>
        <v>-1</v>
      </c>
      <c r="O60" s="13"/>
      <c r="P60" s="1">
        <f>SUM(OSRRefP22_6x_0)</f>
        <v>10</v>
      </c>
      <c r="Q60" s="1"/>
      <c r="R60" s="5">
        <f t="shared" ref="R60:R78" si="41">IF(P$12=0,0,P60/P$12)</f>
        <v>1.9291051540944119E-5</v>
      </c>
      <c r="S60" s="1"/>
      <c r="T60" s="1">
        <f>SUM(OSRRefT22_6x_0)</f>
        <v>200</v>
      </c>
      <c r="U60" s="1"/>
      <c r="V60" s="5">
        <f t="shared" ref="V60:V78" si="42">IF(T$12=0,0,T60/T$12)</f>
        <v>8.9768621378397183E-4</v>
      </c>
      <c r="W60" s="1"/>
      <c r="X60" s="1">
        <f t="shared" ref="X60:X78" si="43">+P60-T60</f>
        <v>-190</v>
      </c>
      <c r="Y60" s="1"/>
      <c r="Z60" s="5">
        <f t="shared" ref="Z60:Z78" si="44">IF(T60=0,0,X60/T60)</f>
        <v>-0.95</v>
      </c>
    </row>
    <row r="61" spans="1:26" s="24" customFormat="1" hidden="1" outlineLevel="2" x14ac:dyDescent="0.25">
      <c r="A61" s="25"/>
      <c r="B61" s="11" t="str">
        <f>CONCATENATE("          ", "6277", " - ", "EMPLOYEE APPRECIATION")</f>
        <v xml:space="preserve">          6277 - EMPLOYEE APPRECIATION</v>
      </c>
      <c r="C61" s="11"/>
      <c r="D61" s="7"/>
      <c r="E61" s="2"/>
      <c r="F61" s="6">
        <f t="shared" si="37"/>
        <v>0</v>
      </c>
      <c r="G61" s="2"/>
      <c r="H61" s="7">
        <v>100</v>
      </c>
      <c r="I61" s="2"/>
      <c r="J61" s="6">
        <f t="shared" si="38"/>
        <v>7.6365024818633069E-3</v>
      </c>
      <c r="K61" s="2"/>
      <c r="L61" s="7">
        <f t="shared" si="39"/>
        <v>-100</v>
      </c>
      <c r="M61" s="2"/>
      <c r="N61" s="6">
        <f t="shared" si="40"/>
        <v>-1</v>
      </c>
      <c r="O61" s="11"/>
      <c r="P61" s="7">
        <v>10</v>
      </c>
      <c r="Q61" s="2"/>
      <c r="R61" s="6">
        <f t="shared" si="41"/>
        <v>1.9291051540944119E-5</v>
      </c>
      <c r="S61" s="2"/>
      <c r="T61" s="7">
        <v>200</v>
      </c>
      <c r="U61" s="2"/>
      <c r="V61" s="6">
        <f t="shared" si="42"/>
        <v>8.9768621378397183E-4</v>
      </c>
      <c r="W61" s="2"/>
      <c r="X61" s="7">
        <f t="shared" si="43"/>
        <v>-190</v>
      </c>
      <c r="Y61" s="2"/>
      <c r="Z61" s="6">
        <f t="shared" si="44"/>
        <v>-0.95</v>
      </c>
    </row>
    <row r="62" spans="1:26" s="27" customFormat="1" outlineLevel="1" collapsed="1" x14ac:dyDescent="0.25">
      <c r="A62" s="26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SUM(OSRRefD22_7x_0)</f>
        <v>1064.6099999999999</v>
      </c>
      <c r="E62" s="1"/>
      <c r="F62" s="5">
        <f t="shared" si="37"/>
        <v>1.7239321671612302E-2</v>
      </c>
      <c r="G62" s="1"/>
      <c r="H62" s="1">
        <f>SUM(OSRRefH22_7x_0)</f>
        <v>354.33333333333297</v>
      </c>
      <c r="I62" s="1"/>
      <c r="J62" s="5">
        <f t="shared" si="38"/>
        <v>2.7058673794068955E-2</v>
      </c>
      <c r="K62" s="1"/>
      <c r="L62" s="1">
        <f t="shared" si="39"/>
        <v>710.27666666666687</v>
      </c>
      <c r="M62" s="1"/>
      <c r="N62" s="5">
        <f t="shared" si="40"/>
        <v>2.0045437441204164</v>
      </c>
      <c r="O62" s="13"/>
      <c r="P62" s="1">
        <f>SUM(OSRRefP22_7x_0)</f>
        <v>6516.43</v>
      </c>
      <c r="Q62" s="1"/>
      <c r="R62" s="5">
        <f t="shared" si="41"/>
        <v>1.2570878699295449E-2</v>
      </c>
      <c r="S62" s="1"/>
      <c r="T62" s="1">
        <f>SUM(OSRRefT22_7x_0)</f>
        <v>3641.6666666666601</v>
      </c>
      <c r="U62" s="1"/>
      <c r="V62" s="5">
        <f t="shared" si="42"/>
        <v>1.6345369809316456E-2</v>
      </c>
      <c r="W62" s="1"/>
      <c r="X62" s="1">
        <f t="shared" si="43"/>
        <v>2874.7633333333401</v>
      </c>
      <c r="Y62" s="1"/>
      <c r="Z62" s="5">
        <f t="shared" si="44"/>
        <v>0.78940869565217719</v>
      </c>
    </row>
    <row r="63" spans="1:26" s="24" customFormat="1" hidden="1" outlineLevel="2" x14ac:dyDescent="0.25">
      <c r="A63" s="25"/>
      <c r="B63" s="11" t="str">
        <f>CONCATENATE("          ", "6351", " - ", "EQUIPMENT RENTAL")</f>
        <v xml:space="preserve">          6351 - EQUIPMENT RENTAL</v>
      </c>
      <c r="C63" s="11"/>
      <c r="D63" s="7">
        <v>1064.6099999999999</v>
      </c>
      <c r="E63" s="2"/>
      <c r="F63" s="6">
        <f t="shared" si="37"/>
        <v>1.7239321671612302E-2</v>
      </c>
      <c r="G63" s="2"/>
      <c r="H63" s="7">
        <v>354.33333333333297</v>
      </c>
      <c r="I63" s="2"/>
      <c r="J63" s="6">
        <f t="shared" si="38"/>
        <v>2.7058673794068955E-2</v>
      </c>
      <c r="K63" s="2"/>
      <c r="L63" s="7">
        <f t="shared" si="39"/>
        <v>710.27666666666687</v>
      </c>
      <c r="M63" s="2"/>
      <c r="N63" s="6">
        <f t="shared" si="40"/>
        <v>2.0045437441204164</v>
      </c>
      <c r="O63" s="11"/>
      <c r="P63" s="7">
        <v>6516.43</v>
      </c>
      <c r="Q63" s="2"/>
      <c r="R63" s="6">
        <f t="shared" si="41"/>
        <v>1.2570878699295449E-2</v>
      </c>
      <c r="S63" s="2"/>
      <c r="T63" s="7">
        <v>3641.6666666666601</v>
      </c>
      <c r="U63" s="2"/>
      <c r="V63" s="6">
        <f t="shared" si="42"/>
        <v>1.6345369809316456E-2</v>
      </c>
      <c r="W63" s="2"/>
      <c r="X63" s="7">
        <f t="shared" si="43"/>
        <v>2874.7633333333401</v>
      </c>
      <c r="Y63" s="2"/>
      <c r="Z63" s="6">
        <f t="shared" si="44"/>
        <v>0.78940869565217719</v>
      </c>
    </row>
    <row r="64" spans="1:26" s="27" customFormat="1" outlineLevel="1" collapsed="1" x14ac:dyDescent="0.25">
      <c r="A64" s="26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SUM(OSRRefD22_8x_0)</f>
        <v>0</v>
      </c>
      <c r="E64" s="1"/>
      <c r="F64" s="5">
        <f t="shared" si="37"/>
        <v>0</v>
      </c>
      <c r="G64" s="1"/>
      <c r="H64" s="1">
        <f>SUM(OSRRefH22_8x_0)</f>
        <v>0</v>
      </c>
      <c r="I64" s="1"/>
      <c r="J64" s="5">
        <f t="shared" si="38"/>
        <v>0</v>
      </c>
      <c r="K64" s="1"/>
      <c r="L64" s="1">
        <f t="shared" si="39"/>
        <v>0</v>
      </c>
      <c r="M64" s="1"/>
      <c r="N64" s="5">
        <f t="shared" si="40"/>
        <v>0</v>
      </c>
      <c r="O64" s="13"/>
      <c r="P64" s="1">
        <f>SUM(OSRRefP22_8x_0)</f>
        <v>-2.4500000000000002</v>
      </c>
      <c r="Q64" s="1"/>
      <c r="R64" s="5">
        <f t="shared" si="41"/>
        <v>-4.7263076275313097E-6</v>
      </c>
      <c r="S64" s="1"/>
      <c r="T64" s="1">
        <f>SUM(OSRRefT22_8x_0)</f>
        <v>0</v>
      </c>
      <c r="U64" s="1"/>
      <c r="V64" s="5">
        <f t="shared" si="42"/>
        <v>0</v>
      </c>
      <c r="W64" s="1"/>
      <c r="X64" s="1">
        <f t="shared" si="43"/>
        <v>-2.4500000000000002</v>
      </c>
      <c r="Y64" s="1"/>
      <c r="Z64" s="5">
        <f t="shared" si="44"/>
        <v>0</v>
      </c>
    </row>
    <row r="65" spans="1:26" s="24" customFormat="1" hidden="1" outlineLevel="2" x14ac:dyDescent="0.25">
      <c r="A65" s="25"/>
      <c r="B65" s="11" t="str">
        <f>CONCATENATE("          ", "6307", " - ", "POSTAGE")</f>
        <v xml:space="preserve">          6307 - POSTAGE</v>
      </c>
      <c r="C65" s="11"/>
      <c r="D65" s="7"/>
      <c r="E65" s="2"/>
      <c r="F65" s="6">
        <f t="shared" si="37"/>
        <v>0</v>
      </c>
      <c r="G65" s="2"/>
      <c r="H65" s="7"/>
      <c r="I65" s="2"/>
      <c r="J65" s="6">
        <f t="shared" si="38"/>
        <v>0</v>
      </c>
      <c r="K65" s="2"/>
      <c r="L65" s="7">
        <f t="shared" si="39"/>
        <v>0</v>
      </c>
      <c r="M65" s="2"/>
      <c r="N65" s="6">
        <f t="shared" si="40"/>
        <v>0</v>
      </c>
      <c r="O65" s="11"/>
      <c r="P65" s="7">
        <v>-2.4500000000000002</v>
      </c>
      <c r="Q65" s="2"/>
      <c r="R65" s="6">
        <f t="shared" si="41"/>
        <v>-4.7263076275313097E-6</v>
      </c>
      <c r="S65" s="2"/>
      <c r="T65" s="7"/>
      <c r="U65" s="2"/>
      <c r="V65" s="6">
        <f t="shared" si="42"/>
        <v>0</v>
      </c>
      <c r="W65" s="2"/>
      <c r="X65" s="7">
        <f t="shared" si="43"/>
        <v>-2.4500000000000002</v>
      </c>
      <c r="Y65" s="2"/>
      <c r="Z65" s="6">
        <f t="shared" si="44"/>
        <v>0</v>
      </c>
    </row>
    <row r="66" spans="1:26" s="27" customFormat="1" outlineLevel="1" collapsed="1" x14ac:dyDescent="0.25">
      <c r="A66" s="26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SUM(OSRRefD22_9x_0)</f>
        <v>0</v>
      </c>
      <c r="E66" s="1"/>
      <c r="F66" s="5">
        <f t="shared" si="37"/>
        <v>0</v>
      </c>
      <c r="G66" s="1"/>
      <c r="H66" s="1">
        <f>SUM(OSRRefH22_9x_0)</f>
        <v>0</v>
      </c>
      <c r="I66" s="1"/>
      <c r="J66" s="5">
        <f t="shared" si="38"/>
        <v>0</v>
      </c>
      <c r="K66" s="1"/>
      <c r="L66" s="1">
        <f t="shared" si="39"/>
        <v>0</v>
      </c>
      <c r="M66" s="1"/>
      <c r="N66" s="5">
        <f t="shared" si="40"/>
        <v>0</v>
      </c>
      <c r="O66" s="13"/>
      <c r="P66" s="1">
        <f>SUM(OSRRefP22_9x_0)</f>
        <v>7630.48</v>
      </c>
      <c r="Q66" s="1"/>
      <c r="R66" s="5">
        <f t="shared" si="41"/>
        <v>1.4719998296214327E-2</v>
      </c>
      <c r="S66" s="1"/>
      <c r="T66" s="1">
        <f>SUM(OSRRefT22_9x_0)</f>
        <v>6610</v>
      </c>
      <c r="U66" s="1"/>
      <c r="V66" s="5">
        <f t="shared" si="42"/>
        <v>2.9668529365560269E-2</v>
      </c>
      <c r="W66" s="1"/>
      <c r="X66" s="1">
        <f t="shared" si="43"/>
        <v>1020.4799999999996</v>
      </c>
      <c r="Y66" s="1"/>
      <c r="Z66" s="5">
        <f t="shared" si="44"/>
        <v>0.15438426626323745</v>
      </c>
    </row>
    <row r="67" spans="1:26" s="24" customFormat="1" hidden="1" outlineLevel="2" x14ac:dyDescent="0.25">
      <c r="A67" s="25"/>
      <c r="B67" s="11" t="str">
        <f>CONCATENATE("          ", "6279", " - ", "GENERAL EXPENSE")</f>
        <v xml:space="preserve">          6279 - GENERAL EXPENSE</v>
      </c>
      <c r="C67" s="11"/>
      <c r="D67" s="7"/>
      <c r="E67" s="2"/>
      <c r="F67" s="6">
        <f t="shared" si="37"/>
        <v>0</v>
      </c>
      <c r="G67" s="2"/>
      <c r="H67" s="7">
        <v>0</v>
      </c>
      <c r="I67" s="2"/>
      <c r="J67" s="6">
        <f t="shared" si="38"/>
        <v>0</v>
      </c>
      <c r="K67" s="2"/>
      <c r="L67" s="7">
        <f t="shared" si="39"/>
        <v>0</v>
      </c>
      <c r="M67" s="2"/>
      <c r="N67" s="6">
        <f t="shared" si="40"/>
        <v>0</v>
      </c>
      <c r="O67" s="11"/>
      <c r="P67" s="7">
        <v>7630.48</v>
      </c>
      <c r="Q67" s="2"/>
      <c r="R67" s="6">
        <f t="shared" si="41"/>
        <v>1.4719998296214327E-2</v>
      </c>
      <c r="S67" s="2"/>
      <c r="T67" s="7">
        <v>6610</v>
      </c>
      <c r="U67" s="2"/>
      <c r="V67" s="6">
        <f t="shared" si="42"/>
        <v>2.9668529365560269E-2</v>
      </c>
      <c r="W67" s="2"/>
      <c r="X67" s="7">
        <f t="shared" si="43"/>
        <v>1020.4799999999996</v>
      </c>
      <c r="Y67" s="2"/>
      <c r="Z67" s="6">
        <f t="shared" si="44"/>
        <v>0.15438426626323745</v>
      </c>
    </row>
    <row r="68" spans="1:26" s="27" customFormat="1" outlineLevel="1" collapsed="1" x14ac:dyDescent="0.25">
      <c r="A68" s="26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SUM(OSRRefD22_10x_0)</f>
        <v>4240.13</v>
      </c>
      <c r="E68" s="1"/>
      <c r="F68" s="5">
        <f t="shared" si="37"/>
        <v>6.8660791275165056E-2</v>
      </c>
      <c r="G68" s="1"/>
      <c r="H68" s="1">
        <f>SUM(OSRRefH22_10x_0)</f>
        <v>4565</v>
      </c>
      <c r="I68" s="1"/>
      <c r="J68" s="5">
        <f t="shared" si="38"/>
        <v>0.34860633829705995</v>
      </c>
      <c r="K68" s="1"/>
      <c r="L68" s="1">
        <f t="shared" si="39"/>
        <v>-324.86999999999989</v>
      </c>
      <c r="M68" s="1"/>
      <c r="N68" s="5">
        <f t="shared" si="40"/>
        <v>-7.1165388828039411E-2</v>
      </c>
      <c r="O68" s="13"/>
      <c r="P68" s="1">
        <f>SUM(OSRRefP22_10x_0)</f>
        <v>52753.43</v>
      </c>
      <c r="Q68" s="1"/>
      <c r="R68" s="5">
        <f t="shared" si="41"/>
        <v>0.10176691370915877</v>
      </c>
      <c r="S68" s="1"/>
      <c r="T68" s="1">
        <f>SUM(OSRRefT22_10x_0)</f>
        <v>50215</v>
      </c>
      <c r="U68" s="1"/>
      <c r="V68" s="5">
        <f t="shared" si="42"/>
        <v>0.22538656612581073</v>
      </c>
      <c r="W68" s="1"/>
      <c r="X68" s="1">
        <f t="shared" si="43"/>
        <v>2538.4300000000003</v>
      </c>
      <c r="Y68" s="1"/>
      <c r="Z68" s="5">
        <f t="shared" si="44"/>
        <v>5.0551229712237383E-2</v>
      </c>
    </row>
    <row r="69" spans="1:26" s="24" customFormat="1" hidden="1" outlineLevel="2" x14ac:dyDescent="0.25">
      <c r="A69" s="25"/>
      <c r="B69" s="11" t="str">
        <f>CONCATENATE("          ", "6314", " - ", "LIABILITY INSURANCE")</f>
        <v xml:space="preserve">          6314 - LIABILITY INSURANCE</v>
      </c>
      <c r="C69" s="11"/>
      <c r="D69" s="7">
        <v>4240.13</v>
      </c>
      <c r="E69" s="2"/>
      <c r="F69" s="6">
        <f t="shared" si="37"/>
        <v>6.8660791275165056E-2</v>
      </c>
      <c r="G69" s="2"/>
      <c r="H69" s="7">
        <v>4565</v>
      </c>
      <c r="I69" s="2"/>
      <c r="J69" s="6">
        <f t="shared" si="38"/>
        <v>0.34860633829705995</v>
      </c>
      <c r="K69" s="2"/>
      <c r="L69" s="7">
        <f t="shared" si="39"/>
        <v>-324.86999999999989</v>
      </c>
      <c r="M69" s="2"/>
      <c r="N69" s="6">
        <f t="shared" si="40"/>
        <v>-7.1165388828039411E-2</v>
      </c>
      <c r="O69" s="11"/>
      <c r="P69" s="7">
        <v>52753.43</v>
      </c>
      <c r="Q69" s="2"/>
      <c r="R69" s="6">
        <f t="shared" si="41"/>
        <v>0.10176691370915877</v>
      </c>
      <c r="S69" s="2"/>
      <c r="T69" s="7">
        <v>50215</v>
      </c>
      <c r="U69" s="2"/>
      <c r="V69" s="6">
        <f t="shared" si="42"/>
        <v>0.22538656612581073</v>
      </c>
      <c r="W69" s="2"/>
      <c r="X69" s="7">
        <f t="shared" si="43"/>
        <v>2538.4300000000003</v>
      </c>
      <c r="Y69" s="2"/>
      <c r="Z69" s="6">
        <f t="shared" si="44"/>
        <v>5.0551229712237383E-2</v>
      </c>
    </row>
    <row r="70" spans="1:26" s="27" customFormat="1" outlineLevel="1" collapsed="1" x14ac:dyDescent="0.25">
      <c r="A70" s="26"/>
      <c r="B70" s="13" t="str">
        <f>CONCATENATE("     ","Interest                                          ")</f>
        <v xml:space="preserve">     Interest                                          </v>
      </c>
      <c r="C70" s="13"/>
      <c r="D70" s="1">
        <f>SUM(OSRRefD22_11x_0)</f>
        <v>7510</v>
      </c>
      <c r="E70" s="1"/>
      <c r="F70" s="5">
        <f t="shared" si="37"/>
        <v>0.12161007857695155</v>
      </c>
      <c r="G70" s="1"/>
      <c r="H70" s="1">
        <f>SUM(OSRRefH22_11x_0)</f>
        <v>7253</v>
      </c>
      <c r="I70" s="1"/>
      <c r="J70" s="5">
        <f t="shared" si="38"/>
        <v>0.55387552500954562</v>
      </c>
      <c r="K70" s="1"/>
      <c r="L70" s="1">
        <f t="shared" si="39"/>
        <v>257</v>
      </c>
      <c r="M70" s="1"/>
      <c r="N70" s="5">
        <f t="shared" si="40"/>
        <v>3.5433613677099129E-2</v>
      </c>
      <c r="O70" s="13"/>
      <c r="P70" s="1">
        <f>SUM(OSRRefP22_11x_0)</f>
        <v>80580.149999999994</v>
      </c>
      <c r="Q70" s="1"/>
      <c r="R70" s="5">
        <f t="shared" si="41"/>
        <v>0.15544758268270081</v>
      </c>
      <c r="S70" s="1"/>
      <c r="T70" s="1">
        <f>SUM(OSRRefT22_11x_0)</f>
        <v>82353</v>
      </c>
      <c r="U70" s="1"/>
      <c r="V70" s="5">
        <f t="shared" si="42"/>
        <v>0.36963576381875718</v>
      </c>
      <c r="W70" s="1"/>
      <c r="X70" s="1">
        <f t="shared" si="43"/>
        <v>-1772.8500000000058</v>
      </c>
      <c r="Y70" s="1"/>
      <c r="Z70" s="5">
        <f t="shared" si="44"/>
        <v>-2.1527448908965137E-2</v>
      </c>
    </row>
    <row r="71" spans="1:26" s="24" customFormat="1" hidden="1" outlineLevel="2" x14ac:dyDescent="0.25">
      <c r="A71" s="25"/>
      <c r="B71" s="11" t="str">
        <f>CONCATENATE("          ", "6401", " - ", "INTEREST EXPENSE")</f>
        <v xml:space="preserve">          6401 - INTEREST EXPENSE</v>
      </c>
      <c r="C71" s="11"/>
      <c r="D71" s="7">
        <v>7510</v>
      </c>
      <c r="E71" s="2"/>
      <c r="F71" s="6">
        <f t="shared" si="37"/>
        <v>0.12161007857695155</v>
      </c>
      <c r="G71" s="2"/>
      <c r="H71" s="7">
        <v>7253</v>
      </c>
      <c r="I71" s="2"/>
      <c r="J71" s="6">
        <f t="shared" si="38"/>
        <v>0.55387552500954562</v>
      </c>
      <c r="K71" s="2"/>
      <c r="L71" s="7">
        <f t="shared" si="39"/>
        <v>257</v>
      </c>
      <c r="M71" s="2"/>
      <c r="N71" s="6">
        <f t="shared" si="40"/>
        <v>3.5433613677099129E-2</v>
      </c>
      <c r="O71" s="11"/>
      <c r="P71" s="7">
        <v>80580.149999999994</v>
      </c>
      <c r="Q71" s="2"/>
      <c r="R71" s="6">
        <f t="shared" si="41"/>
        <v>0.15544758268270081</v>
      </c>
      <c r="S71" s="2"/>
      <c r="T71" s="7">
        <v>82353</v>
      </c>
      <c r="U71" s="2"/>
      <c r="V71" s="6">
        <f t="shared" si="42"/>
        <v>0.36963576381875718</v>
      </c>
      <c r="W71" s="2"/>
      <c r="X71" s="7">
        <f t="shared" si="43"/>
        <v>-1772.8500000000058</v>
      </c>
      <c r="Y71" s="2"/>
      <c r="Z71" s="6">
        <f t="shared" si="44"/>
        <v>-2.1527448908965137E-2</v>
      </c>
    </row>
    <row r="72" spans="1:26" s="27" customFormat="1" outlineLevel="1" collapsed="1" x14ac:dyDescent="0.25">
      <c r="A72" s="26"/>
      <c r="B72" s="13" t="str">
        <f>CONCATENATE("     ","Rent                                              ")</f>
        <v xml:space="preserve">     Rent                                              </v>
      </c>
      <c r="C72" s="13"/>
      <c r="D72" s="1">
        <f>SUM(OSRRefD22_12x_0)</f>
        <v>1850</v>
      </c>
      <c r="E72" s="1"/>
      <c r="F72" s="5">
        <f t="shared" si="37"/>
        <v>2.9957209769288999E-2</v>
      </c>
      <c r="G72" s="1"/>
      <c r="H72" s="1">
        <f>SUM(OSRRefH22_12x_0)</f>
        <v>1943</v>
      </c>
      <c r="I72" s="1"/>
      <c r="J72" s="5">
        <f t="shared" si="38"/>
        <v>0.14837724322260404</v>
      </c>
      <c r="K72" s="1"/>
      <c r="L72" s="1">
        <f t="shared" si="39"/>
        <v>-93</v>
      </c>
      <c r="M72" s="1"/>
      <c r="N72" s="5">
        <f t="shared" si="40"/>
        <v>-4.7864127637673698E-2</v>
      </c>
      <c r="O72" s="13"/>
      <c r="P72" s="1">
        <f>SUM(OSRRefP22_12x_0)</f>
        <v>14800</v>
      </c>
      <c r="Q72" s="1"/>
      <c r="R72" s="5">
        <f t="shared" si="41"/>
        <v>2.8550756280597295E-2</v>
      </c>
      <c r="S72" s="1"/>
      <c r="T72" s="1">
        <f>SUM(OSRRefT22_12x_0)</f>
        <v>21373</v>
      </c>
      <c r="U72" s="1"/>
      <c r="V72" s="5">
        <f t="shared" si="42"/>
        <v>9.5931237236024147E-2</v>
      </c>
      <c r="W72" s="1"/>
      <c r="X72" s="1">
        <f t="shared" si="43"/>
        <v>-6573</v>
      </c>
      <c r="Y72" s="1"/>
      <c r="Z72" s="5">
        <f t="shared" si="44"/>
        <v>-0.3075375473728536</v>
      </c>
    </row>
    <row r="73" spans="1:26" s="24" customFormat="1" hidden="1" outlineLevel="2" x14ac:dyDescent="0.25">
      <c r="A73" s="25"/>
      <c r="B73" s="11" t="str">
        <f>CONCATENATE("          ", "6273", " - ", "RENT")</f>
        <v xml:space="preserve">          6273 - RENT</v>
      </c>
      <c r="C73" s="11"/>
      <c r="D73" s="7">
        <v>1850</v>
      </c>
      <c r="E73" s="2"/>
      <c r="F73" s="6">
        <f t="shared" si="37"/>
        <v>2.9957209769288999E-2</v>
      </c>
      <c r="G73" s="2"/>
      <c r="H73" s="7">
        <v>1943</v>
      </c>
      <c r="I73" s="2"/>
      <c r="J73" s="6">
        <f t="shared" si="38"/>
        <v>0.14837724322260404</v>
      </c>
      <c r="K73" s="2"/>
      <c r="L73" s="7">
        <f t="shared" si="39"/>
        <v>-93</v>
      </c>
      <c r="M73" s="2"/>
      <c r="N73" s="6">
        <f t="shared" si="40"/>
        <v>-4.7864127637673698E-2</v>
      </c>
      <c r="O73" s="11"/>
      <c r="P73" s="7">
        <v>14800</v>
      </c>
      <c r="Q73" s="2"/>
      <c r="R73" s="6">
        <f t="shared" si="41"/>
        <v>2.8550756280597295E-2</v>
      </c>
      <c r="S73" s="2"/>
      <c r="T73" s="7">
        <v>21373</v>
      </c>
      <c r="U73" s="2"/>
      <c r="V73" s="6">
        <f t="shared" si="42"/>
        <v>9.5931237236024147E-2</v>
      </c>
      <c r="W73" s="2"/>
      <c r="X73" s="7">
        <f t="shared" si="43"/>
        <v>-6573</v>
      </c>
      <c r="Y73" s="2"/>
      <c r="Z73" s="6">
        <f t="shared" si="44"/>
        <v>-0.3075375473728536</v>
      </c>
    </row>
    <row r="74" spans="1:26" s="27" customFormat="1" outlineLevel="1" collapsed="1" x14ac:dyDescent="0.25">
      <c r="A74" s="26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SUM(OSRRefD22_13x_0)</f>
        <v>8411.0500000000011</v>
      </c>
      <c r="E74" s="1"/>
      <c r="F74" s="5">
        <f t="shared" si="37"/>
        <v>0.13620085904323148</v>
      </c>
      <c r="G74" s="1"/>
      <c r="H74" s="1">
        <f>SUM(OSRRefH22_13x_0)</f>
        <v>1000</v>
      </c>
      <c r="I74" s="1"/>
      <c r="J74" s="5">
        <f t="shared" si="38"/>
        <v>7.6365024818633068E-2</v>
      </c>
      <c r="K74" s="1"/>
      <c r="L74" s="1">
        <f t="shared" si="39"/>
        <v>7411.0500000000011</v>
      </c>
      <c r="M74" s="1"/>
      <c r="N74" s="5">
        <f t="shared" si="40"/>
        <v>7.4110500000000012</v>
      </c>
      <c r="O74" s="13"/>
      <c r="P74" s="1">
        <f>SUM(OSRRefP22_13x_0)</f>
        <v>52317.709999999992</v>
      </c>
      <c r="Q74" s="1"/>
      <c r="R74" s="5">
        <f t="shared" si="41"/>
        <v>0.10092636401141673</v>
      </c>
      <c r="S74" s="1"/>
      <c r="T74" s="1">
        <f>SUM(OSRRefT22_13x_0)</f>
        <v>24063</v>
      </c>
      <c r="U74" s="1"/>
      <c r="V74" s="5">
        <f t="shared" si="42"/>
        <v>0.10800511681141857</v>
      </c>
      <c r="W74" s="1"/>
      <c r="X74" s="1">
        <f t="shared" si="43"/>
        <v>28254.709999999992</v>
      </c>
      <c r="Y74" s="1"/>
      <c r="Z74" s="5">
        <f t="shared" si="44"/>
        <v>1.1741973153804592</v>
      </c>
    </row>
    <row r="75" spans="1:26" s="24" customFormat="1" hidden="1" outlineLevel="2" x14ac:dyDescent="0.25">
      <c r="A75" s="25"/>
      <c r="B75" s="11" t="str">
        <f>CONCATENATE("          ", "6371", " - ", "COMPUTER SOFTWARE MAINTENANCE")</f>
        <v xml:space="preserve">          6371 - COMPUTER SOFTWARE MAINTENANCE</v>
      </c>
      <c r="C75" s="11"/>
      <c r="D75" s="7">
        <v>8257.2000000000007</v>
      </c>
      <c r="E75" s="2"/>
      <c r="F75" s="6">
        <f t="shared" si="37"/>
        <v>0.13370955270647197</v>
      </c>
      <c r="G75" s="2"/>
      <c r="H75" s="7"/>
      <c r="I75" s="2"/>
      <c r="J75" s="6">
        <f t="shared" si="38"/>
        <v>0</v>
      </c>
      <c r="K75" s="2"/>
      <c r="L75" s="7">
        <f t="shared" si="39"/>
        <v>8257.2000000000007</v>
      </c>
      <c r="M75" s="2"/>
      <c r="N75" s="6">
        <f t="shared" si="40"/>
        <v>0</v>
      </c>
      <c r="O75" s="11"/>
      <c r="P75" s="7">
        <v>8959.4699999999993</v>
      </c>
      <c r="Q75" s="2"/>
      <c r="R75" s="6">
        <f t="shared" si="41"/>
        <v>1.7283759754954258E-2</v>
      </c>
      <c r="S75" s="2"/>
      <c r="T75" s="7">
        <v>0</v>
      </c>
      <c r="U75" s="2"/>
      <c r="V75" s="6">
        <f t="shared" si="42"/>
        <v>0</v>
      </c>
      <c r="W75" s="2"/>
      <c r="X75" s="7">
        <f t="shared" si="43"/>
        <v>8959.4699999999993</v>
      </c>
      <c r="Y75" s="2"/>
      <c r="Z75" s="6">
        <f t="shared" si="44"/>
        <v>0</v>
      </c>
    </row>
    <row r="76" spans="1:26" s="24" customFormat="1" hidden="1" outlineLevel="2" x14ac:dyDescent="0.25">
      <c r="A76" s="25"/>
      <c r="B76" s="11" t="str">
        <f>CONCATENATE("          ", "6372", " - ", "COMPUTER HARDWARE MAINTENANCE")</f>
        <v xml:space="preserve">          6372 - COMPUTER HARDWARE MAINTENANCE</v>
      </c>
      <c r="C76" s="11"/>
      <c r="D76" s="7"/>
      <c r="E76" s="2"/>
      <c r="F76" s="6">
        <f t="shared" si="37"/>
        <v>0</v>
      </c>
      <c r="G76" s="2"/>
      <c r="H76" s="7"/>
      <c r="I76" s="2"/>
      <c r="J76" s="6">
        <f t="shared" si="38"/>
        <v>0</v>
      </c>
      <c r="K76" s="2"/>
      <c r="L76" s="7">
        <f t="shared" si="39"/>
        <v>0</v>
      </c>
      <c r="M76" s="2"/>
      <c r="N76" s="6">
        <f t="shared" si="40"/>
        <v>0</v>
      </c>
      <c r="O76" s="11"/>
      <c r="P76" s="7">
        <v>100</v>
      </c>
      <c r="Q76" s="2"/>
      <c r="R76" s="6">
        <f t="shared" si="41"/>
        <v>1.9291051540944119E-4</v>
      </c>
      <c r="S76" s="2"/>
      <c r="T76" s="7">
        <v>0</v>
      </c>
      <c r="U76" s="2"/>
      <c r="V76" s="6">
        <f t="shared" si="42"/>
        <v>0</v>
      </c>
      <c r="W76" s="2"/>
      <c r="X76" s="7">
        <f t="shared" si="43"/>
        <v>100</v>
      </c>
      <c r="Y76" s="2"/>
      <c r="Z76" s="6">
        <f t="shared" si="44"/>
        <v>0</v>
      </c>
    </row>
    <row r="77" spans="1:26" s="24" customFormat="1" hidden="1" outlineLevel="2" x14ac:dyDescent="0.25">
      <c r="A77" s="25"/>
      <c r="B77" s="11" t="str">
        <f>CONCATENATE("          ", "6373", " - ", "MAINTENANCE CONTRACTS")</f>
        <v xml:space="preserve">          6373 - MAINTENANCE CONTRACTS</v>
      </c>
      <c r="C77" s="11"/>
      <c r="D77" s="7"/>
      <c r="E77" s="2"/>
      <c r="F77" s="6">
        <f t="shared" si="37"/>
        <v>0</v>
      </c>
      <c r="G77" s="2"/>
      <c r="H77" s="7">
        <v>0</v>
      </c>
      <c r="I77" s="2"/>
      <c r="J77" s="6">
        <f t="shared" si="38"/>
        <v>0</v>
      </c>
      <c r="K77" s="2"/>
      <c r="L77" s="7">
        <f t="shared" si="39"/>
        <v>0</v>
      </c>
      <c r="M77" s="2"/>
      <c r="N77" s="6">
        <f t="shared" si="40"/>
        <v>0</v>
      </c>
      <c r="O77" s="11"/>
      <c r="P77" s="7">
        <v>18223.8</v>
      </c>
      <c r="Q77" s="2"/>
      <c r="R77" s="6">
        <f t="shared" si="41"/>
        <v>3.515562650718574E-2</v>
      </c>
      <c r="S77" s="2"/>
      <c r="T77" s="7">
        <v>3769</v>
      </c>
      <c r="U77" s="2"/>
      <c r="V77" s="6">
        <f t="shared" si="42"/>
        <v>1.6916896698758947E-2</v>
      </c>
      <c r="W77" s="2"/>
      <c r="X77" s="7">
        <f t="shared" si="43"/>
        <v>14454.8</v>
      </c>
      <c r="Y77" s="2"/>
      <c r="Z77" s="6">
        <f t="shared" si="44"/>
        <v>3.8351817458211723</v>
      </c>
    </row>
    <row r="78" spans="1:26" s="24" customFormat="1" hidden="1" outlineLevel="2" x14ac:dyDescent="0.25">
      <c r="A78" s="25"/>
      <c r="B78" s="11" t="str">
        <f>CONCATENATE("          ", "6375", " - ", "OUTSIDE REPAIRS &amp; MAINTENANCE")</f>
        <v xml:space="preserve">          6375 - OUTSIDE REPAIRS &amp; MAINTENANCE</v>
      </c>
      <c r="C78" s="11"/>
      <c r="D78" s="7">
        <v>153.85</v>
      </c>
      <c r="E78" s="2"/>
      <c r="F78" s="6">
        <f t="shared" si="37"/>
        <v>2.49130633675952E-3</v>
      </c>
      <c r="G78" s="2"/>
      <c r="H78" s="7">
        <v>1000</v>
      </c>
      <c r="I78" s="2"/>
      <c r="J78" s="6">
        <f t="shared" si="38"/>
        <v>7.6365024818633068E-2</v>
      </c>
      <c r="K78" s="2"/>
      <c r="L78" s="7">
        <f t="shared" si="39"/>
        <v>-846.15</v>
      </c>
      <c r="M78" s="2"/>
      <c r="N78" s="6">
        <f t="shared" si="40"/>
        <v>-0.84614999999999996</v>
      </c>
      <c r="O78" s="11"/>
      <c r="P78" s="7">
        <v>25034.44</v>
      </c>
      <c r="Q78" s="2"/>
      <c r="R78" s="6">
        <f t="shared" si="41"/>
        <v>4.8294067233867304E-2</v>
      </c>
      <c r="S78" s="2"/>
      <c r="T78" s="7">
        <v>20294</v>
      </c>
      <c r="U78" s="2"/>
      <c r="V78" s="6">
        <f t="shared" si="42"/>
        <v>9.1088220112659615E-2</v>
      </c>
      <c r="W78" s="2"/>
      <c r="X78" s="7">
        <f t="shared" si="43"/>
        <v>4740.4399999999987</v>
      </c>
      <c r="Y78" s="2"/>
      <c r="Z78" s="6">
        <f t="shared" si="44"/>
        <v>0.23358825268552275</v>
      </c>
    </row>
    <row r="79" spans="1:26" s="27" customFormat="1" outlineLevel="1" collapsed="1" x14ac:dyDescent="0.25">
      <c r="A79" s="26"/>
      <c r="B79" s="13" t="str">
        <f>CONCATENATE("     ","Royalty &amp; Commissions                             ")</f>
        <v xml:space="preserve">     Royalty &amp; Commissions                             </v>
      </c>
      <c r="C79" s="13"/>
      <c r="D79" s="1">
        <f>SUM(OSRRefD22_14x_0)</f>
        <v>0</v>
      </c>
      <c r="E79" s="1"/>
      <c r="F79" s="5">
        <f t="shared" ref="F79:F81" si="45">IF(D$12=0,0,D79/D$12)</f>
        <v>0</v>
      </c>
      <c r="G79" s="1"/>
      <c r="H79" s="1">
        <f>SUM(OSRRefH22_14x_0)</f>
        <v>0</v>
      </c>
      <c r="I79" s="1"/>
      <c r="J79" s="5">
        <f t="shared" ref="J79:J81" si="46">IF(H$12=0,0,H79/H$12)</f>
        <v>0</v>
      </c>
      <c r="K79" s="1"/>
      <c r="L79" s="1">
        <f t="shared" ref="L79:L81" si="47">+D79-H79</f>
        <v>0</v>
      </c>
      <c r="M79" s="1"/>
      <c r="N79" s="5">
        <f t="shared" ref="N79:N81" si="48">IF(H79=0,0,L79/H79)</f>
        <v>0</v>
      </c>
      <c r="O79" s="13"/>
      <c r="P79" s="1">
        <f>SUM(OSRRefP22_14x_0)</f>
        <v>0</v>
      </c>
      <c r="Q79" s="1"/>
      <c r="R79" s="5">
        <f t="shared" ref="R79:R81" si="49">IF(P$12=0,0,P79/P$12)</f>
        <v>0</v>
      </c>
      <c r="S79" s="1"/>
      <c r="T79" s="1">
        <f>SUM(OSRRefT22_14x_0)</f>
        <v>0</v>
      </c>
      <c r="U79" s="1"/>
      <c r="V79" s="5">
        <f t="shared" ref="V79:V81" si="50">IF(T$12=0,0,T79/T$12)</f>
        <v>0</v>
      </c>
      <c r="W79" s="1"/>
      <c r="X79" s="1">
        <f t="shared" ref="X79:X81" si="51">+P79-T79</f>
        <v>0</v>
      </c>
      <c r="Y79" s="1"/>
      <c r="Z79" s="5">
        <f t="shared" ref="Z79:Z81" si="52">IF(T79=0,0,X79/T79)</f>
        <v>0</v>
      </c>
    </row>
    <row r="80" spans="1:26" s="24" customFormat="1" hidden="1" outlineLevel="2" x14ac:dyDescent="0.25">
      <c r="A80" s="25"/>
      <c r="B80" s="11" t="str">
        <f>CONCATENATE("          ", "6254", " - ", "ROYALTY &amp; COMMISSIONS")</f>
        <v xml:space="preserve">          6254 - ROYALTY &amp; COMMISSIONS</v>
      </c>
      <c r="C80" s="11"/>
      <c r="D80" s="7"/>
      <c r="E80" s="2"/>
      <c r="F80" s="6">
        <f t="shared" si="45"/>
        <v>0</v>
      </c>
      <c r="G80" s="2"/>
      <c r="H80" s="7">
        <v>0</v>
      </c>
      <c r="I80" s="2"/>
      <c r="J80" s="6">
        <f t="shared" si="46"/>
        <v>0</v>
      </c>
      <c r="K80" s="2"/>
      <c r="L80" s="7">
        <f t="shared" si="47"/>
        <v>0</v>
      </c>
      <c r="M80" s="2"/>
      <c r="N80" s="6">
        <f t="shared" si="48"/>
        <v>0</v>
      </c>
      <c r="O80" s="11"/>
      <c r="P80" s="7"/>
      <c r="Q80" s="2"/>
      <c r="R80" s="6">
        <f t="shared" si="49"/>
        <v>0</v>
      </c>
      <c r="S80" s="2"/>
      <c r="T80" s="7">
        <v>0</v>
      </c>
      <c r="U80" s="2"/>
      <c r="V80" s="6">
        <f t="shared" si="50"/>
        <v>0</v>
      </c>
      <c r="W80" s="2"/>
      <c r="X80" s="7">
        <f t="shared" si="51"/>
        <v>0</v>
      </c>
      <c r="Y80" s="2"/>
      <c r="Z80" s="6">
        <f t="shared" si="52"/>
        <v>0</v>
      </c>
    </row>
    <row r="81" spans="1:26" s="24" customFormat="1" hidden="1" outlineLevel="2" x14ac:dyDescent="0.25">
      <c r="A81" s="25"/>
      <c r="B81" s="11" t="str">
        <f>CONCATENATE("          ", "6259", " - ", "ROYALTY &amp; COMMISSIONS")</f>
        <v xml:space="preserve">          6259 - ROYALTY &amp; COMMISSIONS</v>
      </c>
      <c r="C81" s="11"/>
      <c r="D81" s="7"/>
      <c r="E81" s="2"/>
      <c r="F81" s="6">
        <f t="shared" si="45"/>
        <v>0</v>
      </c>
      <c r="G81" s="2"/>
      <c r="H81" s="7">
        <v>0</v>
      </c>
      <c r="I81" s="2"/>
      <c r="J81" s="6">
        <f t="shared" si="46"/>
        <v>0</v>
      </c>
      <c r="K81" s="2"/>
      <c r="L81" s="7">
        <f t="shared" si="47"/>
        <v>0</v>
      </c>
      <c r="M81" s="2"/>
      <c r="N81" s="6">
        <f t="shared" si="48"/>
        <v>0</v>
      </c>
      <c r="O81" s="11"/>
      <c r="P81" s="7"/>
      <c r="Q81" s="2"/>
      <c r="R81" s="6">
        <f t="shared" si="49"/>
        <v>0</v>
      </c>
      <c r="S81" s="2"/>
      <c r="T81" s="7">
        <v>0</v>
      </c>
      <c r="U81" s="2"/>
      <c r="V81" s="6">
        <f t="shared" si="50"/>
        <v>0</v>
      </c>
      <c r="W81" s="2"/>
      <c r="X81" s="7">
        <f t="shared" si="51"/>
        <v>0</v>
      </c>
      <c r="Y81" s="2"/>
      <c r="Z81" s="6">
        <f t="shared" si="52"/>
        <v>0</v>
      </c>
    </row>
    <row r="82" spans="1:26" s="27" customFormat="1" outlineLevel="1" collapsed="1" x14ac:dyDescent="0.25">
      <c r="A82" s="26"/>
      <c r="B82" s="13" t="str">
        <f>CONCATENATE("     ","Services                                          ")</f>
        <v xml:space="preserve">     Services                                          </v>
      </c>
      <c r="C82" s="13"/>
      <c r="D82" s="1">
        <f>SUM(OSRRefD22_15x_0)</f>
        <v>9165.6200000000008</v>
      </c>
      <c r="E82" s="1"/>
      <c r="F82" s="5">
        <f t="shared" ref="F82:F87" si="53">IF(D$12=0,0,D82/D$12)</f>
        <v>0.14841967621923818</v>
      </c>
      <c r="G82" s="1"/>
      <c r="H82" s="1">
        <f>SUM(OSRRefH22_15x_0)</f>
        <v>6717</v>
      </c>
      <c r="I82" s="1"/>
      <c r="J82" s="5">
        <f t="shared" ref="J82:J87" si="54">IF(H$12=0,0,H82/H$12)</f>
        <v>0.51294387170675826</v>
      </c>
      <c r="K82" s="1"/>
      <c r="L82" s="1">
        <f t="shared" ref="L82:L87" si="55">+D82-H82</f>
        <v>2448.6200000000008</v>
      </c>
      <c r="M82" s="1"/>
      <c r="N82" s="5">
        <f t="shared" ref="N82:N87" si="56">IF(H82=0,0,L82/H82)</f>
        <v>0.36454071758225409</v>
      </c>
      <c r="O82" s="13"/>
      <c r="P82" s="1">
        <f>SUM(OSRRefP22_15x_0)</f>
        <v>64046.85</v>
      </c>
      <c r="Q82" s="1"/>
      <c r="R82" s="5">
        <f t="shared" ref="R82:R87" si="57">IF(P$12=0,0,P82/P$12)</f>
        <v>0.12355310843851168</v>
      </c>
      <c r="S82" s="1"/>
      <c r="T82" s="1">
        <f>SUM(OSRRefT22_15x_0)</f>
        <v>79537</v>
      </c>
      <c r="U82" s="1"/>
      <c r="V82" s="5">
        <f t="shared" ref="V82:V87" si="58">IF(T$12=0,0,T82/T$12)</f>
        <v>0.35699634192867885</v>
      </c>
      <c r="W82" s="1"/>
      <c r="X82" s="1">
        <f t="shared" ref="X82:X87" si="59">+P82-T82</f>
        <v>-15490.150000000001</v>
      </c>
      <c r="Y82" s="1"/>
      <c r="Z82" s="5">
        <f t="shared" ref="Z82:Z87" si="60">IF(T82=0,0,X82/T82)</f>
        <v>-0.19475401385518692</v>
      </c>
    </row>
    <row r="83" spans="1:26" s="24" customFormat="1" hidden="1" outlineLevel="2" x14ac:dyDescent="0.25">
      <c r="A83" s="25"/>
      <c r="B83" s="11" t="str">
        <f>CONCATENATE("          ", "6282", " - ", "JANITORIAL/EXTERMINATOR EXPENS")</f>
        <v xml:space="preserve">          6282 - JANITORIAL/EXTERMINATOR EXPENS</v>
      </c>
      <c r="C83" s="11"/>
      <c r="D83" s="7">
        <v>650.1</v>
      </c>
      <c r="E83" s="2"/>
      <c r="F83" s="6">
        <f t="shared" si="53"/>
        <v>1.0527125443791772E-2</v>
      </c>
      <c r="G83" s="2"/>
      <c r="H83" s="7">
        <v>1176</v>
      </c>
      <c r="I83" s="2"/>
      <c r="J83" s="6">
        <f t="shared" si="54"/>
        <v>8.9805269186712486E-2</v>
      </c>
      <c r="K83" s="2"/>
      <c r="L83" s="7">
        <f t="shared" si="55"/>
        <v>-525.9</v>
      </c>
      <c r="M83" s="2"/>
      <c r="N83" s="6">
        <f t="shared" si="56"/>
        <v>-0.44719387755102041</v>
      </c>
      <c r="O83" s="11"/>
      <c r="P83" s="7">
        <v>10765.53</v>
      </c>
      <c r="Q83" s="2"/>
      <c r="R83" s="6">
        <f t="shared" si="57"/>
        <v>2.0767839409558016E-2</v>
      </c>
      <c r="S83" s="2"/>
      <c r="T83" s="7">
        <v>11351</v>
      </c>
      <c r="U83" s="2"/>
      <c r="V83" s="6">
        <f t="shared" si="58"/>
        <v>5.0948181063309318E-2</v>
      </c>
      <c r="W83" s="2"/>
      <c r="X83" s="7">
        <f t="shared" si="59"/>
        <v>-585.46999999999935</v>
      </c>
      <c r="Y83" s="2"/>
      <c r="Z83" s="6">
        <f t="shared" si="60"/>
        <v>-5.1578715531671163E-2</v>
      </c>
    </row>
    <row r="84" spans="1:26" s="24" customFormat="1" hidden="1" outlineLevel="2" x14ac:dyDescent="0.25">
      <c r="A84" s="25"/>
      <c r="B84" s="11" t="str">
        <f>CONCATENATE("          ", "6283", " - ", "PLANT SERVICE")</f>
        <v xml:space="preserve">          6283 - PLANT SERVICE</v>
      </c>
      <c r="C84" s="11"/>
      <c r="D84" s="7"/>
      <c r="E84" s="2"/>
      <c r="F84" s="6">
        <f t="shared" si="53"/>
        <v>0</v>
      </c>
      <c r="G84" s="2"/>
      <c r="H84" s="7">
        <v>0</v>
      </c>
      <c r="I84" s="2"/>
      <c r="J84" s="6">
        <f t="shared" si="54"/>
        <v>0</v>
      </c>
      <c r="K84" s="2"/>
      <c r="L84" s="7">
        <f t="shared" si="55"/>
        <v>0</v>
      </c>
      <c r="M84" s="2"/>
      <c r="N84" s="6">
        <f t="shared" si="56"/>
        <v>0</v>
      </c>
      <c r="O84" s="11"/>
      <c r="P84" s="7"/>
      <c r="Q84" s="2"/>
      <c r="R84" s="6">
        <f t="shared" si="57"/>
        <v>0</v>
      </c>
      <c r="S84" s="2"/>
      <c r="T84" s="7">
        <v>310</v>
      </c>
      <c r="U84" s="2"/>
      <c r="V84" s="6">
        <f t="shared" si="58"/>
        <v>1.3914136313651563E-3</v>
      </c>
      <c r="W84" s="2"/>
      <c r="X84" s="7">
        <f t="shared" si="59"/>
        <v>-310</v>
      </c>
      <c r="Y84" s="2"/>
      <c r="Z84" s="6">
        <f t="shared" si="60"/>
        <v>-1</v>
      </c>
    </row>
    <row r="85" spans="1:26" s="24" customFormat="1" hidden="1" outlineLevel="2" x14ac:dyDescent="0.25">
      <c r="A85" s="25"/>
      <c r="B85" s="11" t="str">
        <f>CONCATENATE("          ", "6284", " - ", "TRASH REMOVAL EXPENSE")</f>
        <v xml:space="preserve">          6284 - TRASH REMOVAL EXPENSE</v>
      </c>
      <c r="C85" s="11"/>
      <c r="D85" s="7">
        <v>5130</v>
      </c>
      <c r="E85" s="2"/>
      <c r="F85" s="6">
        <f t="shared" si="53"/>
        <v>8.307053303592031E-2</v>
      </c>
      <c r="G85" s="2"/>
      <c r="H85" s="7">
        <v>2500</v>
      </c>
      <c r="I85" s="2"/>
      <c r="J85" s="6">
        <f t="shared" si="54"/>
        <v>0.19091256204658266</v>
      </c>
      <c r="K85" s="2"/>
      <c r="L85" s="7">
        <f t="shared" si="55"/>
        <v>2630</v>
      </c>
      <c r="M85" s="2"/>
      <c r="N85" s="6">
        <f t="shared" si="56"/>
        <v>1.052</v>
      </c>
      <c r="O85" s="11"/>
      <c r="P85" s="7">
        <v>31142</v>
      </c>
      <c r="Q85" s="2"/>
      <c r="R85" s="6">
        <f t="shared" si="57"/>
        <v>6.0076192708808172E-2</v>
      </c>
      <c r="S85" s="2"/>
      <c r="T85" s="7">
        <v>32902</v>
      </c>
      <c r="U85" s="2"/>
      <c r="V85" s="6">
        <f t="shared" si="58"/>
        <v>0.14767835902960119</v>
      </c>
      <c r="W85" s="2"/>
      <c r="X85" s="7">
        <f t="shared" si="59"/>
        <v>-1760</v>
      </c>
      <c r="Y85" s="2"/>
      <c r="Z85" s="6">
        <f t="shared" si="60"/>
        <v>-5.3492188924685428E-2</v>
      </c>
    </row>
    <row r="86" spans="1:26" s="24" customFormat="1" hidden="1" outlineLevel="2" x14ac:dyDescent="0.25">
      <c r="A86" s="25"/>
      <c r="B86" s="11" t="str">
        <f>CONCATENATE("          ", "6285", " - ", "JANITORIAL SERVICES")</f>
        <v xml:space="preserve">          6285 - JANITORIAL SERVICES</v>
      </c>
      <c r="C86" s="11"/>
      <c r="D86" s="7">
        <v>3385.52</v>
      </c>
      <c r="E86" s="2"/>
      <c r="F86" s="6">
        <f t="shared" si="53"/>
        <v>5.4822017739526101E-2</v>
      </c>
      <c r="G86" s="2"/>
      <c r="H86" s="7">
        <v>3041</v>
      </c>
      <c r="I86" s="2"/>
      <c r="J86" s="6">
        <f t="shared" si="54"/>
        <v>0.23222604047346315</v>
      </c>
      <c r="K86" s="2"/>
      <c r="L86" s="7">
        <f t="shared" si="55"/>
        <v>344.52</v>
      </c>
      <c r="M86" s="2"/>
      <c r="N86" s="6">
        <f t="shared" si="56"/>
        <v>0.1132916803682999</v>
      </c>
      <c r="O86" s="11"/>
      <c r="P86" s="7">
        <v>21234.61</v>
      </c>
      <c r="Q86" s="2"/>
      <c r="R86" s="6">
        <f t="shared" si="57"/>
        <v>4.0963795596184738E-2</v>
      </c>
      <c r="S86" s="2"/>
      <c r="T86" s="7">
        <v>34974</v>
      </c>
      <c r="U86" s="2"/>
      <c r="V86" s="6">
        <f t="shared" si="58"/>
        <v>0.15697838820440316</v>
      </c>
      <c r="W86" s="2"/>
      <c r="X86" s="7">
        <f t="shared" si="59"/>
        <v>-13739.39</v>
      </c>
      <c r="Y86" s="2"/>
      <c r="Z86" s="6">
        <f t="shared" si="60"/>
        <v>-0.39284582832961629</v>
      </c>
    </row>
    <row r="87" spans="1:26" s="24" customFormat="1" hidden="1" outlineLevel="2" x14ac:dyDescent="0.25">
      <c r="A87" s="25"/>
      <c r="B87" s="11" t="str">
        <f>CONCATENATE("          ", "6286", " - ", "LAUNDRY EXPENSE")</f>
        <v xml:space="preserve">          6286 - LAUNDRY EXPENSE</v>
      </c>
      <c r="C87" s="11"/>
      <c r="D87" s="7"/>
      <c r="E87" s="2"/>
      <c r="F87" s="6">
        <f t="shared" si="53"/>
        <v>0</v>
      </c>
      <c r="G87" s="2"/>
      <c r="H87" s="7">
        <v>0</v>
      </c>
      <c r="I87" s="2"/>
      <c r="J87" s="6">
        <f t="shared" si="54"/>
        <v>0</v>
      </c>
      <c r="K87" s="2"/>
      <c r="L87" s="7">
        <f t="shared" si="55"/>
        <v>0</v>
      </c>
      <c r="M87" s="2"/>
      <c r="N87" s="6">
        <f t="shared" si="56"/>
        <v>0</v>
      </c>
      <c r="O87" s="11"/>
      <c r="P87" s="7">
        <v>904.71</v>
      </c>
      <c r="Q87" s="2"/>
      <c r="R87" s="6">
        <f t="shared" si="57"/>
        <v>1.7452807239607554E-3</v>
      </c>
      <c r="S87" s="2"/>
      <c r="T87" s="7">
        <v>0</v>
      </c>
      <c r="U87" s="2"/>
      <c r="V87" s="6">
        <f t="shared" si="58"/>
        <v>0</v>
      </c>
      <c r="W87" s="2"/>
      <c r="X87" s="7">
        <f t="shared" si="59"/>
        <v>904.71</v>
      </c>
      <c r="Y87" s="2"/>
      <c r="Z87" s="6">
        <f t="shared" si="60"/>
        <v>0</v>
      </c>
    </row>
    <row r="88" spans="1:26" s="27" customFormat="1" outlineLevel="1" collapsed="1" x14ac:dyDescent="0.25">
      <c r="A88" s="26"/>
      <c r="B88" s="13" t="str">
        <f>CONCATENATE("     ","Subscriptions &amp; Dues                              ")</f>
        <v xml:space="preserve">     Subscriptions &amp; Dues                              </v>
      </c>
      <c r="C88" s="13"/>
      <c r="D88" s="1">
        <f>SUM(OSRRefD22_16x_0)</f>
        <v>132.16999999999999</v>
      </c>
      <c r="E88" s="1"/>
      <c r="F88" s="5">
        <f t="shared" ref="F88:F90" si="61">IF(D$12=0,0,D88/D$12)</f>
        <v>2.1402402244361765E-3</v>
      </c>
      <c r="G88" s="1"/>
      <c r="H88" s="1">
        <f>SUM(OSRRefH22_16x_0)</f>
        <v>200</v>
      </c>
      <c r="I88" s="1"/>
      <c r="J88" s="5">
        <f t="shared" ref="J88:J90" si="62">IF(H$12=0,0,H88/H$12)</f>
        <v>1.5273004963726614E-2</v>
      </c>
      <c r="K88" s="1"/>
      <c r="L88" s="1">
        <f t="shared" ref="L88:L90" si="63">+D88-H88</f>
        <v>-67.830000000000013</v>
      </c>
      <c r="M88" s="1"/>
      <c r="N88" s="5">
        <f t="shared" ref="N88:N90" si="64">IF(H88=0,0,L88/H88)</f>
        <v>-0.33915000000000006</v>
      </c>
      <c r="O88" s="13"/>
      <c r="P88" s="1">
        <f>SUM(OSRRefP22_16x_0)</f>
        <v>1048.25</v>
      </c>
      <c r="Q88" s="1"/>
      <c r="R88" s="5">
        <f t="shared" ref="R88:R90" si="65">IF(P$12=0,0,P88/P$12)</f>
        <v>2.0221844777794673E-3</v>
      </c>
      <c r="S88" s="1"/>
      <c r="T88" s="1">
        <f>SUM(OSRRefT22_16x_0)</f>
        <v>3081</v>
      </c>
      <c r="U88" s="1"/>
      <c r="V88" s="5">
        <f t="shared" ref="V88:V90" si="66">IF(T$12=0,0,T88/T$12)</f>
        <v>1.3828856123342085E-2</v>
      </c>
      <c r="W88" s="1"/>
      <c r="X88" s="1">
        <f t="shared" ref="X88:X90" si="67">+P88-T88</f>
        <v>-2032.75</v>
      </c>
      <c r="Y88" s="1"/>
      <c r="Z88" s="5">
        <f t="shared" ref="Z88:Z90" si="68">IF(T88=0,0,X88/T88)</f>
        <v>-0.65976955533917558</v>
      </c>
    </row>
    <row r="89" spans="1:26" s="24" customFormat="1" hidden="1" outlineLevel="2" x14ac:dyDescent="0.25">
      <c r="A89" s="25"/>
      <c r="B89" s="11" t="str">
        <f>CONCATENATE("          ", "6258", " - ", "MEMBERSHIP DUES")</f>
        <v xml:space="preserve">          6258 - MEMBERSHIP DUES</v>
      </c>
      <c r="C89" s="11"/>
      <c r="D89" s="7"/>
      <c r="E89" s="2"/>
      <c r="F89" s="6">
        <f t="shared" si="61"/>
        <v>0</v>
      </c>
      <c r="G89" s="2"/>
      <c r="H89" s="7"/>
      <c r="I89" s="2"/>
      <c r="J89" s="6">
        <f t="shared" si="62"/>
        <v>0</v>
      </c>
      <c r="K89" s="2"/>
      <c r="L89" s="7">
        <f t="shared" si="63"/>
        <v>0</v>
      </c>
      <c r="M89" s="2"/>
      <c r="N89" s="6">
        <f t="shared" si="64"/>
        <v>0</v>
      </c>
      <c r="O89" s="11"/>
      <c r="P89" s="7"/>
      <c r="Q89" s="2"/>
      <c r="R89" s="6">
        <f t="shared" si="65"/>
        <v>0</v>
      </c>
      <c r="S89" s="2"/>
      <c r="T89" s="7">
        <v>900</v>
      </c>
      <c r="U89" s="2"/>
      <c r="V89" s="6">
        <f t="shared" si="66"/>
        <v>4.039587962027873E-3</v>
      </c>
      <c r="W89" s="2"/>
      <c r="X89" s="7">
        <f t="shared" si="67"/>
        <v>-900</v>
      </c>
      <c r="Y89" s="2"/>
      <c r="Z89" s="6">
        <f t="shared" si="68"/>
        <v>-1</v>
      </c>
    </row>
    <row r="90" spans="1:26" s="24" customFormat="1" hidden="1" outlineLevel="2" x14ac:dyDescent="0.25">
      <c r="A90" s="25"/>
      <c r="B90" s="11" t="str">
        <f>CONCATENATE("          ", "6275", " - ", "SUBSCRIPTIONS")</f>
        <v xml:space="preserve">          6275 - SUBSCRIPTIONS</v>
      </c>
      <c r="C90" s="11"/>
      <c r="D90" s="7">
        <v>132.16999999999999</v>
      </c>
      <c r="E90" s="2"/>
      <c r="F90" s="6">
        <f t="shared" si="61"/>
        <v>2.1402402244361765E-3</v>
      </c>
      <c r="G90" s="2"/>
      <c r="H90" s="7">
        <v>200</v>
      </c>
      <c r="I90" s="2"/>
      <c r="J90" s="6">
        <f t="shared" si="62"/>
        <v>1.5273004963726614E-2</v>
      </c>
      <c r="K90" s="2"/>
      <c r="L90" s="7">
        <f t="shared" si="63"/>
        <v>-67.830000000000013</v>
      </c>
      <c r="M90" s="2"/>
      <c r="N90" s="6">
        <f t="shared" si="64"/>
        <v>-0.33915000000000006</v>
      </c>
      <c r="O90" s="11"/>
      <c r="P90" s="7">
        <v>1048.25</v>
      </c>
      <c r="Q90" s="2"/>
      <c r="R90" s="6">
        <f t="shared" si="65"/>
        <v>2.0221844777794673E-3</v>
      </c>
      <c r="S90" s="2"/>
      <c r="T90" s="7">
        <v>2181</v>
      </c>
      <c r="U90" s="2"/>
      <c r="V90" s="6">
        <f t="shared" si="66"/>
        <v>9.7892681613142123E-3</v>
      </c>
      <c r="W90" s="2"/>
      <c r="X90" s="7">
        <f t="shared" si="67"/>
        <v>-1132.75</v>
      </c>
      <c r="Y90" s="2"/>
      <c r="Z90" s="6">
        <f t="shared" si="68"/>
        <v>-0.51937184777624945</v>
      </c>
    </row>
    <row r="91" spans="1:26" s="27" customFormat="1" outlineLevel="1" collapsed="1" x14ac:dyDescent="0.25">
      <c r="A91" s="26"/>
      <c r="B91" s="13" t="str">
        <f>CONCATENATE("     ","Supplies                                          ")</f>
        <v xml:space="preserve">     Supplies                                          </v>
      </c>
      <c r="C91" s="13"/>
      <c r="D91" s="1">
        <f>SUM(OSRRefD22_17x_0)</f>
        <v>-27.79</v>
      </c>
      <c r="E91" s="1"/>
      <c r="F91" s="5">
        <f t="shared" ref="F91:F102" si="69">IF(D$12=0,0,D91/D$12)</f>
        <v>-4.5000586999380607E-4</v>
      </c>
      <c r="G91" s="1"/>
      <c r="H91" s="1">
        <f>SUM(OSRRefH22_17x_0)</f>
        <v>925</v>
      </c>
      <c r="I91" s="1"/>
      <c r="J91" s="5">
        <f t="shared" ref="J91:J102" si="70">IF(H$12=0,0,H91/H$12)</f>
        <v>7.063764795723558E-2</v>
      </c>
      <c r="K91" s="1"/>
      <c r="L91" s="1">
        <f t="shared" ref="L91:L102" si="71">+D91-H91</f>
        <v>-952.79</v>
      </c>
      <c r="M91" s="1"/>
      <c r="N91" s="5">
        <f t="shared" ref="N91:N102" si="72">IF(H91=0,0,L91/H91)</f>
        <v>-1.0300432432432431</v>
      </c>
      <c r="O91" s="13"/>
      <c r="P91" s="1">
        <f>SUM(OSRRefP22_17x_0)</f>
        <v>-20652.39</v>
      </c>
      <c r="Q91" s="1"/>
      <c r="R91" s="5">
        <f t="shared" ref="R91:R102" si="73">IF(P$12=0,0,P91/P$12)</f>
        <v>-3.9840631993367889E-2</v>
      </c>
      <c r="S91" s="1"/>
      <c r="T91" s="1">
        <f>SUM(OSRRefT22_17x_0)</f>
        <v>23450</v>
      </c>
      <c r="U91" s="1"/>
      <c r="V91" s="5">
        <f t="shared" ref="V91:V102" si="74">IF(T$12=0,0,T91/T$12)</f>
        <v>0.1052537085661707</v>
      </c>
      <c r="W91" s="1"/>
      <c r="X91" s="1">
        <f t="shared" ref="X91:X102" si="75">+P91-T91</f>
        <v>-44102.39</v>
      </c>
      <c r="Y91" s="1"/>
      <c r="Z91" s="5">
        <f t="shared" ref="Z91:Z102" si="76">IF(T91=0,0,X91/T91)</f>
        <v>-1.8806989339019189</v>
      </c>
    </row>
    <row r="92" spans="1:26" s="24" customFormat="1" hidden="1" outlineLevel="2" x14ac:dyDescent="0.25">
      <c r="A92" s="25"/>
      <c r="B92" s="11" t="str">
        <f>CONCATENATE("          ", "6234", " - ", "EXPENDABLE SUPPLIES &amp; EQUIPMEN")</f>
        <v xml:space="preserve">          6234 - EXPENDABLE SUPPLIES &amp; EQUIPMEN</v>
      </c>
      <c r="C92" s="11"/>
      <c r="D92" s="7"/>
      <c r="E92" s="2"/>
      <c r="F92" s="6">
        <f t="shared" si="69"/>
        <v>0</v>
      </c>
      <c r="G92" s="2"/>
      <c r="H92" s="7"/>
      <c r="I92" s="2"/>
      <c r="J92" s="6">
        <f t="shared" si="70"/>
        <v>0</v>
      </c>
      <c r="K92" s="2"/>
      <c r="L92" s="7">
        <f t="shared" si="71"/>
        <v>0</v>
      </c>
      <c r="M92" s="2"/>
      <c r="N92" s="6">
        <f t="shared" si="72"/>
        <v>0</v>
      </c>
      <c r="O92" s="11"/>
      <c r="P92" s="7">
        <v>337.16</v>
      </c>
      <c r="Q92" s="2"/>
      <c r="R92" s="6">
        <f t="shared" si="73"/>
        <v>6.5041709375447199E-4</v>
      </c>
      <c r="S92" s="2"/>
      <c r="T92" s="7">
        <v>1076</v>
      </c>
      <c r="U92" s="2"/>
      <c r="V92" s="6">
        <f t="shared" si="74"/>
        <v>4.8295518301577686E-3</v>
      </c>
      <c r="W92" s="2"/>
      <c r="X92" s="7">
        <f t="shared" si="75"/>
        <v>-738.83999999999992</v>
      </c>
      <c r="Y92" s="2"/>
      <c r="Z92" s="6">
        <f t="shared" si="76"/>
        <v>-0.68665427509293675</v>
      </c>
    </row>
    <row r="93" spans="1:26" s="24" customFormat="1" hidden="1" outlineLevel="2" x14ac:dyDescent="0.25">
      <c r="A93" s="25"/>
      <c r="B93" s="11" t="str">
        <f>CONCATENATE("          ", "6235", " - ", "COVID-19 EXPENSES")</f>
        <v xml:space="preserve">          6235 - COVID-19 EXPENSES</v>
      </c>
      <c r="C93" s="11"/>
      <c r="D93" s="7"/>
      <c r="E93" s="2"/>
      <c r="F93" s="6">
        <f t="shared" si="69"/>
        <v>0</v>
      </c>
      <c r="G93" s="2"/>
      <c r="H93" s="7">
        <v>0</v>
      </c>
      <c r="I93" s="2"/>
      <c r="J93" s="6">
        <f t="shared" si="70"/>
        <v>0</v>
      </c>
      <c r="K93" s="2"/>
      <c r="L93" s="7">
        <f t="shared" si="71"/>
        <v>0</v>
      </c>
      <c r="M93" s="2"/>
      <c r="N93" s="6">
        <f t="shared" si="72"/>
        <v>0</v>
      </c>
      <c r="O93" s="11"/>
      <c r="P93" s="7">
        <v>6947.31</v>
      </c>
      <c r="Q93" s="2"/>
      <c r="R93" s="6">
        <f t="shared" si="73"/>
        <v>1.340209152809165E-2</v>
      </c>
      <c r="S93" s="2"/>
      <c r="T93" s="7">
        <v>0</v>
      </c>
      <c r="U93" s="2"/>
      <c r="V93" s="6">
        <f t="shared" si="74"/>
        <v>0</v>
      </c>
      <c r="W93" s="2"/>
      <c r="X93" s="7">
        <f t="shared" si="75"/>
        <v>6947.31</v>
      </c>
      <c r="Y93" s="2"/>
      <c r="Z93" s="6">
        <f t="shared" si="76"/>
        <v>0</v>
      </c>
    </row>
    <row r="94" spans="1:26" s="24" customFormat="1" hidden="1" outlineLevel="2" x14ac:dyDescent="0.25">
      <c r="A94" s="25"/>
      <c r="B94" s="11" t="str">
        <f>CONCATENATE("          ", "6237", " - ", "JANITORIAL SUPPLIES")</f>
        <v xml:space="preserve">          6237 - JANITORIAL SUPPLIES</v>
      </c>
      <c r="C94" s="11"/>
      <c r="D94" s="7">
        <v>-30</v>
      </c>
      <c r="E94" s="2"/>
      <c r="F94" s="6">
        <f t="shared" si="69"/>
        <v>-4.8579259085333509E-4</v>
      </c>
      <c r="G94" s="2"/>
      <c r="H94" s="7">
        <v>250</v>
      </c>
      <c r="I94" s="2"/>
      <c r="J94" s="6">
        <f t="shared" si="70"/>
        <v>1.9091256204658267E-2</v>
      </c>
      <c r="K94" s="2"/>
      <c r="L94" s="7">
        <f t="shared" si="71"/>
        <v>-280</v>
      </c>
      <c r="M94" s="2"/>
      <c r="N94" s="6">
        <f t="shared" si="72"/>
        <v>-1.1200000000000001</v>
      </c>
      <c r="O94" s="11"/>
      <c r="P94" s="7">
        <v>328.91</v>
      </c>
      <c r="Q94" s="2"/>
      <c r="R94" s="6">
        <f t="shared" si="73"/>
        <v>6.3450197623319301E-4</v>
      </c>
      <c r="S94" s="2"/>
      <c r="T94" s="7">
        <v>9399</v>
      </c>
      <c r="U94" s="2"/>
      <c r="V94" s="6">
        <f t="shared" si="74"/>
        <v>4.2186763616777756E-2</v>
      </c>
      <c r="W94" s="2"/>
      <c r="X94" s="7">
        <f t="shared" si="75"/>
        <v>-9070.09</v>
      </c>
      <c r="Y94" s="2"/>
      <c r="Z94" s="6">
        <f t="shared" si="76"/>
        <v>-0.96500585168634967</v>
      </c>
    </row>
    <row r="95" spans="1:26" s="24" customFormat="1" hidden="1" outlineLevel="2" x14ac:dyDescent="0.25">
      <c r="A95" s="25"/>
      <c r="B95" s="11" t="str">
        <f>CONCATENATE("          ", "6239", " - ", "KITCHEN SUPPLIES")</f>
        <v xml:space="preserve">          6239 - KITCHEN SUPPLIES</v>
      </c>
      <c r="C95" s="11"/>
      <c r="D95" s="7"/>
      <c r="E95" s="2"/>
      <c r="F95" s="6">
        <f t="shared" si="69"/>
        <v>0</v>
      </c>
      <c r="G95" s="2"/>
      <c r="H95" s="7">
        <v>50</v>
      </c>
      <c r="I95" s="2"/>
      <c r="J95" s="6">
        <f t="shared" si="70"/>
        <v>3.8182512409316535E-3</v>
      </c>
      <c r="K95" s="2"/>
      <c r="L95" s="7">
        <f t="shared" si="71"/>
        <v>-50</v>
      </c>
      <c r="M95" s="2"/>
      <c r="N95" s="6">
        <f t="shared" si="72"/>
        <v>-1</v>
      </c>
      <c r="O95" s="11"/>
      <c r="P95" s="7">
        <v>19.829999999999998</v>
      </c>
      <c r="Q95" s="2"/>
      <c r="R95" s="6">
        <f t="shared" si="73"/>
        <v>3.8254155205692187E-5</v>
      </c>
      <c r="S95" s="2"/>
      <c r="T95" s="7">
        <v>493</v>
      </c>
      <c r="U95" s="2"/>
      <c r="V95" s="6">
        <f t="shared" si="74"/>
        <v>2.2127965169774907E-3</v>
      </c>
      <c r="W95" s="2"/>
      <c r="X95" s="7">
        <f t="shared" si="75"/>
        <v>-473.17</v>
      </c>
      <c r="Y95" s="2"/>
      <c r="Z95" s="6">
        <f t="shared" si="76"/>
        <v>-0.95977687626774855</v>
      </c>
    </row>
    <row r="96" spans="1:26" s="24" customFormat="1" hidden="1" outlineLevel="2" x14ac:dyDescent="0.25">
      <c r="A96" s="25"/>
      <c r="B96" s="11" t="str">
        <f>CONCATENATE("          ", "6241", " - ", "OFFICE EXPENSE")</f>
        <v xml:space="preserve">          6241 - OFFICE EXPENSE</v>
      </c>
      <c r="C96" s="11"/>
      <c r="D96" s="7">
        <v>2.21</v>
      </c>
      <c r="E96" s="2"/>
      <c r="F96" s="6">
        <f t="shared" si="69"/>
        <v>3.5786720859529016E-5</v>
      </c>
      <c r="G96" s="2"/>
      <c r="H96" s="7">
        <v>25</v>
      </c>
      <c r="I96" s="2"/>
      <c r="J96" s="6">
        <f t="shared" si="70"/>
        <v>1.9091256204658267E-3</v>
      </c>
      <c r="K96" s="2"/>
      <c r="L96" s="7">
        <f t="shared" si="71"/>
        <v>-22.79</v>
      </c>
      <c r="M96" s="2"/>
      <c r="N96" s="6">
        <f t="shared" si="72"/>
        <v>-0.91159999999999997</v>
      </c>
      <c r="O96" s="11"/>
      <c r="P96" s="7">
        <v>-28540.93</v>
      </c>
      <c r="Q96" s="2"/>
      <c r="R96" s="6">
        <f t="shared" si="73"/>
        <v>-5.5058455165647821E-2</v>
      </c>
      <c r="S96" s="2"/>
      <c r="T96" s="7">
        <v>5737</v>
      </c>
      <c r="U96" s="2"/>
      <c r="V96" s="6">
        <f t="shared" si="74"/>
        <v>2.5750129042393231E-2</v>
      </c>
      <c r="W96" s="2"/>
      <c r="X96" s="7">
        <f t="shared" si="75"/>
        <v>-34277.93</v>
      </c>
      <c r="Y96" s="2"/>
      <c r="Z96" s="6">
        <f t="shared" si="76"/>
        <v>-5.9748875719016912</v>
      </c>
    </row>
    <row r="97" spans="1:26" s="24" customFormat="1" hidden="1" outlineLevel="2" x14ac:dyDescent="0.25">
      <c r="A97" s="25"/>
      <c r="B97" s="11" t="str">
        <f>CONCATENATE("          ", "6243", " - ", "PAPER SUPPLIES")</f>
        <v xml:space="preserve">          6243 - PAPER SUPPLIES</v>
      </c>
      <c r="C97" s="11"/>
      <c r="D97" s="7"/>
      <c r="E97" s="2"/>
      <c r="F97" s="6">
        <f t="shared" si="69"/>
        <v>0</v>
      </c>
      <c r="G97" s="2"/>
      <c r="H97" s="7">
        <v>600</v>
      </c>
      <c r="I97" s="2"/>
      <c r="J97" s="6">
        <f t="shared" si="70"/>
        <v>4.5819014891179836E-2</v>
      </c>
      <c r="K97" s="2"/>
      <c r="L97" s="7">
        <f t="shared" si="71"/>
        <v>-600</v>
      </c>
      <c r="M97" s="2"/>
      <c r="N97" s="6">
        <f t="shared" si="72"/>
        <v>-1</v>
      </c>
      <c r="O97" s="11"/>
      <c r="P97" s="7">
        <v>255.33</v>
      </c>
      <c r="Q97" s="2"/>
      <c r="R97" s="6">
        <f t="shared" si="73"/>
        <v>4.9255841899492625E-4</v>
      </c>
      <c r="S97" s="2"/>
      <c r="T97" s="7">
        <v>6319</v>
      </c>
      <c r="U97" s="2"/>
      <c r="V97" s="6">
        <f t="shared" si="74"/>
        <v>2.836239592450459E-2</v>
      </c>
      <c r="W97" s="2"/>
      <c r="X97" s="7">
        <f t="shared" si="75"/>
        <v>-6063.67</v>
      </c>
      <c r="Y97" s="2"/>
      <c r="Z97" s="6">
        <f t="shared" si="76"/>
        <v>-0.9595932900775439</v>
      </c>
    </row>
    <row r="98" spans="1:26" s="24" customFormat="1" hidden="1" outlineLevel="2" x14ac:dyDescent="0.25">
      <c r="A98" s="25"/>
      <c r="B98" s="11" t="str">
        <f>CONCATENATE("          ", "6244", " - ", "SAFETY SUPPLY EXPENSE")</f>
        <v xml:space="preserve">          6244 - SAFETY SUPPLY EXPENSE</v>
      </c>
      <c r="C98" s="11"/>
      <c r="D98" s="7"/>
      <c r="E98" s="2"/>
      <c r="F98" s="6">
        <f t="shared" si="69"/>
        <v>0</v>
      </c>
      <c r="G98" s="2"/>
      <c r="H98" s="7">
        <v>0</v>
      </c>
      <c r="I98" s="2"/>
      <c r="J98" s="6">
        <f t="shared" si="70"/>
        <v>0</v>
      </c>
      <c r="K98" s="2"/>
      <c r="L98" s="7">
        <f t="shared" si="71"/>
        <v>0</v>
      </c>
      <c r="M98" s="2"/>
      <c r="N98" s="6">
        <f t="shared" si="72"/>
        <v>0</v>
      </c>
      <c r="O98" s="11"/>
      <c r="P98" s="7"/>
      <c r="Q98" s="2"/>
      <c r="R98" s="6">
        <f t="shared" si="73"/>
        <v>0</v>
      </c>
      <c r="S98" s="2"/>
      <c r="T98" s="7">
        <v>0</v>
      </c>
      <c r="U98" s="2"/>
      <c r="V98" s="6">
        <f t="shared" si="74"/>
        <v>0</v>
      </c>
      <c r="W98" s="2"/>
      <c r="X98" s="7">
        <f t="shared" si="75"/>
        <v>0</v>
      </c>
      <c r="Y98" s="2"/>
      <c r="Z98" s="6">
        <f t="shared" si="76"/>
        <v>0</v>
      </c>
    </row>
    <row r="99" spans="1:26" s="24" customFormat="1" hidden="1" outlineLevel="2" x14ac:dyDescent="0.25">
      <c r="A99" s="25"/>
      <c r="B99" s="11" t="str">
        <f>CONCATENATE("          ", "6245", " - ", "PRINTING")</f>
        <v xml:space="preserve">          6245 - PRINTING</v>
      </c>
      <c r="C99" s="11"/>
      <c r="D99" s="7"/>
      <c r="E99" s="2"/>
      <c r="F99" s="6">
        <f t="shared" si="69"/>
        <v>0</v>
      </c>
      <c r="G99" s="2"/>
      <c r="H99" s="7">
        <v>0</v>
      </c>
      <c r="I99" s="2"/>
      <c r="J99" s="6">
        <f t="shared" si="70"/>
        <v>0</v>
      </c>
      <c r="K99" s="2"/>
      <c r="L99" s="7">
        <f t="shared" si="71"/>
        <v>0</v>
      </c>
      <c r="M99" s="2"/>
      <c r="N99" s="6">
        <f t="shared" si="72"/>
        <v>0</v>
      </c>
      <c r="O99" s="11"/>
      <c r="P99" s="7"/>
      <c r="Q99" s="2"/>
      <c r="R99" s="6">
        <f t="shared" si="73"/>
        <v>0</v>
      </c>
      <c r="S99" s="2"/>
      <c r="T99" s="7">
        <v>0</v>
      </c>
      <c r="U99" s="2"/>
      <c r="V99" s="6">
        <f t="shared" si="74"/>
        <v>0</v>
      </c>
      <c r="W99" s="2"/>
      <c r="X99" s="7">
        <f t="shared" si="75"/>
        <v>0</v>
      </c>
      <c r="Y99" s="2"/>
      <c r="Z99" s="6">
        <f t="shared" si="76"/>
        <v>0</v>
      </c>
    </row>
    <row r="100" spans="1:26" s="24" customFormat="1" hidden="1" outlineLevel="2" x14ac:dyDescent="0.25">
      <c r="A100" s="25"/>
      <c r="B100" s="11" t="str">
        <f>CONCATENATE("          ", "6246", " - ", "REPLACEMENTS")</f>
        <v xml:space="preserve">          6246 - REPLACEMENTS</v>
      </c>
      <c r="C100" s="11"/>
      <c r="D100" s="7"/>
      <c r="E100" s="2"/>
      <c r="F100" s="6">
        <f t="shared" si="69"/>
        <v>0</v>
      </c>
      <c r="G100" s="2"/>
      <c r="H100" s="7">
        <v>0</v>
      </c>
      <c r="I100" s="2"/>
      <c r="J100" s="6">
        <f t="shared" si="70"/>
        <v>0</v>
      </c>
      <c r="K100" s="2"/>
      <c r="L100" s="7">
        <f t="shared" si="71"/>
        <v>0</v>
      </c>
      <c r="M100" s="2"/>
      <c r="N100" s="6">
        <f t="shared" si="72"/>
        <v>0</v>
      </c>
      <c r="O100" s="11"/>
      <c r="P100" s="7"/>
      <c r="Q100" s="2"/>
      <c r="R100" s="6">
        <f t="shared" si="73"/>
        <v>0</v>
      </c>
      <c r="S100" s="2"/>
      <c r="T100" s="7">
        <v>0</v>
      </c>
      <c r="U100" s="2"/>
      <c r="V100" s="6">
        <f t="shared" si="74"/>
        <v>0</v>
      </c>
      <c r="W100" s="2"/>
      <c r="X100" s="7">
        <f t="shared" si="75"/>
        <v>0</v>
      </c>
      <c r="Y100" s="2"/>
      <c r="Z100" s="6">
        <f t="shared" si="76"/>
        <v>0</v>
      </c>
    </row>
    <row r="101" spans="1:26" s="24" customFormat="1" hidden="1" outlineLevel="2" x14ac:dyDescent="0.25">
      <c r="A101" s="25"/>
      <c r="B101" s="11" t="str">
        <f>CONCATENATE("          ", "6247", " - ", "STORE SUPPLIES")</f>
        <v xml:space="preserve">          6247 - STORE SUPPLIES</v>
      </c>
      <c r="C101" s="11"/>
      <c r="D101" s="7"/>
      <c r="E101" s="2"/>
      <c r="F101" s="6">
        <f t="shared" si="69"/>
        <v>0</v>
      </c>
      <c r="G101" s="2"/>
      <c r="H101" s="7">
        <v>0</v>
      </c>
      <c r="I101" s="2"/>
      <c r="J101" s="6">
        <f t="shared" si="70"/>
        <v>0</v>
      </c>
      <c r="K101" s="2"/>
      <c r="L101" s="7">
        <f t="shared" si="71"/>
        <v>0</v>
      </c>
      <c r="M101" s="2"/>
      <c r="N101" s="6">
        <f t="shared" si="72"/>
        <v>0</v>
      </c>
      <c r="O101" s="11"/>
      <c r="P101" s="7"/>
      <c r="Q101" s="2"/>
      <c r="R101" s="6">
        <f t="shared" si="73"/>
        <v>0</v>
      </c>
      <c r="S101" s="2"/>
      <c r="T101" s="7">
        <v>411</v>
      </c>
      <c r="U101" s="2"/>
      <c r="V101" s="6">
        <f t="shared" si="74"/>
        <v>1.8447451693260621E-3</v>
      </c>
      <c r="W101" s="2"/>
      <c r="X101" s="7">
        <f t="shared" si="75"/>
        <v>-411</v>
      </c>
      <c r="Y101" s="2"/>
      <c r="Z101" s="6">
        <f t="shared" si="76"/>
        <v>-1</v>
      </c>
    </row>
    <row r="102" spans="1:26" s="24" customFormat="1" hidden="1" outlineLevel="2" x14ac:dyDescent="0.25">
      <c r="A102" s="25"/>
      <c r="B102" s="11" t="str">
        <f>CONCATENATE("          ", "6248", " - ", "UNIFORMS")</f>
        <v xml:space="preserve">          6248 - UNIFORMS</v>
      </c>
      <c r="C102" s="11"/>
      <c r="D102" s="7"/>
      <c r="E102" s="2"/>
      <c r="F102" s="6">
        <f t="shared" si="69"/>
        <v>0</v>
      </c>
      <c r="G102" s="2"/>
      <c r="H102" s="7"/>
      <c r="I102" s="2"/>
      <c r="J102" s="6">
        <f t="shared" si="70"/>
        <v>0</v>
      </c>
      <c r="K102" s="2"/>
      <c r="L102" s="7">
        <f t="shared" si="71"/>
        <v>0</v>
      </c>
      <c r="M102" s="2"/>
      <c r="N102" s="6">
        <f t="shared" si="72"/>
        <v>0</v>
      </c>
      <c r="O102" s="11"/>
      <c r="P102" s="7"/>
      <c r="Q102" s="2"/>
      <c r="R102" s="6">
        <f t="shared" si="73"/>
        <v>0</v>
      </c>
      <c r="S102" s="2"/>
      <c r="T102" s="7">
        <v>15</v>
      </c>
      <c r="U102" s="2"/>
      <c r="V102" s="6">
        <f t="shared" si="74"/>
        <v>6.7326466033797882E-5</v>
      </c>
      <c r="W102" s="2"/>
      <c r="X102" s="7">
        <f t="shared" si="75"/>
        <v>-15</v>
      </c>
      <c r="Y102" s="2"/>
      <c r="Z102" s="6">
        <f t="shared" si="76"/>
        <v>-1</v>
      </c>
    </row>
    <row r="103" spans="1:26" s="27" customFormat="1" outlineLevel="1" collapsed="1" x14ac:dyDescent="0.25">
      <c r="A103" s="26"/>
      <c r="B103" s="13" t="str">
        <f>CONCATENATE("     ","Telephone/Data Lines                              ")</f>
        <v xml:space="preserve">     Telephone/Data Lines                              </v>
      </c>
      <c r="C103" s="13"/>
      <c r="D103" s="1">
        <f>SUM(OSRRefD22_18x_0)</f>
        <v>399.1</v>
      </c>
      <c r="E103" s="1"/>
      <c r="F103" s="5">
        <f t="shared" ref="F103:F105" si="77">IF(D$12=0,0,D103/D$12)</f>
        <v>6.4626607669855353E-3</v>
      </c>
      <c r="G103" s="1"/>
      <c r="H103" s="1">
        <f>SUM(OSRRefH22_18x_0)</f>
        <v>235</v>
      </c>
      <c r="I103" s="1"/>
      <c r="J103" s="5">
        <f t="shared" ref="J103:J105" si="78">IF(H$12=0,0,H103/H$12)</f>
        <v>1.7945780832378772E-2</v>
      </c>
      <c r="K103" s="1"/>
      <c r="L103" s="1">
        <f t="shared" ref="L103:L105" si="79">+D103-H103</f>
        <v>164.10000000000002</v>
      </c>
      <c r="M103" s="1"/>
      <c r="N103" s="5">
        <f t="shared" ref="N103:N105" si="80">IF(H103=0,0,L103/H103)</f>
        <v>0.69829787234042562</v>
      </c>
      <c r="O103" s="13"/>
      <c r="P103" s="1">
        <f>SUM(OSRRefP22_18x_0)</f>
        <v>6245.11</v>
      </c>
      <c r="Q103" s="1"/>
      <c r="R103" s="5">
        <f t="shared" ref="R103:R105" si="81">IF(P$12=0,0,P103/P$12)</f>
        <v>1.2047473888886552E-2</v>
      </c>
      <c r="S103" s="1"/>
      <c r="T103" s="1">
        <f>SUM(OSRRefT22_18x_0)</f>
        <v>3677</v>
      </c>
      <c r="U103" s="1"/>
      <c r="V103" s="5">
        <f t="shared" ref="V103:V105" si="82">IF(T$12=0,0,T103/T$12)</f>
        <v>1.6503961040418322E-2</v>
      </c>
      <c r="W103" s="1"/>
      <c r="X103" s="1">
        <f t="shared" ref="X103:X105" si="83">+P103-T103</f>
        <v>2568.1099999999997</v>
      </c>
      <c r="Y103" s="1"/>
      <c r="Z103" s="5">
        <f t="shared" ref="Z103:Z105" si="84">IF(T103=0,0,X103/T103)</f>
        <v>0.69842534675006795</v>
      </c>
    </row>
    <row r="104" spans="1:26" s="24" customFormat="1" hidden="1" outlineLevel="2" x14ac:dyDescent="0.25">
      <c r="A104" s="25"/>
      <c r="B104" s="11" t="str">
        <f>CONCATENATE("          ", "6303", " - ", "DATA PHONE LINES")</f>
        <v xml:space="preserve">          6303 - DATA PHONE LINES</v>
      </c>
      <c r="C104" s="11"/>
      <c r="D104" s="7"/>
      <c r="E104" s="2"/>
      <c r="F104" s="6">
        <f t="shared" si="77"/>
        <v>0</v>
      </c>
      <c r="G104" s="2"/>
      <c r="H104" s="7">
        <v>135</v>
      </c>
      <c r="I104" s="2"/>
      <c r="J104" s="6">
        <f t="shared" si="78"/>
        <v>1.0309278350515464E-2</v>
      </c>
      <c r="K104" s="2"/>
      <c r="L104" s="7">
        <f t="shared" si="79"/>
        <v>-135</v>
      </c>
      <c r="M104" s="2"/>
      <c r="N104" s="6">
        <f t="shared" si="80"/>
        <v>-1</v>
      </c>
      <c r="O104" s="11"/>
      <c r="P104" s="7"/>
      <c r="Q104" s="2"/>
      <c r="R104" s="6">
        <f t="shared" si="81"/>
        <v>0</v>
      </c>
      <c r="S104" s="2"/>
      <c r="T104" s="7">
        <v>1527</v>
      </c>
      <c r="U104" s="2"/>
      <c r="V104" s="6">
        <f t="shared" si="82"/>
        <v>6.8538342422406247E-3</v>
      </c>
      <c r="W104" s="2"/>
      <c r="X104" s="7">
        <f t="shared" si="83"/>
        <v>-1527</v>
      </c>
      <c r="Y104" s="2"/>
      <c r="Z104" s="6">
        <f t="shared" si="84"/>
        <v>-1</v>
      </c>
    </row>
    <row r="105" spans="1:26" s="24" customFormat="1" hidden="1" outlineLevel="2" x14ac:dyDescent="0.25">
      <c r="A105" s="25"/>
      <c r="B105" s="11" t="str">
        <f>CONCATENATE("          ", "6309", " - ", "TELEPHONE")</f>
        <v xml:space="preserve">          6309 - TELEPHONE</v>
      </c>
      <c r="C105" s="11"/>
      <c r="D105" s="7">
        <v>399.1</v>
      </c>
      <c r="E105" s="2"/>
      <c r="F105" s="6">
        <f t="shared" si="77"/>
        <v>6.4626607669855353E-3</v>
      </c>
      <c r="G105" s="2"/>
      <c r="H105" s="7">
        <v>100</v>
      </c>
      <c r="I105" s="2"/>
      <c r="J105" s="6">
        <f t="shared" si="78"/>
        <v>7.6365024818633069E-3</v>
      </c>
      <c r="K105" s="2"/>
      <c r="L105" s="7">
        <f t="shared" si="79"/>
        <v>299.10000000000002</v>
      </c>
      <c r="M105" s="2"/>
      <c r="N105" s="6">
        <f t="shared" si="80"/>
        <v>2.9910000000000001</v>
      </c>
      <c r="O105" s="11"/>
      <c r="P105" s="7">
        <v>6245.11</v>
      </c>
      <c r="Q105" s="2"/>
      <c r="R105" s="6">
        <f t="shared" si="81"/>
        <v>1.2047473888886552E-2</v>
      </c>
      <c r="S105" s="2"/>
      <c r="T105" s="7">
        <v>2150</v>
      </c>
      <c r="U105" s="2"/>
      <c r="V105" s="6">
        <f t="shared" si="82"/>
        <v>9.6501267981776977E-3</v>
      </c>
      <c r="W105" s="2"/>
      <c r="X105" s="7">
        <f t="shared" si="83"/>
        <v>4095.1099999999997</v>
      </c>
      <c r="Y105" s="2"/>
      <c r="Z105" s="6">
        <f t="shared" si="84"/>
        <v>1.9047023255813953</v>
      </c>
    </row>
    <row r="106" spans="1:26" s="27" customFormat="1" outlineLevel="1" collapsed="1" x14ac:dyDescent="0.25">
      <c r="A106" s="26"/>
      <c r="B106" s="13" t="str">
        <f>CONCATENATE("     ","Training                                          ")</f>
        <v xml:space="preserve">     Training                                          </v>
      </c>
      <c r="C106" s="13"/>
      <c r="D106" s="1">
        <f>SUM(OSRRefD22_19x_0)</f>
        <v>0</v>
      </c>
      <c r="E106" s="1"/>
      <c r="F106" s="5">
        <f t="shared" ref="F106:F111" si="85">IF(D$12=0,0,D106/D$12)</f>
        <v>0</v>
      </c>
      <c r="G106" s="1"/>
      <c r="H106" s="1">
        <f>SUM(OSRRefH22_19x_0)</f>
        <v>0</v>
      </c>
      <c r="I106" s="1"/>
      <c r="J106" s="5">
        <f t="shared" ref="J106:J111" si="86">IF(H$12=0,0,H106/H$12)</f>
        <v>0</v>
      </c>
      <c r="K106" s="1"/>
      <c r="L106" s="1">
        <f t="shared" ref="L106:L111" si="87">+D106-H106</f>
        <v>0</v>
      </c>
      <c r="M106" s="1"/>
      <c r="N106" s="5">
        <f t="shared" ref="N106:N111" si="88">IF(H106=0,0,L106/H106)</f>
        <v>0</v>
      </c>
      <c r="O106" s="13"/>
      <c r="P106" s="1">
        <f>SUM(OSRRefP22_19x_0)</f>
        <v>400</v>
      </c>
      <c r="Q106" s="1"/>
      <c r="R106" s="5">
        <f t="shared" ref="R106:R111" si="89">IF(P$12=0,0,P106/P$12)</f>
        <v>7.7164206163776478E-4</v>
      </c>
      <c r="S106" s="1"/>
      <c r="T106" s="1">
        <f>SUM(OSRRefT22_19x_0)</f>
        <v>0</v>
      </c>
      <c r="U106" s="1"/>
      <c r="V106" s="5">
        <f t="shared" ref="V106:V111" si="90">IF(T$12=0,0,T106/T$12)</f>
        <v>0</v>
      </c>
      <c r="W106" s="1"/>
      <c r="X106" s="1">
        <f t="shared" ref="X106:X111" si="91">+P106-T106</f>
        <v>400</v>
      </c>
      <c r="Y106" s="1"/>
      <c r="Z106" s="5">
        <f t="shared" ref="Z106:Z111" si="92">IF(T106=0,0,X106/T106)</f>
        <v>0</v>
      </c>
    </row>
    <row r="107" spans="1:26" s="24" customFormat="1" hidden="1" outlineLevel="2" x14ac:dyDescent="0.25">
      <c r="A107" s="25"/>
      <c r="B107" s="11" t="str">
        <f>CONCATENATE("          ", "6376", " - ", "TRAINING")</f>
        <v xml:space="preserve">          6376 - TRAINING</v>
      </c>
      <c r="C107" s="11"/>
      <c r="D107" s="7"/>
      <c r="E107" s="2"/>
      <c r="F107" s="6">
        <f t="shared" si="85"/>
        <v>0</v>
      </c>
      <c r="G107" s="2"/>
      <c r="H107" s="7">
        <v>0</v>
      </c>
      <c r="I107" s="2"/>
      <c r="J107" s="6">
        <f t="shared" si="86"/>
        <v>0</v>
      </c>
      <c r="K107" s="2"/>
      <c r="L107" s="7">
        <f t="shared" si="87"/>
        <v>0</v>
      </c>
      <c r="M107" s="2"/>
      <c r="N107" s="6">
        <f t="shared" si="88"/>
        <v>0</v>
      </c>
      <c r="O107" s="11"/>
      <c r="P107" s="7">
        <v>400</v>
      </c>
      <c r="Q107" s="2"/>
      <c r="R107" s="6">
        <f t="shared" si="89"/>
        <v>7.7164206163776478E-4</v>
      </c>
      <c r="S107" s="2"/>
      <c r="T107" s="7">
        <v>0</v>
      </c>
      <c r="U107" s="2"/>
      <c r="V107" s="6">
        <f t="shared" si="90"/>
        <v>0</v>
      </c>
      <c r="W107" s="2"/>
      <c r="X107" s="7">
        <f t="shared" si="91"/>
        <v>400</v>
      </c>
      <c r="Y107" s="2"/>
      <c r="Z107" s="6">
        <f t="shared" si="92"/>
        <v>0</v>
      </c>
    </row>
    <row r="108" spans="1:26" s="27" customFormat="1" outlineLevel="1" collapsed="1" x14ac:dyDescent="0.25">
      <c r="A108" s="26"/>
      <c r="B108" s="13" t="str">
        <f>CONCATENATE("     ","Travel                                            ")</f>
        <v xml:space="preserve">     Travel                                            </v>
      </c>
      <c r="C108" s="13"/>
      <c r="D108" s="1">
        <f>SUM(OSRRefD22_20x_0)</f>
        <v>0</v>
      </c>
      <c r="E108" s="1"/>
      <c r="F108" s="5">
        <f t="shared" si="85"/>
        <v>0</v>
      </c>
      <c r="G108" s="1"/>
      <c r="H108" s="1">
        <f>SUM(OSRRefH22_20x_0)</f>
        <v>0</v>
      </c>
      <c r="I108" s="1"/>
      <c r="J108" s="5">
        <f t="shared" si="86"/>
        <v>0</v>
      </c>
      <c r="K108" s="1"/>
      <c r="L108" s="1">
        <f t="shared" si="87"/>
        <v>0</v>
      </c>
      <c r="M108" s="1"/>
      <c r="N108" s="5">
        <f t="shared" si="88"/>
        <v>0</v>
      </c>
      <c r="O108" s="13"/>
      <c r="P108" s="1">
        <f>SUM(OSRRefP22_20x_0)</f>
        <v>332.21</v>
      </c>
      <c r="Q108" s="1"/>
      <c r="R108" s="5">
        <f t="shared" si="89"/>
        <v>6.4086802324170452E-4</v>
      </c>
      <c r="S108" s="1"/>
      <c r="T108" s="1">
        <f>SUM(OSRRefT22_20x_0)</f>
        <v>0</v>
      </c>
      <c r="U108" s="1"/>
      <c r="V108" s="5">
        <f t="shared" si="90"/>
        <v>0</v>
      </c>
      <c r="W108" s="1"/>
      <c r="X108" s="1">
        <f t="shared" si="91"/>
        <v>332.21</v>
      </c>
      <c r="Y108" s="1"/>
      <c r="Z108" s="5">
        <f t="shared" si="92"/>
        <v>0</v>
      </c>
    </row>
    <row r="109" spans="1:26" s="24" customFormat="1" hidden="1" outlineLevel="2" x14ac:dyDescent="0.25">
      <c r="A109" s="25"/>
      <c r="B109" s="11" t="str">
        <f>CONCATENATE("          ", "6292", " - ", "TRAVEL/CONFERENCE")</f>
        <v xml:space="preserve">          6292 - TRAVEL/CONFERENCE</v>
      </c>
      <c r="C109" s="11"/>
      <c r="D109" s="7"/>
      <c r="E109" s="2"/>
      <c r="F109" s="6">
        <f t="shared" si="85"/>
        <v>0</v>
      </c>
      <c r="G109" s="2"/>
      <c r="H109" s="7"/>
      <c r="I109" s="2"/>
      <c r="J109" s="6">
        <f t="shared" si="86"/>
        <v>0</v>
      </c>
      <c r="K109" s="2"/>
      <c r="L109" s="7">
        <f t="shared" si="87"/>
        <v>0</v>
      </c>
      <c r="M109" s="2"/>
      <c r="N109" s="6">
        <f t="shared" si="88"/>
        <v>0</v>
      </c>
      <c r="O109" s="11"/>
      <c r="P109" s="7"/>
      <c r="Q109" s="2"/>
      <c r="R109" s="6">
        <f t="shared" si="89"/>
        <v>0</v>
      </c>
      <c r="S109" s="2"/>
      <c r="T109" s="7">
        <v>0</v>
      </c>
      <c r="U109" s="2"/>
      <c r="V109" s="6">
        <f t="shared" si="90"/>
        <v>0</v>
      </c>
      <c r="W109" s="2"/>
      <c r="X109" s="7">
        <f t="shared" si="91"/>
        <v>0</v>
      </c>
      <c r="Y109" s="2"/>
      <c r="Z109" s="6">
        <f t="shared" si="92"/>
        <v>0</v>
      </c>
    </row>
    <row r="110" spans="1:26" s="24" customFormat="1" hidden="1" outlineLevel="2" x14ac:dyDescent="0.25">
      <c r="A110" s="25"/>
      <c r="B110" s="11" t="str">
        <f>CONCATENATE("          ", "6294", " - ", "TRAVEL OPERATIONAL")</f>
        <v xml:space="preserve">          6294 - TRAVEL OPERATIONAL</v>
      </c>
      <c r="C110" s="11"/>
      <c r="D110" s="7"/>
      <c r="E110" s="2"/>
      <c r="F110" s="6">
        <f t="shared" si="85"/>
        <v>0</v>
      </c>
      <c r="G110" s="2"/>
      <c r="H110" s="7"/>
      <c r="I110" s="2"/>
      <c r="J110" s="6">
        <f t="shared" si="86"/>
        <v>0</v>
      </c>
      <c r="K110" s="2"/>
      <c r="L110" s="7">
        <f t="shared" si="87"/>
        <v>0</v>
      </c>
      <c r="M110" s="2"/>
      <c r="N110" s="6">
        <f t="shared" si="88"/>
        <v>0</v>
      </c>
      <c r="O110" s="11"/>
      <c r="P110" s="7"/>
      <c r="Q110" s="2"/>
      <c r="R110" s="6">
        <f t="shared" si="89"/>
        <v>0</v>
      </c>
      <c r="S110" s="2"/>
      <c r="T110" s="7">
        <v>0</v>
      </c>
      <c r="U110" s="2"/>
      <c r="V110" s="6">
        <f t="shared" si="90"/>
        <v>0</v>
      </c>
      <c r="W110" s="2"/>
      <c r="X110" s="7">
        <f t="shared" si="91"/>
        <v>0</v>
      </c>
      <c r="Y110" s="2"/>
      <c r="Z110" s="6">
        <f t="shared" si="92"/>
        <v>0</v>
      </c>
    </row>
    <row r="111" spans="1:26" s="24" customFormat="1" hidden="1" outlineLevel="2" x14ac:dyDescent="0.25">
      <c r="A111" s="25"/>
      <c r="B111" s="11" t="str">
        <f>CONCATENATE("          ", "6298", " - ", "VEHICLE MILEAGE")</f>
        <v xml:space="preserve">          6298 - VEHICLE MILEAGE</v>
      </c>
      <c r="C111" s="11"/>
      <c r="D111" s="7"/>
      <c r="E111" s="2"/>
      <c r="F111" s="6">
        <f t="shared" si="85"/>
        <v>0</v>
      </c>
      <c r="G111" s="2"/>
      <c r="H111" s="7"/>
      <c r="I111" s="2"/>
      <c r="J111" s="6">
        <f t="shared" si="86"/>
        <v>0</v>
      </c>
      <c r="K111" s="2"/>
      <c r="L111" s="7">
        <f t="shared" si="87"/>
        <v>0</v>
      </c>
      <c r="M111" s="2"/>
      <c r="N111" s="6">
        <f t="shared" si="88"/>
        <v>0</v>
      </c>
      <c r="O111" s="11"/>
      <c r="P111" s="7">
        <v>332.21</v>
      </c>
      <c r="Q111" s="2"/>
      <c r="R111" s="6">
        <f t="shared" si="89"/>
        <v>6.4086802324170452E-4</v>
      </c>
      <c r="S111" s="2"/>
      <c r="T111" s="7"/>
      <c r="U111" s="2"/>
      <c r="V111" s="6">
        <f t="shared" si="90"/>
        <v>0</v>
      </c>
      <c r="W111" s="2"/>
      <c r="X111" s="7">
        <f t="shared" si="91"/>
        <v>332.21</v>
      </c>
      <c r="Y111" s="2"/>
      <c r="Z111" s="6">
        <f t="shared" si="92"/>
        <v>0</v>
      </c>
    </row>
    <row r="112" spans="1:26" s="27" customFormat="1" outlineLevel="1" collapsed="1" x14ac:dyDescent="0.25">
      <c r="A112" s="26"/>
      <c r="B112" s="13" t="str">
        <f>CONCATENATE("     ","Utilities                                         ")</f>
        <v xml:space="preserve">     Utilities                                         </v>
      </c>
      <c r="C112" s="13"/>
      <c r="D112" s="1">
        <f>SUM(OSRRefD22_21x_0)</f>
        <v>3648</v>
      </c>
      <c r="E112" s="1"/>
      <c r="F112" s="5">
        <f t="shared" ref="F112:F113" si="93">IF(D$12=0,0,D112/D$12)</f>
        <v>5.907237904776555E-2</v>
      </c>
      <c r="G112" s="1"/>
      <c r="H112" s="1">
        <f>SUM(OSRRefH22_21x_0)</f>
        <v>3300</v>
      </c>
      <c r="I112" s="1"/>
      <c r="J112" s="5">
        <f t="shared" ref="J112:J113" si="94">IF(H$12=0,0,H112/H$12)</f>
        <v>0.25200458190148911</v>
      </c>
      <c r="K112" s="1"/>
      <c r="L112" s="1">
        <f t="shared" ref="L112:L113" si="95">+D112-H112</f>
        <v>348</v>
      </c>
      <c r="M112" s="1"/>
      <c r="N112" s="5">
        <f t="shared" ref="N112:N113" si="96">IF(H112=0,0,L112/H112)</f>
        <v>0.10545454545454545</v>
      </c>
      <c r="O112" s="13"/>
      <c r="P112" s="1">
        <f>SUM(OSRRefP22_21x_0)</f>
        <v>5836</v>
      </c>
      <c r="Q112" s="1"/>
      <c r="R112" s="5">
        <f t="shared" ref="R112:R113" si="97">IF(P$12=0,0,P112/P$12)</f>
        <v>1.1258257679294987E-2</v>
      </c>
      <c r="S112" s="1"/>
      <c r="T112" s="1">
        <f>SUM(OSRRefT22_21x_0)</f>
        <v>36300</v>
      </c>
      <c r="U112" s="1"/>
      <c r="V112" s="5">
        <f t="shared" ref="V112:V113" si="98">IF(T$12=0,0,T112/T$12)</f>
        <v>0.16293004780179088</v>
      </c>
      <c r="W112" s="1"/>
      <c r="X112" s="1">
        <f t="shared" ref="X112:X113" si="99">+P112-T112</f>
        <v>-30464</v>
      </c>
      <c r="Y112" s="1"/>
      <c r="Z112" s="5">
        <f t="shared" ref="Z112:Z113" si="100">IF(T112=0,0,X112/T112)</f>
        <v>-0.83922865013774106</v>
      </c>
    </row>
    <row r="113" spans="1:26" s="24" customFormat="1" hidden="1" outlineLevel="2" x14ac:dyDescent="0.25">
      <c r="A113" s="25"/>
      <c r="B113" s="11" t="str">
        <f>CONCATENATE("          ", "6274", " - ", "UTILITIES")</f>
        <v xml:space="preserve">          6274 - UTILITIES</v>
      </c>
      <c r="C113" s="11"/>
      <c r="D113" s="7">
        <v>3648</v>
      </c>
      <c r="E113" s="2"/>
      <c r="F113" s="6">
        <f t="shared" si="93"/>
        <v>5.907237904776555E-2</v>
      </c>
      <c r="G113" s="2"/>
      <c r="H113" s="7">
        <v>3300</v>
      </c>
      <c r="I113" s="2"/>
      <c r="J113" s="6">
        <f t="shared" si="94"/>
        <v>0.25200458190148911</v>
      </c>
      <c r="K113" s="2"/>
      <c r="L113" s="7">
        <f t="shared" si="95"/>
        <v>348</v>
      </c>
      <c r="M113" s="2"/>
      <c r="N113" s="6">
        <f t="shared" si="96"/>
        <v>0.10545454545454545</v>
      </c>
      <c r="O113" s="11"/>
      <c r="P113" s="7">
        <v>5836</v>
      </c>
      <c r="Q113" s="2"/>
      <c r="R113" s="6">
        <f t="shared" si="97"/>
        <v>1.1258257679294987E-2</v>
      </c>
      <c r="S113" s="2"/>
      <c r="T113" s="7">
        <v>36300</v>
      </c>
      <c r="U113" s="2"/>
      <c r="V113" s="6">
        <f t="shared" si="98"/>
        <v>0.16293004780179088</v>
      </c>
      <c r="W113" s="2"/>
      <c r="X113" s="7">
        <f t="shared" si="99"/>
        <v>-30464</v>
      </c>
      <c r="Y113" s="2"/>
      <c r="Z113" s="6">
        <f t="shared" si="100"/>
        <v>-0.83922865013774106</v>
      </c>
    </row>
    <row r="114" spans="1:26" s="56" customFormat="1" x14ac:dyDescent="0.25">
      <c r="A114" s="36"/>
      <c r="B114" s="36"/>
      <c r="C114" s="36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6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collapsed="1" x14ac:dyDescent="0.25">
      <c r="A115" s="10"/>
      <c r="B115" s="29" t="s">
        <v>293</v>
      </c>
      <c r="C115" s="10"/>
      <c r="D115" s="4">
        <f>SUM(OSRRefD25x_0)</f>
        <v>41.26</v>
      </c>
      <c r="E115" s="4"/>
      <c r="F115" s="12">
        <f t="shared" ref="F115:F119" si="101">IF(D$12=0,0,D115/D$12)</f>
        <v>6.6812674328695348E-4</v>
      </c>
      <c r="G115" s="4"/>
      <c r="H115" s="4">
        <f>SUM(OSRRefH25x_0)</f>
        <v>15263</v>
      </c>
      <c r="I115" s="4"/>
      <c r="J115" s="12">
        <f t="shared" ref="J115:J119" si="102">IF(H$12=0,0,H115/H$12)</f>
        <v>1.1655593738067964</v>
      </c>
      <c r="K115" s="4"/>
      <c r="L115" s="4">
        <f t="shared" ref="L115:L119" si="103">+D115-H115</f>
        <v>-15221.74</v>
      </c>
      <c r="M115" s="4"/>
      <c r="N115" s="12">
        <f t="shared" ref="N115:N119" si="104">IF(H115=0,0,L115/H115)</f>
        <v>-0.99729673065583435</v>
      </c>
      <c r="O115" s="10"/>
      <c r="P115" s="4">
        <f>SUM(OSRRefP25x_0)</f>
        <v>22486.66</v>
      </c>
      <c r="Q115" s="4"/>
      <c r="R115" s="12">
        <f t="shared" ref="R115:R119" si="105">IF(P$12=0,0,P115/P$12)</f>
        <v>4.3379131704368648E-2</v>
      </c>
      <c r="S115" s="4"/>
      <c r="T115" s="4">
        <f>SUM(OSRRefT25x_0)</f>
        <v>78950</v>
      </c>
      <c r="U115" s="4"/>
      <c r="V115" s="12">
        <f t="shared" ref="V115:V119" si="106">IF(T$12=0,0,T115/T$12)</f>
        <v>0.35436163289122286</v>
      </c>
      <c r="W115" s="4"/>
      <c r="X115" s="4">
        <f t="shared" ref="X115:X119" si="107">+P115-T115</f>
        <v>-56463.34</v>
      </c>
      <c r="Y115" s="4"/>
      <c r="Z115" s="12">
        <f t="shared" ref="Z115:Z119" si="108">IF(T115=0,0,X115/T115)</f>
        <v>-0.71517846738442048</v>
      </c>
    </row>
    <row r="116" spans="1:26" s="24" customFormat="1" hidden="1" outlineLevel="1" x14ac:dyDescent="0.25">
      <c r="A116" s="44"/>
      <c r="B116" s="11" t="str">
        <f>CONCATENATE("          ", "9150", " - ", "MISC. INCOME")</f>
        <v xml:space="preserve">          9150 - MISC. INCOME</v>
      </c>
      <c r="C116" s="11"/>
      <c r="D116" s="2">
        <f>--8.44</f>
        <v>8.44</v>
      </c>
      <c r="E116" s="2"/>
      <c r="F116" s="19">
        <f t="shared" si="101"/>
        <v>1.3666964889340493E-4</v>
      </c>
      <c r="G116" s="2"/>
      <c r="H116" s="2">
        <v>3557</v>
      </c>
      <c r="I116" s="2"/>
      <c r="J116" s="19">
        <f t="shared" si="102"/>
        <v>0.27163039327987781</v>
      </c>
      <c r="K116" s="2"/>
      <c r="L116" s="2">
        <f t="shared" si="103"/>
        <v>-3548.56</v>
      </c>
      <c r="M116" s="2"/>
      <c r="N116" s="19">
        <f t="shared" si="104"/>
        <v>-0.99762721394433507</v>
      </c>
      <c r="O116" s="11"/>
      <c r="P116" s="2">
        <f>--5349.92</f>
        <v>5349.92</v>
      </c>
      <c r="Q116" s="2"/>
      <c r="R116" s="19">
        <f t="shared" si="105"/>
        <v>1.0320558245992777E-2</v>
      </c>
      <c r="S116" s="2"/>
      <c r="T116" s="2">
        <v>27061</v>
      </c>
      <c r="U116" s="2"/>
      <c r="V116" s="19">
        <f t="shared" si="106"/>
        <v>0.1214614331560403</v>
      </c>
      <c r="W116" s="2"/>
      <c r="X116" s="2">
        <f t="shared" si="107"/>
        <v>-21711.08</v>
      </c>
      <c r="Y116" s="2"/>
      <c r="Z116" s="19">
        <f t="shared" si="108"/>
        <v>-0.80230146705591077</v>
      </c>
    </row>
    <row r="117" spans="1:26" s="24" customFormat="1" hidden="1" outlineLevel="1" x14ac:dyDescent="0.25">
      <c r="A117" s="44"/>
      <c r="B117" s="11" t="str">
        <f>CONCATENATE("          ", "9151", " - ", "MISC. INCOME")</f>
        <v xml:space="preserve">          9151 - MISC. INCOME</v>
      </c>
      <c r="C117" s="11"/>
      <c r="D117" s="2">
        <f t="shared" ref="D117:D118" si="109">0</f>
        <v>0</v>
      </c>
      <c r="E117" s="2"/>
      <c r="F117" s="19">
        <f t="shared" si="101"/>
        <v>0</v>
      </c>
      <c r="G117" s="2"/>
      <c r="H117" s="2">
        <v>6027</v>
      </c>
      <c r="I117" s="2"/>
      <c r="J117" s="19">
        <f t="shared" si="102"/>
        <v>0.46025200458190146</v>
      </c>
      <c r="K117" s="2"/>
      <c r="L117" s="2">
        <f t="shared" si="103"/>
        <v>-6027</v>
      </c>
      <c r="M117" s="2"/>
      <c r="N117" s="19">
        <f t="shared" si="104"/>
        <v>-1</v>
      </c>
      <c r="O117" s="11"/>
      <c r="P117" s="2">
        <f>0</f>
        <v>0</v>
      </c>
      <c r="Q117" s="2"/>
      <c r="R117" s="19">
        <f t="shared" si="105"/>
        <v>0</v>
      </c>
      <c r="S117" s="2"/>
      <c r="T117" s="2">
        <v>35395</v>
      </c>
      <c r="U117" s="2"/>
      <c r="V117" s="19">
        <f t="shared" si="106"/>
        <v>0.15886801768441841</v>
      </c>
      <c r="W117" s="2"/>
      <c r="X117" s="2">
        <f t="shared" si="107"/>
        <v>-35395</v>
      </c>
      <c r="Y117" s="2"/>
      <c r="Z117" s="19">
        <f t="shared" si="108"/>
        <v>-1</v>
      </c>
    </row>
    <row r="118" spans="1:26" s="24" customFormat="1" hidden="1" outlineLevel="1" x14ac:dyDescent="0.25">
      <c r="A118" s="44"/>
      <c r="B118" s="11" t="str">
        <f>CONCATENATE("          ", "9160", " - ", "MISC. INCOME")</f>
        <v xml:space="preserve">          9160 - MISC. INCOME</v>
      </c>
      <c r="C118" s="11"/>
      <c r="D118" s="2">
        <f t="shared" si="109"/>
        <v>0</v>
      </c>
      <c r="E118" s="2"/>
      <c r="F118" s="19">
        <f t="shared" si="101"/>
        <v>0</v>
      </c>
      <c r="G118" s="2"/>
      <c r="H118" s="2">
        <v>5679</v>
      </c>
      <c r="I118" s="2"/>
      <c r="J118" s="19">
        <f t="shared" si="102"/>
        <v>0.4336769759450172</v>
      </c>
      <c r="K118" s="2"/>
      <c r="L118" s="2">
        <f t="shared" si="103"/>
        <v>-5679</v>
      </c>
      <c r="M118" s="2"/>
      <c r="N118" s="19">
        <f t="shared" si="104"/>
        <v>-1</v>
      </c>
      <c r="O118" s="11"/>
      <c r="P118" s="2">
        <f>--13615.06</f>
        <v>13615.06</v>
      </c>
      <c r="Q118" s="2"/>
      <c r="R118" s="19">
        <f t="shared" si="105"/>
        <v>2.6264882419304664E-2</v>
      </c>
      <c r="S118" s="2"/>
      <c r="T118" s="2">
        <v>16494</v>
      </c>
      <c r="U118" s="2"/>
      <c r="V118" s="19">
        <f t="shared" si="106"/>
        <v>7.4032182050764159E-2</v>
      </c>
      <c r="W118" s="2"/>
      <c r="X118" s="2">
        <f t="shared" si="107"/>
        <v>-2878.9400000000005</v>
      </c>
      <c r="Y118" s="2"/>
      <c r="Z118" s="19">
        <f t="shared" si="108"/>
        <v>-0.17454468291499942</v>
      </c>
    </row>
    <row r="119" spans="1:26" s="24" customFormat="1" hidden="1" outlineLevel="1" x14ac:dyDescent="0.25">
      <c r="A119" s="44"/>
      <c r="B119" s="11" t="str">
        <f>CONCATENATE("          ", "9165", " - ", "OTHER INCOME")</f>
        <v xml:space="preserve">          9165 - OTHER INCOME</v>
      </c>
      <c r="C119" s="11"/>
      <c r="D119" s="2">
        <f>--32.82</f>
        <v>32.82</v>
      </c>
      <c r="E119" s="2"/>
      <c r="F119" s="19">
        <f t="shared" si="101"/>
        <v>5.3145709439354858E-4</v>
      </c>
      <c r="G119" s="2"/>
      <c r="H119" s="2"/>
      <c r="I119" s="2"/>
      <c r="J119" s="19">
        <f t="shared" si="102"/>
        <v>0</v>
      </c>
      <c r="K119" s="2"/>
      <c r="L119" s="2">
        <f t="shared" si="103"/>
        <v>32.82</v>
      </c>
      <c r="M119" s="2"/>
      <c r="N119" s="19">
        <f t="shared" si="104"/>
        <v>0</v>
      </c>
      <c r="O119" s="11"/>
      <c r="P119" s="2">
        <f>--3521.68</f>
        <v>3521.68</v>
      </c>
      <c r="Q119" s="2"/>
      <c r="R119" s="19">
        <f t="shared" si="105"/>
        <v>6.7936910390712082E-3</v>
      </c>
      <c r="S119" s="2"/>
      <c r="T119" s="2"/>
      <c r="U119" s="2"/>
      <c r="V119" s="19">
        <f t="shared" si="106"/>
        <v>0</v>
      </c>
      <c r="W119" s="2"/>
      <c r="X119" s="2">
        <f t="shared" si="107"/>
        <v>3521.68</v>
      </c>
      <c r="Y119" s="2"/>
      <c r="Z119" s="19">
        <f t="shared" si="108"/>
        <v>0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8" t="s">
        <v>277</v>
      </c>
      <c r="C121" s="28"/>
      <c r="D121" s="20">
        <f>+D26-D28+D115</f>
        <v>-62136.580000000031</v>
      </c>
      <c r="E121" s="14"/>
      <c r="F121" s="21">
        <f>IF(D$12=0,0,D121/D$12)</f>
        <v>-1.0061830061655179</v>
      </c>
      <c r="G121" s="14"/>
      <c r="H121" s="20">
        <f>+H26-H28+H115</f>
        <v>-80271.997633379491</v>
      </c>
      <c r="I121" s="14"/>
      <c r="J121" s="21">
        <f>IF(H$12=0,0,H121/H$12)</f>
        <v>-6.1299730915142794</v>
      </c>
      <c r="K121" s="15"/>
      <c r="L121" s="20">
        <f>+D121-H121</f>
        <v>18135.41763337946</v>
      </c>
      <c r="M121" s="15"/>
      <c r="N121" s="21">
        <f>IF(H121=0,0,L121/H121)</f>
        <v>-0.22592458351675818</v>
      </c>
      <c r="O121" s="29"/>
      <c r="P121" s="20">
        <f>+P26-P28+P115</f>
        <v>-710632.8600000001</v>
      </c>
      <c r="Q121" s="14"/>
      <c r="R121" s="21">
        <f>IF(P$12=0,0,P121/P$12)</f>
        <v>-1.3708855128948527</v>
      </c>
      <c r="S121" s="14"/>
      <c r="T121" s="20">
        <f>+T26-T28+T115</f>
        <v>-981770.92640380515</v>
      </c>
      <c r="U121" s="14"/>
      <c r="V121" s="21">
        <f>IF(T$12=0,0,T121/T$12)</f>
        <v>-4.4066111286330711</v>
      </c>
      <c r="W121" s="15"/>
      <c r="X121" s="20">
        <f>+P121-T121</f>
        <v>271138.06640380505</v>
      </c>
      <c r="Y121" s="15"/>
      <c r="Z121" s="21">
        <f>IF(T121=0,0,X121/T121)</f>
        <v>-0.27617243402895919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52"/>
      <c r="B123" s="10" t="s">
        <v>128</v>
      </c>
      <c r="C123" s="10"/>
      <c r="D123" s="4">
        <v>15245.01</v>
      </c>
      <c r="E123" s="4"/>
      <c r="F123" s="12">
        <f>IF(D$12=0,0,D123/D$12)</f>
        <v>0.24686376351616673</v>
      </c>
      <c r="G123" s="4"/>
      <c r="H123" s="4">
        <v>3145</v>
      </c>
      <c r="I123" s="4"/>
      <c r="J123" s="12">
        <f>IF(H$12=0,0,H123/H$12)</f>
        <v>0.24016800305460098</v>
      </c>
      <c r="K123" s="4"/>
      <c r="L123" s="4">
        <f>+D123-H123</f>
        <v>12100.01</v>
      </c>
      <c r="M123" s="4"/>
      <c r="N123" s="12">
        <f>IF(H123=0,0,L123/H123)</f>
        <v>3.8473799682034975</v>
      </c>
      <c r="O123" s="10"/>
      <c r="P123" s="4">
        <v>110771.83</v>
      </c>
      <c r="Q123" s="4"/>
      <c r="R123" s="12">
        <f>IF(P$12=0,0,P123/P$12)</f>
        <v>0.21369050818147001</v>
      </c>
      <c r="S123" s="4"/>
      <c r="T123" s="4">
        <v>41132</v>
      </c>
      <c r="U123" s="4"/>
      <c r="V123" s="12">
        <f>IF(T$12=0,0,T123/T$12)</f>
        <v>0.18461814672681165</v>
      </c>
      <c r="W123" s="4"/>
      <c r="X123" s="4">
        <f>+P123-T123</f>
        <v>69639.83</v>
      </c>
      <c r="Y123" s="4"/>
      <c r="Z123" s="12">
        <f>IF(T123=0,0,X123/T123)</f>
        <v>1.6930815423514538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8" t="s">
        <v>126</v>
      </c>
      <c r="C125" s="28"/>
      <c r="D125" s="35">
        <f>+D121-D123</f>
        <v>-77381.590000000026</v>
      </c>
      <c r="E125" s="14"/>
      <c r="F125" s="34">
        <f>IF(D$12=0,0,D125/D$12)</f>
        <v>-1.2530467696816847</v>
      </c>
      <c r="G125" s="14"/>
      <c r="H125" s="35">
        <f>+H121-H123</f>
        <v>-83416.997633379491</v>
      </c>
      <c r="I125" s="14"/>
      <c r="J125" s="34">
        <f>IF(H$12=0,0,H125/H$12)</f>
        <v>-6.370141094568881</v>
      </c>
      <c r="K125" s="15"/>
      <c r="L125" s="35">
        <f>D125-H125</f>
        <v>6035.4076333794656</v>
      </c>
      <c r="M125" s="15"/>
      <c r="N125" s="34">
        <f>IF(H125=0,0,L125/H125)</f>
        <v>-7.2352251994315178E-2</v>
      </c>
      <c r="O125" s="29"/>
      <c r="P125" s="35">
        <f>+P121-P123</f>
        <v>-821404.69000000006</v>
      </c>
      <c r="Q125" s="14"/>
      <c r="R125" s="34">
        <f>IF(P$12=0,0,P125/P$12)</f>
        <v>-1.5845760210763227</v>
      </c>
      <c r="S125" s="14"/>
      <c r="T125" s="35">
        <f>+T121-T123</f>
        <v>-1022902.9264038051</v>
      </c>
      <c r="U125" s="14"/>
      <c r="V125" s="34">
        <f>IF(T$12=0,0,T125/T$12)</f>
        <v>-4.5912292753598827</v>
      </c>
      <c r="W125" s="15"/>
      <c r="X125" s="35">
        <f>P125-T125</f>
        <v>201498.23640380509</v>
      </c>
      <c r="Y125" s="15"/>
      <c r="Z125" s="34">
        <f>IF(T125=0,0,X125/T125)</f>
        <v>-0.19698666530577591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8" t="s">
        <v>294</v>
      </c>
      <c r="C128" s="28"/>
      <c r="D128" s="33">
        <f>SUM(D125:D127)</f>
        <v>-77381.590000000026</v>
      </c>
      <c r="E128" s="14"/>
      <c r="F128" s="32">
        <f>IF(D$12=0,0,D128/D$12)</f>
        <v>-1.2530467696816847</v>
      </c>
      <c r="G128" s="14"/>
      <c r="H128" s="33">
        <f>SUM(H125:H127)</f>
        <v>-83416.997633379491</v>
      </c>
      <c r="I128" s="14"/>
      <c r="J128" s="32">
        <f>IF(H$12=0,0,H128/H$12)</f>
        <v>-6.370141094568881</v>
      </c>
      <c r="K128" s="15"/>
      <c r="L128" s="33">
        <f>+D128-H128</f>
        <v>6035.4076333794656</v>
      </c>
      <c r="M128" s="15"/>
      <c r="N128" s="32">
        <f>IF(H128=0,0,L128/H128)</f>
        <v>-7.2352251994315178E-2</v>
      </c>
      <c r="O128" s="29"/>
      <c r="P128" s="33">
        <f>SUM(P125:P127)</f>
        <v>-821404.69000000006</v>
      </c>
      <c r="Q128" s="14"/>
      <c r="R128" s="32">
        <f>IF(P$12=0,0,P128/P$12)</f>
        <v>-1.5845760210763227</v>
      </c>
      <c r="S128" s="14"/>
      <c r="T128" s="33">
        <f>SUM(T125:T127)</f>
        <v>-1022902.9264038051</v>
      </c>
      <c r="U128" s="14"/>
      <c r="V128" s="32">
        <f>IF(T$12=0,0,T128/T$12)</f>
        <v>-4.5912292753598827</v>
      </c>
      <c r="W128" s="15"/>
      <c r="X128" s="33">
        <f>+P128-T128</f>
        <v>201498.23640380509</v>
      </c>
      <c r="Y128" s="15"/>
      <c r="Z128" s="32">
        <f>IF(T128=0,0,X128/T128)</f>
        <v>-0.19698666530577591</v>
      </c>
    </row>
    <row r="129" spans="1:24" ht="15.75" thickTop="1" x14ac:dyDescent="0.25">
      <c r="A129" s="9"/>
      <c r="C129" s="9"/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A130" s="9"/>
      <c r="B130" s="60">
        <v>44356.891829548615</v>
      </c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4" x14ac:dyDescent="0.25">
      <c r="A131" s="9"/>
      <c r="B131" s="55" t="s">
        <v>56</v>
      </c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4" x14ac:dyDescent="0.25">
      <c r="A132" s="9"/>
      <c r="B132" s="63"/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4" x14ac:dyDescent="0.25"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","405", " - ", "Library Starbucks")</f>
        <v>Department 405 - Library Starbucks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5"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0</v>
      </c>
      <c r="M16" s="4"/>
      <c r="N16" s="12">
        <f t="shared" ref="N16:N18" si="9">IF(H16=0,0,L16/H16)</f>
        <v>0</v>
      </c>
      <c r="O16" s="10"/>
      <c r="P16" s="4">
        <f>SUM(OSRRefP16x_0)</f>
        <v>-2369.5500000000002</v>
      </c>
      <c r="Q16" s="4"/>
      <c r="R16" s="12">
        <f t="shared" ref="R16:R18" si="10">IF(P$12=0,0,P16/P$12)</f>
        <v>0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-2369.5500000000002</v>
      </c>
      <c r="Y16" s="4"/>
      <c r="Z16" s="12">
        <f t="shared" ref="Z16:Z18" si="13">IF(T16=0,0,X16/T16)</f>
        <v>0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0</v>
      </c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/>
      <c r="Q17" s="2"/>
      <c r="R17" s="19">
        <f t="shared" si="10"/>
        <v>0</v>
      </c>
      <c r="S17" s="2"/>
      <c r="T17" s="2">
        <v>0</v>
      </c>
      <c r="U17" s="2"/>
      <c r="V17" s="19">
        <f t="shared" si="11"/>
        <v>0</v>
      </c>
      <c r="W17" s="2"/>
      <c r="X17" s="2">
        <f t="shared" si="12"/>
        <v>0</v>
      </c>
      <c r="Y17" s="2"/>
      <c r="Z17" s="19">
        <f t="shared" si="13"/>
        <v>0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-2369.5500000000002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-2369.5500000000002</v>
      </c>
      <c r="Y18" s="2"/>
      <c r="Z18" s="19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108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0</v>
      </c>
      <c r="I20" s="14"/>
      <c r="J20" s="21">
        <f>IF(H$12=0,0,H20/H$12)</f>
        <v>0</v>
      </c>
      <c r="K20" s="15"/>
      <c r="L20" s="20">
        <f>+D20-H20</f>
        <v>0</v>
      </c>
      <c r="M20" s="15"/>
      <c r="N20" s="21">
        <f>IF(H20=0,0,L20/H20)</f>
        <v>0</v>
      </c>
      <c r="O20" s="29"/>
      <c r="P20" s="20">
        <f>P12-P16</f>
        <v>2369.5500000000002</v>
      </c>
      <c r="Q20" s="14"/>
      <c r="R20" s="21">
        <f>IF(P$12=0,0,P20/P$12)</f>
        <v>0</v>
      </c>
      <c r="S20" s="14"/>
      <c r="T20" s="20">
        <f>T12-T16</f>
        <v>0</v>
      </c>
      <c r="U20" s="14"/>
      <c r="V20" s="21">
        <f>IF(T$12=0,0,T20/T$12)</f>
        <v>0</v>
      </c>
      <c r="W20" s="15"/>
      <c r="X20" s="20">
        <f>+P20-T20</f>
        <v>2369.5500000000002</v>
      </c>
      <c r="Y20" s="15"/>
      <c r="Z20" s="21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295</v>
      </c>
      <c r="C22" s="10"/>
      <c r="D22" s="22">
        <f>SUM(OSRRefD22x_0)</f>
        <v>7546.01</v>
      </c>
      <c r="E22" s="22"/>
      <c r="F22" s="31">
        <f t="shared" ref="F22:F31" si="14">IF(D$12=0,0,D22/D$12)</f>
        <v>0</v>
      </c>
      <c r="G22" s="22"/>
      <c r="H22" s="22">
        <f>SUM(OSRRefH22x_0)</f>
        <v>7384.333333333333</v>
      </c>
      <c r="I22" s="22"/>
      <c r="J22" s="31">
        <f t="shared" ref="J22:J31" si="15">IF(H$12=0,0,H22/H$12)</f>
        <v>0</v>
      </c>
      <c r="K22" s="4"/>
      <c r="L22" s="22">
        <f t="shared" ref="L22:L31" si="16">+D22-H22</f>
        <v>161.67666666666719</v>
      </c>
      <c r="M22" s="4"/>
      <c r="N22" s="31">
        <f t="shared" ref="N22:N31" si="17">IF(H22=0,0,L22/H22)</f>
        <v>2.1894551528009822E-2</v>
      </c>
      <c r="O22" s="10"/>
      <c r="P22" s="22">
        <f>SUM(OSRRefP22x_0)</f>
        <v>81930.439999999988</v>
      </c>
      <c r="Q22" s="22"/>
      <c r="R22" s="31">
        <f t="shared" ref="R22:R31" si="18">IF(P$12=0,0,P22/P$12)</f>
        <v>0</v>
      </c>
      <c r="S22" s="22"/>
      <c r="T22" s="22">
        <f>SUM(OSRRefT22x_0)</f>
        <v>81518.666666666657</v>
      </c>
      <c r="U22" s="22"/>
      <c r="V22" s="31">
        <f t="shared" ref="V22:V31" si="19">IF(T$12=0,0,T22/T$12)</f>
        <v>0</v>
      </c>
      <c r="W22" s="4"/>
      <c r="X22" s="22">
        <f t="shared" ref="X22:X31" si="20">+P22-T22</f>
        <v>411.77333333333081</v>
      </c>
      <c r="Y22" s="4"/>
      <c r="Z22" s="31">
        <f t="shared" ref="Z22:Z31" si="21">IF(T22=0,0,X22/T22)</f>
        <v>5.0512765992246867E-3</v>
      </c>
    </row>
    <row r="23" spans="1:26" s="27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0</v>
      </c>
      <c r="M23" s="1"/>
      <c r="N23" s="5">
        <f t="shared" si="17"/>
        <v>0</v>
      </c>
      <c r="O23" s="13"/>
      <c r="P23" s="1">
        <f>SUM(OSRRefP22_0x_0)</f>
        <v>0.83</v>
      </c>
      <c r="Q23" s="1"/>
      <c r="R23" s="5">
        <f t="shared" si="18"/>
        <v>0</v>
      </c>
      <c r="S23" s="1"/>
      <c r="T23" s="1">
        <f>SUM(OSRRefT22_0x_0)</f>
        <v>0</v>
      </c>
      <c r="U23" s="1"/>
      <c r="V23" s="5">
        <f t="shared" si="19"/>
        <v>0</v>
      </c>
      <c r="W23" s="1"/>
      <c r="X23" s="1">
        <f t="shared" si="20"/>
        <v>0.83</v>
      </c>
      <c r="Y23" s="1"/>
      <c r="Z23" s="5">
        <f t="shared" si="21"/>
        <v>0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>
        <v>0.83</v>
      </c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0.83</v>
      </c>
      <c r="Y24" s="2"/>
      <c r="Z24" s="6">
        <f t="shared" si="21"/>
        <v>0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/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0</v>
      </c>
      <c r="Y25" s="2"/>
      <c r="Z25" s="6">
        <f t="shared" si="21"/>
        <v>0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/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0</v>
      </c>
      <c r="Y27" s="2"/>
      <c r="Z27" s="6">
        <f t="shared" si="21"/>
        <v>0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5"/>
      <c r="B29" s="11" t="str">
        <f>CONCATENATE("          ", "6116", " - ", "EDUCATIONAL BENEFITS")</f>
        <v xml:space="preserve">          6116 - EDUCATIONAL BENEFITS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0</v>
      </c>
      <c r="Y29" s="2"/>
      <c r="Z29" s="6">
        <f t="shared" si="21"/>
        <v>0</v>
      </c>
    </row>
    <row r="30" spans="1:26" s="24" customFormat="1" hidden="1" outlineLevel="2" x14ac:dyDescent="0.25">
      <c r="A30" s="25"/>
      <c r="B30" s="11" t="str">
        <f>CONCATENATE("          ", "6118", " - ", "VACATION")</f>
        <v xml:space="preserve">          6118 - VACATION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0</v>
      </c>
      <c r="Y30" s="2"/>
      <c r="Z30" s="6">
        <f t="shared" si="21"/>
        <v>0</v>
      </c>
    </row>
    <row r="31" spans="1:26" s="24" customFormat="1" hidden="1" outlineLevel="2" x14ac:dyDescent="0.25">
      <c r="A31" s="25"/>
      <c r="B31" s="11" t="str">
        <f>CONCATENATE("          ", "6119", " - ", "SICK LEAVE")</f>
        <v xml:space="preserve">          6119 - SICK LEAVE</v>
      </c>
      <c r="C31" s="11"/>
      <c r="D31" s="7"/>
      <c r="E31" s="2"/>
      <c r="F31" s="6">
        <f t="shared" si="14"/>
        <v>0</v>
      </c>
      <c r="G31" s="2"/>
      <c r="H31" s="7">
        <v>0</v>
      </c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/>
      <c r="Q31" s="2"/>
      <c r="R31" s="6">
        <f t="shared" si="18"/>
        <v>0</v>
      </c>
      <c r="S31" s="2"/>
      <c r="T31" s="7">
        <v>0</v>
      </c>
      <c r="U31" s="2"/>
      <c r="V31" s="6">
        <f t="shared" si="19"/>
        <v>0</v>
      </c>
      <c r="W31" s="2"/>
      <c r="X31" s="7">
        <f t="shared" si="20"/>
        <v>0</v>
      </c>
      <c r="Y31" s="2"/>
      <c r="Z31" s="6">
        <f t="shared" si="21"/>
        <v>0</v>
      </c>
    </row>
    <row r="32" spans="1:26" s="27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3"/>
      <c r="P32" s="1">
        <f>SUM(OSRRefP22_1x_0)</f>
        <v>0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0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5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5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5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5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5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25">
      <c r="A42" s="25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7" customFormat="1" outlineLevel="1" collapsed="1" x14ac:dyDescent="0.25">
      <c r="A43" s="26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SUM(OSRRefD22_2x_0)</f>
        <v>0</v>
      </c>
      <c r="E43" s="1"/>
      <c r="F43" s="5">
        <f t="shared" ref="F43:F49" si="30">IF(D$12=0,0,D43/D$12)</f>
        <v>0</v>
      </c>
      <c r="G43" s="1"/>
      <c r="H43" s="1">
        <f>SUM(OSRRefH22_2x_0)</f>
        <v>0</v>
      </c>
      <c r="I43" s="1"/>
      <c r="J43" s="5">
        <f t="shared" ref="J43:J49" si="31">IF(H$12=0,0,H43/H$12)</f>
        <v>0</v>
      </c>
      <c r="K43" s="1"/>
      <c r="L43" s="1">
        <f t="shared" ref="L43:L49" si="32">+D43-H43</f>
        <v>0</v>
      </c>
      <c r="M43" s="1"/>
      <c r="N43" s="5">
        <f t="shared" ref="N43:N49" si="33">IF(H43=0,0,L43/H43)</f>
        <v>0</v>
      </c>
      <c r="O43" s="13"/>
      <c r="P43" s="1">
        <f>SUM(OSRRefP22_2x_0)</f>
        <v>0</v>
      </c>
      <c r="Q43" s="1"/>
      <c r="R43" s="5">
        <f t="shared" ref="R43:R49" si="34">IF(P$12=0,0,P43/P$12)</f>
        <v>0</v>
      </c>
      <c r="S43" s="1"/>
      <c r="T43" s="1">
        <f>SUM(OSRRefT22_2x_0)</f>
        <v>0</v>
      </c>
      <c r="U43" s="1"/>
      <c r="V43" s="5">
        <f t="shared" ref="V43:V49" si="35">IF(T$12=0,0,T43/T$12)</f>
        <v>0</v>
      </c>
      <c r="W43" s="1"/>
      <c r="X43" s="1">
        <f t="shared" ref="X43:X49" si="36">+P43-T43</f>
        <v>0</v>
      </c>
      <c r="Y43" s="1"/>
      <c r="Z43" s="5">
        <f t="shared" ref="Z43:Z49" si="37">IF(T43=0,0,X43/T43)</f>
        <v>0</v>
      </c>
    </row>
    <row r="44" spans="1:26" s="24" customFormat="1" hidden="1" outlineLevel="2" x14ac:dyDescent="0.25">
      <c r="A44" s="25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30"/>
        <v>0</v>
      </c>
      <c r="G44" s="2"/>
      <c r="H44" s="7">
        <v>0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/>
      <c r="Q44" s="2"/>
      <c r="R44" s="6">
        <f t="shared" si="34"/>
        <v>0</v>
      </c>
      <c r="S44" s="2"/>
      <c r="T44" s="7">
        <v>0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7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3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30"/>
        <v>0</v>
      </c>
      <c r="G46" s="2"/>
      <c r="H46" s="7">
        <v>0</v>
      </c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0</v>
      </c>
      <c r="U46" s="2"/>
      <c r="V46" s="6">
        <f t="shared" si="35"/>
        <v>0</v>
      </c>
      <c r="W46" s="2"/>
      <c r="X46" s="7">
        <f t="shared" si="36"/>
        <v>0</v>
      </c>
      <c r="Y46" s="2"/>
      <c r="Z46" s="6">
        <f t="shared" si="37"/>
        <v>0</v>
      </c>
    </row>
    <row r="47" spans="1:26" s="27" customFormat="1" outlineLevel="1" collapsed="1" x14ac:dyDescent="0.25">
      <c r="A47" s="26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SUM(OSRRefD22_4x_0)</f>
        <v>5233.01</v>
      </c>
      <c r="E47" s="1"/>
      <c r="F47" s="5">
        <f t="shared" si="30"/>
        <v>0</v>
      </c>
      <c r="G47" s="1"/>
      <c r="H47" s="1">
        <f>SUM(OSRRefH22_4x_0)</f>
        <v>5233</v>
      </c>
      <c r="I47" s="1"/>
      <c r="J47" s="5">
        <f t="shared" si="31"/>
        <v>0</v>
      </c>
      <c r="K47" s="1"/>
      <c r="L47" s="1">
        <f t="shared" si="32"/>
        <v>1.0000000000218279E-2</v>
      </c>
      <c r="M47" s="1"/>
      <c r="N47" s="5">
        <f t="shared" si="33"/>
        <v>1.910949742063497E-6</v>
      </c>
      <c r="O47" s="13"/>
      <c r="P47" s="1">
        <f>SUM(OSRRefP22_4x_0)</f>
        <v>57854.229999999996</v>
      </c>
      <c r="Q47" s="1"/>
      <c r="R47" s="5">
        <f t="shared" si="34"/>
        <v>0</v>
      </c>
      <c r="S47" s="1"/>
      <c r="T47" s="1">
        <f>SUM(OSRRefT22_4x_0)</f>
        <v>57854</v>
      </c>
      <c r="U47" s="1"/>
      <c r="V47" s="5">
        <f t="shared" si="35"/>
        <v>0</v>
      </c>
      <c r="W47" s="1"/>
      <c r="X47" s="1">
        <f t="shared" si="36"/>
        <v>0.22999999999592546</v>
      </c>
      <c r="Y47" s="1"/>
      <c r="Z47" s="5">
        <f t="shared" si="37"/>
        <v>3.9755245963274013E-6</v>
      </c>
    </row>
    <row r="48" spans="1:26" s="24" customFormat="1" hidden="1" outlineLevel="2" x14ac:dyDescent="0.25">
      <c r="A48" s="25"/>
      <c r="B48" s="11" t="str">
        <f>CONCATENATE("          ", "6321", " - ", "BUILDING DEPRECIATION")</f>
        <v xml:space="preserve">          6321 - BUILDING DEPRECIATION</v>
      </c>
      <c r="C48" s="11"/>
      <c r="D48" s="7">
        <v>4626.5</v>
      </c>
      <c r="E48" s="2"/>
      <c r="F48" s="6">
        <f t="shared" si="30"/>
        <v>0</v>
      </c>
      <c r="G48" s="2"/>
      <c r="H48" s="7"/>
      <c r="I48" s="2"/>
      <c r="J48" s="6">
        <f t="shared" si="31"/>
        <v>0</v>
      </c>
      <c r="K48" s="2"/>
      <c r="L48" s="7">
        <f t="shared" si="32"/>
        <v>4626.5</v>
      </c>
      <c r="M48" s="2"/>
      <c r="N48" s="6">
        <f t="shared" si="33"/>
        <v>0</v>
      </c>
      <c r="O48" s="11"/>
      <c r="P48" s="7">
        <v>50891.5</v>
      </c>
      <c r="Q48" s="2"/>
      <c r="R48" s="6">
        <f t="shared" si="34"/>
        <v>0</v>
      </c>
      <c r="S48" s="2"/>
      <c r="T48" s="7"/>
      <c r="U48" s="2"/>
      <c r="V48" s="6">
        <f t="shared" si="35"/>
        <v>0</v>
      </c>
      <c r="W48" s="2"/>
      <c r="X48" s="7">
        <f t="shared" si="36"/>
        <v>50891.5</v>
      </c>
      <c r="Y48" s="2"/>
      <c r="Z48" s="6">
        <f t="shared" si="37"/>
        <v>0</v>
      </c>
    </row>
    <row r="49" spans="1:26" s="24" customFormat="1" hidden="1" outlineLevel="2" x14ac:dyDescent="0.25">
      <c r="A49" s="25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606.51</v>
      </c>
      <c r="E49" s="2"/>
      <c r="F49" s="6">
        <f t="shared" si="30"/>
        <v>0</v>
      </c>
      <c r="G49" s="2"/>
      <c r="H49" s="7">
        <v>5233</v>
      </c>
      <c r="I49" s="2"/>
      <c r="J49" s="6">
        <f t="shared" si="31"/>
        <v>0</v>
      </c>
      <c r="K49" s="2"/>
      <c r="L49" s="7">
        <f t="shared" si="32"/>
        <v>-4626.49</v>
      </c>
      <c r="M49" s="2"/>
      <c r="N49" s="6">
        <f t="shared" si="33"/>
        <v>-0.88409898719663671</v>
      </c>
      <c r="O49" s="11"/>
      <c r="P49" s="7">
        <v>6962.73</v>
      </c>
      <c r="Q49" s="2"/>
      <c r="R49" s="6">
        <f t="shared" si="34"/>
        <v>0</v>
      </c>
      <c r="S49" s="2"/>
      <c r="T49" s="7">
        <v>57854</v>
      </c>
      <c r="U49" s="2"/>
      <c r="V49" s="6">
        <f t="shared" si="35"/>
        <v>0</v>
      </c>
      <c r="W49" s="2"/>
      <c r="X49" s="7">
        <f t="shared" si="36"/>
        <v>-50891.270000000004</v>
      </c>
      <c r="Y49" s="2"/>
      <c r="Z49" s="6">
        <f t="shared" si="37"/>
        <v>-0.87964998098662162</v>
      </c>
    </row>
    <row r="50" spans="1:26" s="27" customFormat="1" outlineLevel="1" collapsed="1" x14ac:dyDescent="0.25">
      <c r="A50" s="26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SUM(OSRRefD22_5x_0)</f>
        <v>0</v>
      </c>
      <c r="E50" s="1"/>
      <c r="F50" s="5">
        <f t="shared" ref="F50:F60" si="38">IF(D$12=0,0,D50/D$12)</f>
        <v>0</v>
      </c>
      <c r="G50" s="1"/>
      <c r="H50" s="1">
        <f>SUM(OSRRefH22_5x_0)</f>
        <v>0</v>
      </c>
      <c r="I50" s="1"/>
      <c r="J50" s="5">
        <f t="shared" ref="J50:J60" si="39">IF(H$12=0,0,H50/H$12)</f>
        <v>0</v>
      </c>
      <c r="K50" s="1"/>
      <c r="L50" s="1">
        <f t="shared" ref="L50:L60" si="40">+D50-H50</f>
        <v>0</v>
      </c>
      <c r="M50" s="1"/>
      <c r="N50" s="5">
        <f t="shared" ref="N50:N60" si="41">IF(H50=0,0,L50/H50)</f>
        <v>0</v>
      </c>
      <c r="O50" s="13"/>
      <c r="P50" s="1">
        <f>SUM(OSRRefP22_5x_0)</f>
        <v>0</v>
      </c>
      <c r="Q50" s="1"/>
      <c r="R50" s="5">
        <f t="shared" ref="R50:R60" si="42">IF(P$12=0,0,P50/P$12)</f>
        <v>0</v>
      </c>
      <c r="S50" s="1"/>
      <c r="T50" s="1">
        <f>SUM(OSRRefT22_5x_0)</f>
        <v>0</v>
      </c>
      <c r="U50" s="1"/>
      <c r="V50" s="5">
        <f t="shared" ref="V50:V60" si="43">IF(T$12=0,0,T50/T$12)</f>
        <v>0</v>
      </c>
      <c r="W50" s="1"/>
      <c r="X50" s="1">
        <f t="shared" ref="X50:X60" si="44">+P50-T50</f>
        <v>0</v>
      </c>
      <c r="Y50" s="1"/>
      <c r="Z50" s="5">
        <f t="shared" ref="Z50:Z60" si="45">IF(T50=0,0,X50/T50)</f>
        <v>0</v>
      </c>
    </row>
    <row r="51" spans="1:26" s="24" customFormat="1" hidden="1" outlineLevel="2" x14ac:dyDescent="0.25">
      <c r="A51" s="25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38"/>
        <v>0</v>
      </c>
      <c r="G51" s="2"/>
      <c r="H51" s="7">
        <v>0</v>
      </c>
      <c r="I51" s="2"/>
      <c r="J51" s="6">
        <f t="shared" si="39"/>
        <v>0</v>
      </c>
      <c r="K51" s="2"/>
      <c r="L51" s="7">
        <f t="shared" si="40"/>
        <v>0</v>
      </c>
      <c r="M51" s="2"/>
      <c r="N51" s="6">
        <f t="shared" si="41"/>
        <v>0</v>
      </c>
      <c r="O51" s="11"/>
      <c r="P51" s="7"/>
      <c r="Q51" s="2"/>
      <c r="R51" s="6">
        <f t="shared" si="42"/>
        <v>0</v>
      </c>
      <c r="S51" s="2"/>
      <c r="T51" s="7">
        <v>0</v>
      </c>
      <c r="U51" s="2"/>
      <c r="V51" s="6">
        <f t="shared" si="43"/>
        <v>0</v>
      </c>
      <c r="W51" s="2"/>
      <c r="X51" s="7">
        <f t="shared" si="44"/>
        <v>0</v>
      </c>
      <c r="Y51" s="2"/>
      <c r="Z51" s="6">
        <f t="shared" si="45"/>
        <v>0</v>
      </c>
    </row>
    <row r="52" spans="1:26" s="27" customFormat="1" outlineLevel="1" collapsed="1" x14ac:dyDescent="0.25">
      <c r="A52" s="26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SUM(OSRRefD22_6x_0)</f>
        <v>0</v>
      </c>
      <c r="E52" s="1"/>
      <c r="F52" s="5">
        <f t="shared" si="38"/>
        <v>0</v>
      </c>
      <c r="G52" s="1"/>
      <c r="H52" s="1">
        <f>SUM(OSRRefH22_6x_0)</f>
        <v>208.333333333333</v>
      </c>
      <c r="I52" s="1"/>
      <c r="J52" s="5">
        <f t="shared" si="39"/>
        <v>0</v>
      </c>
      <c r="K52" s="1"/>
      <c r="L52" s="1">
        <f t="shared" si="40"/>
        <v>-208.333333333333</v>
      </c>
      <c r="M52" s="1"/>
      <c r="N52" s="5">
        <f t="shared" si="41"/>
        <v>-1</v>
      </c>
      <c r="O52" s="13"/>
      <c r="P52" s="1">
        <f>SUM(OSRRefP22_6x_0)</f>
        <v>96.3</v>
      </c>
      <c r="Q52" s="1"/>
      <c r="R52" s="5">
        <f t="shared" si="42"/>
        <v>0</v>
      </c>
      <c r="S52" s="1"/>
      <c r="T52" s="1">
        <f>SUM(OSRRefT22_6x_0)</f>
        <v>2291.6666666666601</v>
      </c>
      <c r="U52" s="1"/>
      <c r="V52" s="5">
        <f t="shared" si="43"/>
        <v>0</v>
      </c>
      <c r="W52" s="1"/>
      <c r="X52" s="1">
        <f t="shared" si="44"/>
        <v>-2195.36666666666</v>
      </c>
      <c r="Y52" s="1"/>
      <c r="Z52" s="5">
        <f t="shared" si="45"/>
        <v>-0.95797818181818162</v>
      </c>
    </row>
    <row r="53" spans="1:26" s="24" customFormat="1" hidden="1" outlineLevel="2" x14ac:dyDescent="0.25">
      <c r="A53" s="25"/>
      <c r="B53" s="11" t="str">
        <f>CONCATENATE("          ", "6351", " - ", "EQUIPMENT RENTAL")</f>
        <v xml:space="preserve">          6351 - EQUIPMENT RENTAL</v>
      </c>
      <c r="C53" s="11"/>
      <c r="D53" s="7"/>
      <c r="E53" s="2"/>
      <c r="F53" s="6">
        <f t="shared" si="38"/>
        <v>0</v>
      </c>
      <c r="G53" s="2"/>
      <c r="H53" s="7">
        <v>208.333333333333</v>
      </c>
      <c r="I53" s="2"/>
      <c r="J53" s="6">
        <f t="shared" si="39"/>
        <v>0</v>
      </c>
      <c r="K53" s="2"/>
      <c r="L53" s="7">
        <f t="shared" si="40"/>
        <v>-208.333333333333</v>
      </c>
      <c r="M53" s="2"/>
      <c r="N53" s="6">
        <f t="shared" si="41"/>
        <v>-1</v>
      </c>
      <c r="O53" s="11"/>
      <c r="P53" s="7">
        <v>96.3</v>
      </c>
      <c r="Q53" s="2"/>
      <c r="R53" s="6">
        <f t="shared" si="42"/>
        <v>0</v>
      </c>
      <c r="S53" s="2"/>
      <c r="T53" s="7">
        <v>2291.6666666666601</v>
      </c>
      <c r="U53" s="2"/>
      <c r="V53" s="6">
        <f t="shared" si="43"/>
        <v>0</v>
      </c>
      <c r="W53" s="2"/>
      <c r="X53" s="7">
        <f t="shared" si="44"/>
        <v>-2195.36666666666</v>
      </c>
      <c r="Y53" s="2"/>
      <c r="Z53" s="6">
        <f t="shared" si="45"/>
        <v>-0.95797818181818162</v>
      </c>
    </row>
    <row r="54" spans="1:26" s="27" customFormat="1" outlineLevel="1" collapsed="1" x14ac:dyDescent="0.25">
      <c r="A54" s="26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SUM(OSRRefD22_7x_0)</f>
        <v>0</v>
      </c>
      <c r="E54" s="1"/>
      <c r="F54" s="5">
        <f t="shared" si="38"/>
        <v>0</v>
      </c>
      <c r="G54" s="1"/>
      <c r="H54" s="1">
        <f>SUM(OSRRefH22_7x_0)</f>
        <v>0</v>
      </c>
      <c r="I54" s="1"/>
      <c r="J54" s="5">
        <f t="shared" si="39"/>
        <v>0</v>
      </c>
      <c r="K54" s="1"/>
      <c r="L54" s="1">
        <f t="shared" si="40"/>
        <v>0</v>
      </c>
      <c r="M54" s="1"/>
      <c r="N54" s="5">
        <f t="shared" si="41"/>
        <v>0</v>
      </c>
      <c r="O54" s="13"/>
      <c r="P54" s="1">
        <f>SUM(OSRRefP22_7x_0)</f>
        <v>0</v>
      </c>
      <c r="Q54" s="1"/>
      <c r="R54" s="5">
        <f t="shared" si="42"/>
        <v>0</v>
      </c>
      <c r="S54" s="1"/>
      <c r="T54" s="1">
        <f>SUM(OSRRefT22_7x_0)</f>
        <v>0</v>
      </c>
      <c r="U54" s="1"/>
      <c r="V54" s="5">
        <f t="shared" si="43"/>
        <v>0</v>
      </c>
      <c r="W54" s="1"/>
      <c r="X54" s="1">
        <f t="shared" si="44"/>
        <v>0</v>
      </c>
      <c r="Y54" s="1"/>
      <c r="Z54" s="5">
        <f t="shared" si="45"/>
        <v>0</v>
      </c>
    </row>
    <row r="55" spans="1:26" s="24" customFormat="1" hidden="1" outlineLevel="2" x14ac:dyDescent="0.25">
      <c r="A55" s="25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38"/>
        <v>0</v>
      </c>
      <c r="G55" s="2"/>
      <c r="H55" s="7">
        <v>0</v>
      </c>
      <c r="I55" s="2"/>
      <c r="J55" s="6">
        <f t="shared" si="39"/>
        <v>0</v>
      </c>
      <c r="K55" s="2"/>
      <c r="L55" s="7">
        <f t="shared" si="40"/>
        <v>0</v>
      </c>
      <c r="M55" s="2"/>
      <c r="N55" s="6">
        <f t="shared" si="41"/>
        <v>0</v>
      </c>
      <c r="O55" s="11"/>
      <c r="P55" s="7">
        <v>0</v>
      </c>
      <c r="Q55" s="2"/>
      <c r="R55" s="6">
        <f t="shared" si="42"/>
        <v>0</v>
      </c>
      <c r="S55" s="2"/>
      <c r="T55" s="7">
        <v>0</v>
      </c>
      <c r="U55" s="2"/>
      <c r="V55" s="6">
        <f t="shared" si="43"/>
        <v>0</v>
      </c>
      <c r="W55" s="2"/>
      <c r="X55" s="7">
        <f t="shared" si="44"/>
        <v>0</v>
      </c>
      <c r="Y55" s="2"/>
      <c r="Z55" s="6">
        <f t="shared" si="45"/>
        <v>0</v>
      </c>
    </row>
    <row r="56" spans="1:26" s="27" customFormat="1" outlineLevel="1" collapsed="1" x14ac:dyDescent="0.25">
      <c r="A56" s="26"/>
      <c r="B56" s="13" t="str">
        <f>CONCATENATE("     ","Rent                                              ")</f>
        <v xml:space="preserve">     Rent                                              </v>
      </c>
      <c r="C56" s="13"/>
      <c r="D56" s="1">
        <f>SUM(OSRRefD22_8x_0)</f>
        <v>1850</v>
      </c>
      <c r="E56" s="1"/>
      <c r="F56" s="5">
        <f t="shared" si="38"/>
        <v>0</v>
      </c>
      <c r="G56" s="1"/>
      <c r="H56" s="1">
        <f>SUM(OSRRefH22_8x_0)</f>
        <v>1943</v>
      </c>
      <c r="I56" s="1"/>
      <c r="J56" s="5">
        <f t="shared" si="39"/>
        <v>0</v>
      </c>
      <c r="K56" s="1"/>
      <c r="L56" s="1">
        <f t="shared" si="40"/>
        <v>-93</v>
      </c>
      <c r="M56" s="1"/>
      <c r="N56" s="5">
        <f t="shared" si="41"/>
        <v>-4.7864127637673698E-2</v>
      </c>
      <c r="O56" s="13"/>
      <c r="P56" s="1">
        <f>SUM(OSRRefP22_8x_0)</f>
        <v>14800</v>
      </c>
      <c r="Q56" s="1"/>
      <c r="R56" s="5">
        <f t="shared" si="42"/>
        <v>0</v>
      </c>
      <c r="S56" s="1"/>
      <c r="T56" s="1">
        <f>SUM(OSRRefT22_8x_0)</f>
        <v>21373</v>
      </c>
      <c r="U56" s="1"/>
      <c r="V56" s="5">
        <f t="shared" si="43"/>
        <v>0</v>
      </c>
      <c r="W56" s="1"/>
      <c r="X56" s="1">
        <f t="shared" si="44"/>
        <v>-6573</v>
      </c>
      <c r="Y56" s="1"/>
      <c r="Z56" s="5">
        <f t="shared" si="45"/>
        <v>-0.3075375473728536</v>
      </c>
    </row>
    <row r="57" spans="1:26" s="24" customFormat="1" hidden="1" outlineLevel="2" x14ac:dyDescent="0.25">
      <c r="A57" s="25"/>
      <c r="B57" s="11" t="str">
        <f>CONCATENATE("          ", "6273", " - ", "RENT")</f>
        <v xml:space="preserve">          6273 - RENT</v>
      </c>
      <c r="C57" s="11"/>
      <c r="D57" s="7">
        <v>1850</v>
      </c>
      <c r="E57" s="2"/>
      <c r="F57" s="6">
        <f t="shared" si="38"/>
        <v>0</v>
      </c>
      <c r="G57" s="2"/>
      <c r="H57" s="7">
        <v>1943</v>
      </c>
      <c r="I57" s="2"/>
      <c r="J57" s="6">
        <f t="shared" si="39"/>
        <v>0</v>
      </c>
      <c r="K57" s="2"/>
      <c r="L57" s="7">
        <f t="shared" si="40"/>
        <v>-93</v>
      </c>
      <c r="M57" s="2"/>
      <c r="N57" s="6">
        <f t="shared" si="41"/>
        <v>-4.7864127637673698E-2</v>
      </c>
      <c r="O57" s="11"/>
      <c r="P57" s="7">
        <v>14800</v>
      </c>
      <c r="Q57" s="2"/>
      <c r="R57" s="6">
        <f t="shared" si="42"/>
        <v>0</v>
      </c>
      <c r="S57" s="2"/>
      <c r="T57" s="7">
        <v>21373</v>
      </c>
      <c r="U57" s="2"/>
      <c r="V57" s="6">
        <f t="shared" si="43"/>
        <v>0</v>
      </c>
      <c r="W57" s="2"/>
      <c r="X57" s="7">
        <f t="shared" si="44"/>
        <v>-6573</v>
      </c>
      <c r="Y57" s="2"/>
      <c r="Z57" s="6">
        <f t="shared" si="45"/>
        <v>-0.3075375473728536</v>
      </c>
    </row>
    <row r="58" spans="1:26" s="27" customFormat="1" outlineLevel="1" collapsed="1" x14ac:dyDescent="0.25">
      <c r="A58" s="26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SUM(OSRRefD22_9x_0)</f>
        <v>0</v>
      </c>
      <c r="E58" s="1"/>
      <c r="F58" s="5">
        <f t="shared" si="38"/>
        <v>0</v>
      </c>
      <c r="G58" s="1"/>
      <c r="H58" s="1">
        <f>SUM(OSRRefH22_9x_0)</f>
        <v>0</v>
      </c>
      <c r="I58" s="1"/>
      <c r="J58" s="5">
        <f t="shared" si="39"/>
        <v>0</v>
      </c>
      <c r="K58" s="1"/>
      <c r="L58" s="1">
        <f t="shared" si="40"/>
        <v>0</v>
      </c>
      <c r="M58" s="1"/>
      <c r="N58" s="5">
        <f t="shared" si="41"/>
        <v>0</v>
      </c>
      <c r="O58" s="13"/>
      <c r="P58" s="1">
        <f>SUM(OSRRefP22_9x_0)</f>
        <v>6387.65</v>
      </c>
      <c r="Q58" s="1"/>
      <c r="R58" s="5">
        <f t="shared" si="42"/>
        <v>0</v>
      </c>
      <c r="S58" s="1"/>
      <c r="T58" s="1">
        <f>SUM(OSRRefT22_9x_0)</f>
        <v>0</v>
      </c>
      <c r="U58" s="1"/>
      <c r="V58" s="5">
        <f t="shared" si="43"/>
        <v>0</v>
      </c>
      <c r="W58" s="1"/>
      <c r="X58" s="1">
        <f t="shared" si="44"/>
        <v>6387.65</v>
      </c>
      <c r="Y58" s="1"/>
      <c r="Z58" s="5">
        <f t="shared" si="45"/>
        <v>0</v>
      </c>
    </row>
    <row r="59" spans="1:26" s="24" customFormat="1" hidden="1" outlineLevel="2" x14ac:dyDescent="0.25">
      <c r="A59" s="25"/>
      <c r="B59" s="11" t="str">
        <f>CONCATENATE("          ", "6373", " - ", "MAINTENANCE CONTRACTS")</f>
        <v xml:space="preserve">          6373 - MAINTENANCE CONTRACTS</v>
      </c>
      <c r="C59" s="11"/>
      <c r="D59" s="7"/>
      <c r="E59" s="2"/>
      <c r="F59" s="6">
        <f t="shared" si="38"/>
        <v>0</v>
      </c>
      <c r="G59" s="2"/>
      <c r="H59" s="7">
        <v>0</v>
      </c>
      <c r="I59" s="2"/>
      <c r="J59" s="6">
        <f t="shared" si="39"/>
        <v>0</v>
      </c>
      <c r="K59" s="2"/>
      <c r="L59" s="7">
        <f t="shared" si="40"/>
        <v>0</v>
      </c>
      <c r="M59" s="2"/>
      <c r="N59" s="6">
        <f t="shared" si="41"/>
        <v>0</v>
      </c>
      <c r="O59" s="11"/>
      <c r="P59" s="7">
        <v>5845.65</v>
      </c>
      <c r="Q59" s="2"/>
      <c r="R59" s="6">
        <f t="shared" si="42"/>
        <v>0</v>
      </c>
      <c r="S59" s="2"/>
      <c r="T59" s="7">
        <v>0</v>
      </c>
      <c r="U59" s="2"/>
      <c r="V59" s="6">
        <f t="shared" si="43"/>
        <v>0</v>
      </c>
      <c r="W59" s="2"/>
      <c r="X59" s="7">
        <f t="shared" si="44"/>
        <v>5845.65</v>
      </c>
      <c r="Y59" s="2"/>
      <c r="Z59" s="6">
        <f t="shared" si="45"/>
        <v>0</v>
      </c>
    </row>
    <row r="60" spans="1:26" s="24" customFormat="1" hidden="1" outlineLevel="2" x14ac:dyDescent="0.25">
      <c r="A60" s="25"/>
      <c r="B60" s="11" t="str">
        <f>CONCATENATE("          ", "6375", " - ", "OUTSIDE REPAIRS &amp; MAINTENANCE")</f>
        <v xml:space="preserve">          6375 - OUTSIDE REPAIRS &amp; MAINTENANCE</v>
      </c>
      <c r="C60" s="11"/>
      <c r="D60" s="7"/>
      <c r="E60" s="2"/>
      <c r="F60" s="6">
        <f t="shared" si="38"/>
        <v>0</v>
      </c>
      <c r="G60" s="2"/>
      <c r="H60" s="7">
        <v>0</v>
      </c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>
        <v>542</v>
      </c>
      <c r="Q60" s="2"/>
      <c r="R60" s="6">
        <f t="shared" si="42"/>
        <v>0</v>
      </c>
      <c r="S60" s="2"/>
      <c r="T60" s="7">
        <v>0</v>
      </c>
      <c r="U60" s="2"/>
      <c r="V60" s="6">
        <f t="shared" si="43"/>
        <v>0</v>
      </c>
      <c r="W60" s="2"/>
      <c r="X60" s="7">
        <f t="shared" si="44"/>
        <v>542</v>
      </c>
      <c r="Y60" s="2"/>
      <c r="Z60" s="6">
        <f t="shared" si="45"/>
        <v>0</v>
      </c>
    </row>
    <row r="61" spans="1:26" s="27" customFormat="1" outlineLevel="1" collapsed="1" x14ac:dyDescent="0.25">
      <c r="A61" s="26"/>
      <c r="B61" s="13" t="str">
        <f>CONCATENATE("     ","Royalty &amp; Commissions                             ")</f>
        <v xml:space="preserve">     Royalty &amp; Commissions                             </v>
      </c>
      <c r="C61" s="13"/>
      <c r="D61" s="1">
        <f>SUM(OSRRefD22_10x_0)</f>
        <v>0</v>
      </c>
      <c r="E61" s="1"/>
      <c r="F61" s="5">
        <f t="shared" ref="F61:F67" si="46">IF(D$12=0,0,D61/D$12)</f>
        <v>0</v>
      </c>
      <c r="G61" s="1"/>
      <c r="H61" s="1">
        <f>SUM(OSRRefH22_10x_0)</f>
        <v>0</v>
      </c>
      <c r="I61" s="1"/>
      <c r="J61" s="5">
        <f t="shared" ref="J61:J67" si="47">IF(H$12=0,0,H61/H$12)</f>
        <v>0</v>
      </c>
      <c r="K61" s="1"/>
      <c r="L61" s="1">
        <f t="shared" ref="L61:L67" si="48">+D61-H61</f>
        <v>0</v>
      </c>
      <c r="M61" s="1"/>
      <c r="N61" s="5">
        <f t="shared" ref="N61:N67" si="49">IF(H61=0,0,L61/H61)</f>
        <v>0</v>
      </c>
      <c r="O61" s="13"/>
      <c r="P61" s="1">
        <f>SUM(OSRRefP22_10x_0)</f>
        <v>0</v>
      </c>
      <c r="Q61" s="1"/>
      <c r="R61" s="5">
        <f t="shared" ref="R61:R67" si="50">IF(P$12=0,0,P61/P$12)</f>
        <v>0</v>
      </c>
      <c r="S61" s="1"/>
      <c r="T61" s="1">
        <f>SUM(OSRRefT22_10x_0)</f>
        <v>0</v>
      </c>
      <c r="U61" s="1"/>
      <c r="V61" s="5">
        <f t="shared" ref="V61:V67" si="51">IF(T$12=0,0,T61/T$12)</f>
        <v>0</v>
      </c>
      <c r="W61" s="1"/>
      <c r="X61" s="1">
        <f t="shared" ref="X61:X67" si="52">+P61-T61</f>
        <v>0</v>
      </c>
      <c r="Y61" s="1"/>
      <c r="Z61" s="5">
        <f t="shared" ref="Z61:Z67" si="53">IF(T61=0,0,X61/T61)</f>
        <v>0</v>
      </c>
    </row>
    <row r="62" spans="1:26" s="24" customFormat="1" hidden="1" outlineLevel="2" x14ac:dyDescent="0.25">
      <c r="A62" s="25"/>
      <c r="B62" s="11" t="str">
        <f>CONCATENATE("          ", "6259", " - ", "ROYALTY &amp; COMMISSIONS")</f>
        <v xml:space="preserve">          6259 - ROYALTY &amp; COMMISSIONS</v>
      </c>
      <c r="C62" s="11"/>
      <c r="D62" s="7"/>
      <c r="E62" s="2"/>
      <c r="F62" s="6">
        <f t="shared" si="46"/>
        <v>0</v>
      </c>
      <c r="G62" s="2"/>
      <c r="H62" s="7">
        <v>0</v>
      </c>
      <c r="I62" s="2"/>
      <c r="J62" s="6">
        <f t="shared" si="47"/>
        <v>0</v>
      </c>
      <c r="K62" s="2"/>
      <c r="L62" s="7">
        <f t="shared" si="48"/>
        <v>0</v>
      </c>
      <c r="M62" s="2"/>
      <c r="N62" s="6">
        <f t="shared" si="49"/>
        <v>0</v>
      </c>
      <c r="O62" s="11"/>
      <c r="P62" s="7"/>
      <c r="Q62" s="2"/>
      <c r="R62" s="6">
        <f t="shared" si="50"/>
        <v>0</v>
      </c>
      <c r="S62" s="2"/>
      <c r="T62" s="7">
        <v>0</v>
      </c>
      <c r="U62" s="2"/>
      <c r="V62" s="6">
        <f t="shared" si="51"/>
        <v>0</v>
      </c>
      <c r="W62" s="2"/>
      <c r="X62" s="7">
        <f t="shared" si="52"/>
        <v>0</v>
      </c>
      <c r="Y62" s="2"/>
      <c r="Z62" s="6">
        <f t="shared" si="53"/>
        <v>0</v>
      </c>
    </row>
    <row r="63" spans="1:26" s="27" customFormat="1" outlineLevel="1" collapsed="1" x14ac:dyDescent="0.25">
      <c r="A63" s="26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SUM(OSRRefD22_11x_0)</f>
        <v>115</v>
      </c>
      <c r="E63" s="1"/>
      <c r="F63" s="5">
        <f t="shared" si="46"/>
        <v>0</v>
      </c>
      <c r="G63" s="1"/>
      <c r="H63" s="1">
        <f>SUM(OSRRefH22_11x_0)</f>
        <v>0</v>
      </c>
      <c r="I63" s="1"/>
      <c r="J63" s="5">
        <f t="shared" si="47"/>
        <v>0</v>
      </c>
      <c r="K63" s="1"/>
      <c r="L63" s="1">
        <f t="shared" si="48"/>
        <v>115</v>
      </c>
      <c r="M63" s="1"/>
      <c r="N63" s="5">
        <f t="shared" si="49"/>
        <v>0</v>
      </c>
      <c r="O63" s="13"/>
      <c r="P63" s="1">
        <f>SUM(OSRRefP22_11x_0)</f>
        <v>692</v>
      </c>
      <c r="Q63" s="1"/>
      <c r="R63" s="5">
        <f t="shared" si="50"/>
        <v>0</v>
      </c>
      <c r="S63" s="1"/>
      <c r="T63" s="1">
        <f>SUM(OSRRefT22_11x_0)</f>
        <v>0</v>
      </c>
      <c r="U63" s="1"/>
      <c r="V63" s="5">
        <f t="shared" si="51"/>
        <v>0</v>
      </c>
      <c r="W63" s="1"/>
      <c r="X63" s="1">
        <f t="shared" si="52"/>
        <v>692</v>
      </c>
      <c r="Y63" s="1"/>
      <c r="Z63" s="5">
        <f t="shared" si="53"/>
        <v>0</v>
      </c>
    </row>
    <row r="64" spans="1:26" s="24" customFormat="1" hidden="1" outlineLevel="2" x14ac:dyDescent="0.25">
      <c r="A64" s="25"/>
      <c r="B64" s="11" t="str">
        <f>CONCATENATE("          ", "6282", " - ", "JANITORIAL/EXTERMINATOR EXPENS")</f>
        <v xml:space="preserve">          6282 - JANITORIAL/EXTERMINATOR EXPENS</v>
      </c>
      <c r="C64" s="11"/>
      <c r="D64" s="7"/>
      <c r="E64" s="2"/>
      <c r="F64" s="6">
        <f t="shared" si="46"/>
        <v>0</v>
      </c>
      <c r="G64" s="2"/>
      <c r="H64" s="7">
        <v>0</v>
      </c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/>
      <c r="Q64" s="2"/>
      <c r="R64" s="6">
        <f t="shared" si="50"/>
        <v>0</v>
      </c>
      <c r="S64" s="2"/>
      <c r="T64" s="7">
        <v>0</v>
      </c>
      <c r="U64" s="2"/>
      <c r="V64" s="6">
        <f t="shared" si="51"/>
        <v>0</v>
      </c>
      <c r="W64" s="2"/>
      <c r="X64" s="7">
        <f t="shared" si="52"/>
        <v>0</v>
      </c>
      <c r="Y64" s="2"/>
      <c r="Z64" s="6">
        <f t="shared" si="53"/>
        <v>0</v>
      </c>
    </row>
    <row r="65" spans="1:26" s="24" customFormat="1" hidden="1" outlineLevel="2" x14ac:dyDescent="0.25">
      <c r="A65" s="25"/>
      <c r="B65" s="11" t="str">
        <f>CONCATENATE("          ", "6284", " - ", "TRASH REMOVAL EXPENSE")</f>
        <v xml:space="preserve">          6284 - TRASH REMOVAL EXPENSE</v>
      </c>
      <c r="C65" s="11"/>
      <c r="D65" s="7">
        <v>115</v>
      </c>
      <c r="E65" s="2"/>
      <c r="F65" s="6">
        <f t="shared" si="46"/>
        <v>0</v>
      </c>
      <c r="G65" s="2"/>
      <c r="H65" s="7">
        <v>0</v>
      </c>
      <c r="I65" s="2"/>
      <c r="J65" s="6">
        <f t="shared" si="47"/>
        <v>0</v>
      </c>
      <c r="K65" s="2"/>
      <c r="L65" s="7">
        <f t="shared" si="48"/>
        <v>115</v>
      </c>
      <c r="M65" s="2"/>
      <c r="N65" s="6">
        <f t="shared" si="49"/>
        <v>0</v>
      </c>
      <c r="O65" s="11"/>
      <c r="P65" s="7">
        <v>692</v>
      </c>
      <c r="Q65" s="2"/>
      <c r="R65" s="6">
        <f t="shared" si="50"/>
        <v>0</v>
      </c>
      <c r="S65" s="2"/>
      <c r="T65" s="7">
        <v>0</v>
      </c>
      <c r="U65" s="2"/>
      <c r="V65" s="6">
        <f t="shared" si="51"/>
        <v>0</v>
      </c>
      <c r="W65" s="2"/>
      <c r="X65" s="7">
        <f t="shared" si="52"/>
        <v>692</v>
      </c>
      <c r="Y65" s="2"/>
      <c r="Z65" s="6">
        <f t="shared" si="53"/>
        <v>0</v>
      </c>
    </row>
    <row r="66" spans="1:26" s="24" customFormat="1" hidden="1" outlineLevel="2" x14ac:dyDescent="0.25">
      <c r="A66" s="25"/>
      <c r="B66" s="11" t="str">
        <f>CONCATENATE("          ", "6285", " - ", "JANITORIAL SERVICES")</f>
        <v xml:space="preserve">          6285 - JANITORIAL SERVICES</v>
      </c>
      <c r="C66" s="11"/>
      <c r="D66" s="7"/>
      <c r="E66" s="2"/>
      <c r="F66" s="6">
        <f t="shared" si="46"/>
        <v>0</v>
      </c>
      <c r="G66" s="2"/>
      <c r="H66" s="7">
        <v>0</v>
      </c>
      <c r="I66" s="2"/>
      <c r="J66" s="6">
        <f t="shared" si="47"/>
        <v>0</v>
      </c>
      <c r="K66" s="2"/>
      <c r="L66" s="7">
        <f t="shared" si="48"/>
        <v>0</v>
      </c>
      <c r="M66" s="2"/>
      <c r="N66" s="6">
        <f t="shared" si="49"/>
        <v>0</v>
      </c>
      <c r="O66" s="11"/>
      <c r="P66" s="7"/>
      <c r="Q66" s="2"/>
      <c r="R66" s="6">
        <f t="shared" si="50"/>
        <v>0</v>
      </c>
      <c r="S66" s="2"/>
      <c r="T66" s="7">
        <v>0</v>
      </c>
      <c r="U66" s="2"/>
      <c r="V66" s="6">
        <f t="shared" si="51"/>
        <v>0</v>
      </c>
      <c r="W66" s="2"/>
      <c r="X66" s="7">
        <f t="shared" si="52"/>
        <v>0</v>
      </c>
      <c r="Y66" s="2"/>
      <c r="Z66" s="6">
        <f t="shared" si="53"/>
        <v>0</v>
      </c>
    </row>
    <row r="67" spans="1:26" s="24" customFormat="1" hidden="1" outlineLevel="2" x14ac:dyDescent="0.25">
      <c r="A67" s="25"/>
      <c r="B67" s="11" t="str">
        <f>CONCATENATE("          ", "6286", " - ", "LAUNDRY EXPENSE")</f>
        <v xml:space="preserve">          6286 - LAUNDRY EXPENSE</v>
      </c>
      <c r="C67" s="11"/>
      <c r="D67" s="7"/>
      <c r="E67" s="2"/>
      <c r="F67" s="6">
        <f t="shared" si="46"/>
        <v>0</v>
      </c>
      <c r="G67" s="2"/>
      <c r="H67" s="7">
        <v>0</v>
      </c>
      <c r="I67" s="2"/>
      <c r="J67" s="6">
        <f t="shared" si="47"/>
        <v>0</v>
      </c>
      <c r="K67" s="2"/>
      <c r="L67" s="7">
        <f t="shared" si="48"/>
        <v>0</v>
      </c>
      <c r="M67" s="2"/>
      <c r="N67" s="6">
        <f t="shared" si="49"/>
        <v>0</v>
      </c>
      <c r="O67" s="11"/>
      <c r="P67" s="7"/>
      <c r="Q67" s="2"/>
      <c r="R67" s="6">
        <f t="shared" si="50"/>
        <v>0</v>
      </c>
      <c r="S67" s="2"/>
      <c r="T67" s="7">
        <v>0</v>
      </c>
      <c r="U67" s="2"/>
      <c r="V67" s="6">
        <f t="shared" si="51"/>
        <v>0</v>
      </c>
      <c r="W67" s="2"/>
      <c r="X67" s="7">
        <f t="shared" si="52"/>
        <v>0</v>
      </c>
      <c r="Y67" s="2"/>
      <c r="Z67" s="6">
        <f t="shared" si="53"/>
        <v>0</v>
      </c>
    </row>
    <row r="68" spans="1:26" s="27" customFormat="1" outlineLevel="1" collapsed="1" x14ac:dyDescent="0.25">
      <c r="A68" s="26"/>
      <c r="B68" s="13" t="str">
        <f>CONCATENATE("     ","Subscriptions &amp; Dues                              ")</f>
        <v xml:space="preserve">     Subscriptions &amp; Dues                              </v>
      </c>
      <c r="C68" s="13"/>
      <c r="D68" s="1">
        <f>SUM(OSRRefD22_12x_0)</f>
        <v>0</v>
      </c>
      <c r="E68" s="1"/>
      <c r="F68" s="5">
        <f t="shared" ref="F68:F79" si="54">IF(D$12=0,0,D68/D$12)</f>
        <v>0</v>
      </c>
      <c r="G68" s="1"/>
      <c r="H68" s="1">
        <f>SUM(OSRRefH22_12x_0)</f>
        <v>0</v>
      </c>
      <c r="I68" s="1"/>
      <c r="J68" s="5">
        <f t="shared" ref="J68:J79" si="55">IF(H$12=0,0,H68/H$12)</f>
        <v>0</v>
      </c>
      <c r="K68" s="1"/>
      <c r="L68" s="1">
        <f t="shared" ref="L68:L79" si="56">+D68-H68</f>
        <v>0</v>
      </c>
      <c r="M68" s="1"/>
      <c r="N68" s="5">
        <f t="shared" ref="N68:N79" si="57">IF(H68=0,0,L68/H68)</f>
        <v>0</v>
      </c>
      <c r="O68" s="13"/>
      <c r="P68" s="1">
        <f>SUM(OSRRefP22_12x_0)</f>
        <v>0</v>
      </c>
      <c r="Q68" s="1"/>
      <c r="R68" s="5">
        <f t="shared" ref="R68:R79" si="58">IF(P$12=0,0,P68/P$12)</f>
        <v>0</v>
      </c>
      <c r="S68" s="1"/>
      <c r="T68" s="1">
        <f>SUM(OSRRefT22_12x_0)</f>
        <v>0</v>
      </c>
      <c r="U68" s="1"/>
      <c r="V68" s="5">
        <f t="shared" ref="V68:V79" si="59">IF(T$12=0,0,T68/T$12)</f>
        <v>0</v>
      </c>
      <c r="W68" s="1"/>
      <c r="X68" s="1">
        <f t="shared" ref="X68:X79" si="60">+P68-T68</f>
        <v>0</v>
      </c>
      <c r="Y68" s="1"/>
      <c r="Z68" s="5">
        <f t="shared" ref="Z68:Z79" si="61">IF(T68=0,0,X68/T68)</f>
        <v>0</v>
      </c>
    </row>
    <row r="69" spans="1:26" s="24" customFormat="1" hidden="1" outlineLevel="2" x14ac:dyDescent="0.25">
      <c r="A69" s="25"/>
      <c r="B69" s="11" t="str">
        <f>CONCATENATE("          ", "6275", " - ", "SUBSCRIPTIONS")</f>
        <v xml:space="preserve">          6275 - SUBSCRIPTIONS</v>
      </c>
      <c r="C69" s="11"/>
      <c r="D69" s="7"/>
      <c r="E69" s="2"/>
      <c r="F69" s="6">
        <f t="shared" si="54"/>
        <v>0</v>
      </c>
      <c r="G69" s="2"/>
      <c r="H69" s="7">
        <v>0</v>
      </c>
      <c r="I69" s="2"/>
      <c r="J69" s="6">
        <f t="shared" si="55"/>
        <v>0</v>
      </c>
      <c r="K69" s="2"/>
      <c r="L69" s="7">
        <f t="shared" si="56"/>
        <v>0</v>
      </c>
      <c r="M69" s="2"/>
      <c r="N69" s="6">
        <f t="shared" si="57"/>
        <v>0</v>
      </c>
      <c r="O69" s="11"/>
      <c r="P69" s="7"/>
      <c r="Q69" s="2"/>
      <c r="R69" s="6">
        <f t="shared" si="58"/>
        <v>0</v>
      </c>
      <c r="S69" s="2"/>
      <c r="T69" s="7">
        <v>0</v>
      </c>
      <c r="U69" s="2"/>
      <c r="V69" s="6">
        <f t="shared" si="59"/>
        <v>0</v>
      </c>
      <c r="W69" s="2"/>
      <c r="X69" s="7">
        <f t="shared" si="60"/>
        <v>0</v>
      </c>
      <c r="Y69" s="2"/>
      <c r="Z69" s="6">
        <f t="shared" si="61"/>
        <v>0</v>
      </c>
    </row>
    <row r="70" spans="1:26" s="27" customFormat="1" outlineLevel="1" collapsed="1" x14ac:dyDescent="0.25">
      <c r="A70" s="26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SUM(OSRRefD22_13x_0)</f>
        <v>0</v>
      </c>
      <c r="E70" s="1"/>
      <c r="F70" s="5">
        <f t="shared" si="54"/>
        <v>0</v>
      </c>
      <c r="G70" s="1"/>
      <c r="H70" s="1">
        <f>SUM(OSRRefH22_13x_0)</f>
        <v>0</v>
      </c>
      <c r="I70" s="1"/>
      <c r="J70" s="5">
        <f t="shared" si="55"/>
        <v>0</v>
      </c>
      <c r="K70" s="1"/>
      <c r="L70" s="1">
        <f t="shared" si="56"/>
        <v>0</v>
      </c>
      <c r="M70" s="1"/>
      <c r="N70" s="5">
        <f t="shared" si="57"/>
        <v>0</v>
      </c>
      <c r="O70" s="13"/>
      <c r="P70" s="1">
        <f>SUM(OSRRefP22_13x_0)</f>
        <v>72</v>
      </c>
      <c r="Q70" s="1"/>
      <c r="R70" s="5">
        <f t="shared" si="58"/>
        <v>0</v>
      </c>
      <c r="S70" s="1"/>
      <c r="T70" s="1">
        <f>SUM(OSRRefT22_13x_0)</f>
        <v>0</v>
      </c>
      <c r="U70" s="1"/>
      <c r="V70" s="5">
        <f t="shared" si="59"/>
        <v>0</v>
      </c>
      <c r="W70" s="1"/>
      <c r="X70" s="1">
        <f t="shared" si="60"/>
        <v>72</v>
      </c>
      <c r="Y70" s="1"/>
      <c r="Z70" s="5">
        <f t="shared" si="61"/>
        <v>0</v>
      </c>
    </row>
    <row r="71" spans="1:26" s="24" customFormat="1" hidden="1" outlineLevel="2" x14ac:dyDescent="0.25">
      <c r="A71" s="25"/>
      <c r="B71" s="11" t="str">
        <f>CONCATENATE("          ", "6235", " - ", "COVID-19 EXPENSES")</f>
        <v xml:space="preserve">          6235 - COVID-19 EXPENSES</v>
      </c>
      <c r="C71" s="11"/>
      <c r="D71" s="7"/>
      <c r="E71" s="2"/>
      <c r="F71" s="6">
        <f t="shared" si="54"/>
        <v>0</v>
      </c>
      <c r="G71" s="2"/>
      <c r="H71" s="7">
        <v>0</v>
      </c>
      <c r="I71" s="2"/>
      <c r="J71" s="6">
        <f t="shared" si="55"/>
        <v>0</v>
      </c>
      <c r="K71" s="2"/>
      <c r="L71" s="7">
        <f t="shared" si="56"/>
        <v>0</v>
      </c>
      <c r="M71" s="2"/>
      <c r="N71" s="6">
        <f t="shared" si="57"/>
        <v>0</v>
      </c>
      <c r="O71" s="11"/>
      <c r="P71" s="7"/>
      <c r="Q71" s="2"/>
      <c r="R71" s="6">
        <f t="shared" si="58"/>
        <v>0</v>
      </c>
      <c r="S71" s="2"/>
      <c r="T71" s="7">
        <v>0</v>
      </c>
      <c r="U71" s="2"/>
      <c r="V71" s="6">
        <f t="shared" si="59"/>
        <v>0</v>
      </c>
      <c r="W71" s="2"/>
      <c r="X71" s="7">
        <f t="shared" si="60"/>
        <v>0</v>
      </c>
      <c r="Y71" s="2"/>
      <c r="Z71" s="6">
        <f t="shared" si="61"/>
        <v>0</v>
      </c>
    </row>
    <row r="72" spans="1:26" s="24" customFormat="1" hidden="1" outlineLevel="2" x14ac:dyDescent="0.25">
      <c r="A72" s="25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54"/>
        <v>0</v>
      </c>
      <c r="G72" s="2"/>
      <c r="H72" s="7">
        <v>0</v>
      </c>
      <c r="I72" s="2"/>
      <c r="J72" s="6">
        <f t="shared" si="55"/>
        <v>0</v>
      </c>
      <c r="K72" s="2"/>
      <c r="L72" s="7">
        <f t="shared" si="56"/>
        <v>0</v>
      </c>
      <c r="M72" s="2"/>
      <c r="N72" s="6">
        <f t="shared" si="57"/>
        <v>0</v>
      </c>
      <c r="O72" s="11"/>
      <c r="P72" s="7">
        <v>72</v>
      </c>
      <c r="Q72" s="2"/>
      <c r="R72" s="6">
        <f t="shared" si="58"/>
        <v>0</v>
      </c>
      <c r="S72" s="2"/>
      <c r="T72" s="7">
        <v>0</v>
      </c>
      <c r="U72" s="2"/>
      <c r="V72" s="6">
        <f t="shared" si="59"/>
        <v>0</v>
      </c>
      <c r="W72" s="2"/>
      <c r="X72" s="7">
        <f t="shared" si="60"/>
        <v>72</v>
      </c>
      <c r="Y72" s="2"/>
      <c r="Z72" s="6">
        <f t="shared" si="61"/>
        <v>0</v>
      </c>
    </row>
    <row r="73" spans="1:26" s="24" customFormat="1" hidden="1" outlineLevel="2" x14ac:dyDescent="0.25">
      <c r="A73" s="25"/>
      <c r="B73" s="11" t="str">
        <f>CONCATENATE("          ", "6239", " - ", "KITCHEN SUPPLIES")</f>
        <v xml:space="preserve">          6239 - KITCHEN SUPPLIES</v>
      </c>
      <c r="C73" s="11"/>
      <c r="D73" s="7"/>
      <c r="E73" s="2"/>
      <c r="F73" s="6">
        <f t="shared" si="54"/>
        <v>0</v>
      </c>
      <c r="G73" s="2"/>
      <c r="H73" s="7">
        <v>0</v>
      </c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/>
      <c r="Q73" s="2"/>
      <c r="R73" s="6">
        <f t="shared" si="58"/>
        <v>0</v>
      </c>
      <c r="S73" s="2"/>
      <c r="T73" s="7">
        <v>0</v>
      </c>
      <c r="U73" s="2"/>
      <c r="V73" s="6">
        <f t="shared" si="59"/>
        <v>0</v>
      </c>
      <c r="W73" s="2"/>
      <c r="X73" s="7">
        <f t="shared" si="60"/>
        <v>0</v>
      </c>
      <c r="Y73" s="2"/>
      <c r="Z73" s="6">
        <f t="shared" si="61"/>
        <v>0</v>
      </c>
    </row>
    <row r="74" spans="1:26" s="24" customFormat="1" hidden="1" outlineLevel="2" x14ac:dyDescent="0.25">
      <c r="A74" s="25"/>
      <c r="B74" s="11" t="str">
        <f>CONCATENATE("          ", "6241", " - ", "OFFICE EXPENSE")</f>
        <v xml:space="preserve">          6241 - OFFICE EXPENSE</v>
      </c>
      <c r="C74" s="11"/>
      <c r="D74" s="7"/>
      <c r="E74" s="2"/>
      <c r="F74" s="6">
        <f t="shared" si="54"/>
        <v>0</v>
      </c>
      <c r="G74" s="2"/>
      <c r="H74" s="7">
        <v>0</v>
      </c>
      <c r="I74" s="2"/>
      <c r="J74" s="6">
        <f t="shared" si="55"/>
        <v>0</v>
      </c>
      <c r="K74" s="2"/>
      <c r="L74" s="7">
        <f t="shared" si="56"/>
        <v>0</v>
      </c>
      <c r="M74" s="2"/>
      <c r="N74" s="6">
        <f t="shared" si="57"/>
        <v>0</v>
      </c>
      <c r="O74" s="11"/>
      <c r="P74" s="7"/>
      <c r="Q74" s="2"/>
      <c r="R74" s="6">
        <f t="shared" si="58"/>
        <v>0</v>
      </c>
      <c r="S74" s="2"/>
      <c r="T74" s="7">
        <v>0</v>
      </c>
      <c r="U74" s="2"/>
      <c r="V74" s="6">
        <f t="shared" si="59"/>
        <v>0</v>
      </c>
      <c r="W74" s="2"/>
      <c r="X74" s="7">
        <f t="shared" si="60"/>
        <v>0</v>
      </c>
      <c r="Y74" s="2"/>
      <c r="Z74" s="6">
        <f t="shared" si="61"/>
        <v>0</v>
      </c>
    </row>
    <row r="75" spans="1:26" s="24" customFormat="1" hidden="1" outlineLevel="2" x14ac:dyDescent="0.25">
      <c r="A75" s="25"/>
      <c r="B75" s="11" t="str">
        <f>CONCATENATE("          ", "6243", " - ", "PAPER SUPPLIES")</f>
        <v xml:space="preserve">          6243 - PAPER SUPPLIES</v>
      </c>
      <c r="C75" s="11"/>
      <c r="D75" s="7"/>
      <c r="E75" s="2"/>
      <c r="F75" s="6">
        <f t="shared" si="54"/>
        <v>0</v>
      </c>
      <c r="G75" s="2"/>
      <c r="H75" s="7">
        <v>0</v>
      </c>
      <c r="I75" s="2"/>
      <c r="J75" s="6">
        <f t="shared" si="55"/>
        <v>0</v>
      </c>
      <c r="K75" s="2"/>
      <c r="L75" s="7">
        <f t="shared" si="56"/>
        <v>0</v>
      </c>
      <c r="M75" s="2"/>
      <c r="N75" s="6">
        <f t="shared" si="57"/>
        <v>0</v>
      </c>
      <c r="O75" s="11"/>
      <c r="P75" s="7"/>
      <c r="Q75" s="2"/>
      <c r="R75" s="6">
        <f t="shared" si="58"/>
        <v>0</v>
      </c>
      <c r="S75" s="2"/>
      <c r="T75" s="7">
        <v>0</v>
      </c>
      <c r="U75" s="2"/>
      <c r="V75" s="6">
        <f t="shared" si="59"/>
        <v>0</v>
      </c>
      <c r="W75" s="2"/>
      <c r="X75" s="7">
        <f t="shared" si="60"/>
        <v>0</v>
      </c>
      <c r="Y75" s="2"/>
      <c r="Z75" s="6">
        <f t="shared" si="61"/>
        <v>0</v>
      </c>
    </row>
    <row r="76" spans="1:26" s="24" customFormat="1" hidden="1" outlineLevel="2" x14ac:dyDescent="0.25">
      <c r="A76" s="25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54"/>
        <v>0</v>
      </c>
      <c r="G76" s="2"/>
      <c r="H76" s="7">
        <v>0</v>
      </c>
      <c r="I76" s="2"/>
      <c r="J76" s="6">
        <f t="shared" si="55"/>
        <v>0</v>
      </c>
      <c r="K76" s="2"/>
      <c r="L76" s="7">
        <f t="shared" si="56"/>
        <v>0</v>
      </c>
      <c r="M76" s="2"/>
      <c r="N76" s="6">
        <f t="shared" si="57"/>
        <v>0</v>
      </c>
      <c r="O76" s="11"/>
      <c r="P76" s="7"/>
      <c r="Q76" s="2"/>
      <c r="R76" s="6">
        <f t="shared" si="58"/>
        <v>0</v>
      </c>
      <c r="S76" s="2"/>
      <c r="T76" s="7">
        <v>0</v>
      </c>
      <c r="U76" s="2"/>
      <c r="V76" s="6">
        <f t="shared" si="59"/>
        <v>0</v>
      </c>
      <c r="W76" s="2"/>
      <c r="X76" s="7">
        <f t="shared" si="60"/>
        <v>0</v>
      </c>
      <c r="Y76" s="2"/>
      <c r="Z76" s="6">
        <f t="shared" si="61"/>
        <v>0</v>
      </c>
    </row>
    <row r="77" spans="1:26" s="24" customFormat="1" hidden="1" outlineLevel="2" x14ac:dyDescent="0.25">
      <c r="A77" s="25"/>
      <c r="B77" s="11" t="str">
        <f>CONCATENATE("          ", "6246", " - ", "REPLACEMENTS")</f>
        <v xml:space="preserve">          6246 - REPLACEMENTS</v>
      </c>
      <c r="C77" s="11"/>
      <c r="D77" s="7"/>
      <c r="E77" s="2"/>
      <c r="F77" s="6">
        <f t="shared" si="54"/>
        <v>0</v>
      </c>
      <c r="G77" s="2"/>
      <c r="H77" s="7">
        <v>0</v>
      </c>
      <c r="I77" s="2"/>
      <c r="J77" s="6">
        <f t="shared" si="55"/>
        <v>0</v>
      </c>
      <c r="K77" s="2"/>
      <c r="L77" s="7">
        <f t="shared" si="56"/>
        <v>0</v>
      </c>
      <c r="M77" s="2"/>
      <c r="N77" s="6">
        <f t="shared" si="57"/>
        <v>0</v>
      </c>
      <c r="O77" s="11"/>
      <c r="P77" s="7"/>
      <c r="Q77" s="2"/>
      <c r="R77" s="6">
        <f t="shared" si="58"/>
        <v>0</v>
      </c>
      <c r="S77" s="2"/>
      <c r="T77" s="7">
        <v>0</v>
      </c>
      <c r="U77" s="2"/>
      <c r="V77" s="6">
        <f t="shared" si="59"/>
        <v>0</v>
      </c>
      <c r="W77" s="2"/>
      <c r="X77" s="7">
        <f t="shared" si="60"/>
        <v>0</v>
      </c>
      <c r="Y77" s="2"/>
      <c r="Z77" s="6">
        <f t="shared" si="61"/>
        <v>0</v>
      </c>
    </row>
    <row r="78" spans="1:26" s="24" customFormat="1" hidden="1" outlineLevel="2" x14ac:dyDescent="0.25">
      <c r="A78" s="25"/>
      <c r="B78" s="11" t="str">
        <f>CONCATENATE("          ", "6247", " - ", "STORE SUPPLIES")</f>
        <v xml:space="preserve">          6247 - STORE SUPPLIES</v>
      </c>
      <c r="C78" s="11"/>
      <c r="D78" s="7"/>
      <c r="E78" s="2"/>
      <c r="F78" s="6">
        <f t="shared" si="54"/>
        <v>0</v>
      </c>
      <c r="G78" s="2"/>
      <c r="H78" s="7">
        <v>0</v>
      </c>
      <c r="I78" s="2"/>
      <c r="J78" s="6">
        <f t="shared" si="55"/>
        <v>0</v>
      </c>
      <c r="K78" s="2"/>
      <c r="L78" s="7">
        <f t="shared" si="56"/>
        <v>0</v>
      </c>
      <c r="M78" s="2"/>
      <c r="N78" s="6">
        <f t="shared" si="57"/>
        <v>0</v>
      </c>
      <c r="O78" s="11"/>
      <c r="P78" s="7"/>
      <c r="Q78" s="2"/>
      <c r="R78" s="6">
        <f t="shared" si="58"/>
        <v>0</v>
      </c>
      <c r="S78" s="2"/>
      <c r="T78" s="7">
        <v>0</v>
      </c>
      <c r="U78" s="2"/>
      <c r="V78" s="6">
        <f t="shared" si="59"/>
        <v>0</v>
      </c>
      <c r="W78" s="2"/>
      <c r="X78" s="7">
        <f t="shared" si="60"/>
        <v>0</v>
      </c>
      <c r="Y78" s="2"/>
      <c r="Z78" s="6">
        <f t="shared" si="61"/>
        <v>0</v>
      </c>
    </row>
    <row r="79" spans="1:26" s="24" customFormat="1" hidden="1" outlineLevel="2" x14ac:dyDescent="0.25">
      <c r="A79" s="25"/>
      <c r="B79" s="11" t="str">
        <f>CONCATENATE("          ", "6248", " - ", "UNIFORMS")</f>
        <v xml:space="preserve">          6248 - UNIFORMS</v>
      </c>
      <c r="C79" s="11"/>
      <c r="D79" s="7"/>
      <c r="E79" s="2"/>
      <c r="F79" s="6">
        <f t="shared" si="54"/>
        <v>0</v>
      </c>
      <c r="G79" s="2"/>
      <c r="H79" s="7"/>
      <c r="I79" s="2"/>
      <c r="J79" s="6">
        <f t="shared" si="55"/>
        <v>0</v>
      </c>
      <c r="K79" s="2"/>
      <c r="L79" s="7">
        <f t="shared" si="56"/>
        <v>0</v>
      </c>
      <c r="M79" s="2"/>
      <c r="N79" s="6">
        <f t="shared" si="57"/>
        <v>0</v>
      </c>
      <c r="O79" s="11"/>
      <c r="P79" s="7"/>
      <c r="Q79" s="2"/>
      <c r="R79" s="6">
        <f t="shared" si="58"/>
        <v>0</v>
      </c>
      <c r="S79" s="2"/>
      <c r="T79" s="7">
        <v>0</v>
      </c>
      <c r="U79" s="2"/>
      <c r="V79" s="6">
        <f t="shared" si="59"/>
        <v>0</v>
      </c>
      <c r="W79" s="2"/>
      <c r="X79" s="7">
        <f t="shared" si="60"/>
        <v>0</v>
      </c>
      <c r="Y79" s="2"/>
      <c r="Z79" s="6">
        <f t="shared" si="61"/>
        <v>0</v>
      </c>
    </row>
    <row r="80" spans="1:26" s="27" customFormat="1" outlineLevel="1" collapsed="1" x14ac:dyDescent="0.25">
      <c r="A80" s="26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SUM(OSRRefD22_14x_0)</f>
        <v>0</v>
      </c>
      <c r="E80" s="1"/>
      <c r="F80" s="5">
        <f t="shared" ref="F80:F87" si="62">IF(D$12=0,0,D80/D$12)</f>
        <v>0</v>
      </c>
      <c r="G80" s="1"/>
      <c r="H80" s="1">
        <f>SUM(OSRRefH22_14x_0)</f>
        <v>0</v>
      </c>
      <c r="I80" s="1"/>
      <c r="J80" s="5">
        <f t="shared" ref="J80:J87" si="63">IF(H$12=0,0,H80/H$12)</f>
        <v>0</v>
      </c>
      <c r="K80" s="1"/>
      <c r="L80" s="1">
        <f t="shared" ref="L80:L87" si="64">+D80-H80</f>
        <v>0</v>
      </c>
      <c r="M80" s="1"/>
      <c r="N80" s="5">
        <f t="shared" ref="N80:N87" si="65">IF(H80=0,0,L80/H80)</f>
        <v>0</v>
      </c>
      <c r="O80" s="13"/>
      <c r="P80" s="1">
        <f>SUM(OSRRefP22_14x_0)</f>
        <v>77.430000000000007</v>
      </c>
      <c r="Q80" s="1"/>
      <c r="R80" s="5">
        <f t="shared" ref="R80:R87" si="66">IF(P$12=0,0,P80/P$12)</f>
        <v>0</v>
      </c>
      <c r="S80" s="1"/>
      <c r="T80" s="1">
        <f>SUM(OSRRefT22_14x_0)</f>
        <v>0</v>
      </c>
      <c r="U80" s="1"/>
      <c r="V80" s="5">
        <f t="shared" ref="V80:V87" si="67">IF(T$12=0,0,T80/T$12)</f>
        <v>0</v>
      </c>
      <c r="W80" s="1"/>
      <c r="X80" s="1">
        <f t="shared" ref="X80:X87" si="68">+P80-T80</f>
        <v>77.430000000000007</v>
      </c>
      <c r="Y80" s="1"/>
      <c r="Z80" s="5">
        <f t="shared" ref="Z80:Z87" si="69">IF(T80=0,0,X80/T80)</f>
        <v>0</v>
      </c>
    </row>
    <row r="81" spans="1:26" s="24" customFormat="1" hidden="1" outlineLevel="2" x14ac:dyDescent="0.25">
      <c r="A81" s="25"/>
      <c r="B81" s="11" t="str">
        <f>CONCATENATE("          ", "6309", " - ", "TELEPHONE")</f>
        <v xml:space="preserve">          6309 - TELEPHONE</v>
      </c>
      <c r="C81" s="11"/>
      <c r="D81" s="7"/>
      <c r="E81" s="2"/>
      <c r="F81" s="6">
        <f t="shared" si="62"/>
        <v>0</v>
      </c>
      <c r="G81" s="2"/>
      <c r="H81" s="7">
        <v>0</v>
      </c>
      <c r="I81" s="2"/>
      <c r="J81" s="6">
        <f t="shared" si="63"/>
        <v>0</v>
      </c>
      <c r="K81" s="2"/>
      <c r="L81" s="7">
        <f t="shared" si="64"/>
        <v>0</v>
      </c>
      <c r="M81" s="2"/>
      <c r="N81" s="6">
        <f t="shared" si="65"/>
        <v>0</v>
      </c>
      <c r="O81" s="11"/>
      <c r="P81" s="7">
        <v>77.430000000000007</v>
      </c>
      <c r="Q81" s="2"/>
      <c r="R81" s="6">
        <f t="shared" si="66"/>
        <v>0</v>
      </c>
      <c r="S81" s="2"/>
      <c r="T81" s="7">
        <v>0</v>
      </c>
      <c r="U81" s="2"/>
      <c r="V81" s="6">
        <f t="shared" si="67"/>
        <v>0</v>
      </c>
      <c r="W81" s="2"/>
      <c r="X81" s="7">
        <f t="shared" si="68"/>
        <v>77.430000000000007</v>
      </c>
      <c r="Y81" s="2"/>
      <c r="Z81" s="6">
        <f t="shared" si="69"/>
        <v>0</v>
      </c>
    </row>
    <row r="82" spans="1:26" s="27" customFormat="1" outlineLevel="1" collapsed="1" x14ac:dyDescent="0.25">
      <c r="A82" s="26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SUM(OSRRefD22_15x_0)</f>
        <v>0</v>
      </c>
      <c r="E82" s="1"/>
      <c r="F82" s="5">
        <f t="shared" si="62"/>
        <v>0</v>
      </c>
      <c r="G82" s="1"/>
      <c r="H82" s="1">
        <f>SUM(OSRRefH22_15x_0)</f>
        <v>0</v>
      </c>
      <c r="I82" s="1"/>
      <c r="J82" s="5">
        <f t="shared" si="63"/>
        <v>0</v>
      </c>
      <c r="K82" s="1"/>
      <c r="L82" s="1">
        <f t="shared" si="64"/>
        <v>0</v>
      </c>
      <c r="M82" s="1"/>
      <c r="N82" s="5">
        <f t="shared" si="65"/>
        <v>0</v>
      </c>
      <c r="O82" s="13"/>
      <c r="P82" s="1">
        <f>SUM(OSRRefP22_15x_0)</f>
        <v>0</v>
      </c>
      <c r="Q82" s="1"/>
      <c r="R82" s="5">
        <f t="shared" si="66"/>
        <v>0</v>
      </c>
      <c r="S82" s="1"/>
      <c r="T82" s="1">
        <f>SUM(OSRRefT22_15x_0)</f>
        <v>0</v>
      </c>
      <c r="U82" s="1"/>
      <c r="V82" s="5">
        <f t="shared" si="67"/>
        <v>0</v>
      </c>
      <c r="W82" s="1"/>
      <c r="X82" s="1">
        <f t="shared" si="68"/>
        <v>0</v>
      </c>
      <c r="Y82" s="1"/>
      <c r="Z82" s="5">
        <f t="shared" si="69"/>
        <v>0</v>
      </c>
    </row>
    <row r="83" spans="1:26" s="24" customFormat="1" hidden="1" outlineLevel="2" x14ac:dyDescent="0.25">
      <c r="A83" s="25"/>
      <c r="B83" s="11" t="str">
        <f>CONCATENATE("          ", "6376", " - ", "TRAINING")</f>
        <v xml:space="preserve">          6376 - TRAINING</v>
      </c>
      <c r="C83" s="11"/>
      <c r="D83" s="7"/>
      <c r="E83" s="2"/>
      <c r="F83" s="6">
        <f t="shared" si="62"/>
        <v>0</v>
      </c>
      <c r="G83" s="2"/>
      <c r="H83" s="7"/>
      <c r="I83" s="2"/>
      <c r="J83" s="6">
        <f t="shared" si="63"/>
        <v>0</v>
      </c>
      <c r="K83" s="2"/>
      <c r="L83" s="7">
        <f t="shared" si="64"/>
        <v>0</v>
      </c>
      <c r="M83" s="2"/>
      <c r="N83" s="6">
        <f t="shared" si="65"/>
        <v>0</v>
      </c>
      <c r="O83" s="11"/>
      <c r="P83" s="7"/>
      <c r="Q83" s="2"/>
      <c r="R83" s="6">
        <f t="shared" si="66"/>
        <v>0</v>
      </c>
      <c r="S83" s="2"/>
      <c r="T83" s="7">
        <v>0</v>
      </c>
      <c r="U83" s="2"/>
      <c r="V83" s="6">
        <f t="shared" si="67"/>
        <v>0</v>
      </c>
      <c r="W83" s="2"/>
      <c r="X83" s="7">
        <f t="shared" si="68"/>
        <v>0</v>
      </c>
      <c r="Y83" s="2"/>
      <c r="Z83" s="6">
        <f t="shared" si="69"/>
        <v>0</v>
      </c>
    </row>
    <row r="84" spans="1:26" s="27" customFormat="1" outlineLevel="1" collapsed="1" x14ac:dyDescent="0.25">
      <c r="A84" s="26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SUM(OSRRefD22_16x_0)</f>
        <v>0</v>
      </c>
      <c r="E84" s="1"/>
      <c r="F84" s="5">
        <f t="shared" si="62"/>
        <v>0</v>
      </c>
      <c r="G84" s="1"/>
      <c r="H84" s="1">
        <f>SUM(OSRRefH22_16x_0)</f>
        <v>0</v>
      </c>
      <c r="I84" s="1"/>
      <c r="J84" s="5">
        <f t="shared" si="63"/>
        <v>0</v>
      </c>
      <c r="K84" s="1"/>
      <c r="L84" s="1">
        <f t="shared" si="64"/>
        <v>0</v>
      </c>
      <c r="M84" s="1"/>
      <c r="N84" s="5">
        <f t="shared" si="65"/>
        <v>0</v>
      </c>
      <c r="O84" s="13"/>
      <c r="P84" s="1">
        <f>SUM(OSRRefP22_16x_0)</f>
        <v>0</v>
      </c>
      <c r="Q84" s="1"/>
      <c r="R84" s="5">
        <f t="shared" si="66"/>
        <v>0</v>
      </c>
      <c r="S84" s="1"/>
      <c r="T84" s="1">
        <f>SUM(OSRRefT22_16x_0)</f>
        <v>0</v>
      </c>
      <c r="U84" s="1"/>
      <c r="V84" s="5">
        <f t="shared" si="67"/>
        <v>0</v>
      </c>
      <c r="W84" s="1"/>
      <c r="X84" s="1">
        <f t="shared" si="68"/>
        <v>0</v>
      </c>
      <c r="Y84" s="1"/>
      <c r="Z84" s="5">
        <f t="shared" si="69"/>
        <v>0</v>
      </c>
    </row>
    <row r="85" spans="1:26" s="24" customFormat="1" hidden="1" outlineLevel="2" x14ac:dyDescent="0.25">
      <c r="A85" s="25"/>
      <c r="B85" s="11" t="str">
        <f>CONCATENATE("          ", "6292", " - ", "TRAVEL/CONFERENCE")</f>
        <v xml:space="preserve">          6292 - TRAVEL/CONFERENCE</v>
      </c>
      <c r="C85" s="11"/>
      <c r="D85" s="7"/>
      <c r="E85" s="2"/>
      <c r="F85" s="6">
        <f t="shared" si="62"/>
        <v>0</v>
      </c>
      <c r="G85" s="2"/>
      <c r="H85" s="7"/>
      <c r="I85" s="2"/>
      <c r="J85" s="6">
        <f t="shared" si="63"/>
        <v>0</v>
      </c>
      <c r="K85" s="2"/>
      <c r="L85" s="7">
        <f t="shared" si="64"/>
        <v>0</v>
      </c>
      <c r="M85" s="2"/>
      <c r="N85" s="6">
        <f t="shared" si="65"/>
        <v>0</v>
      </c>
      <c r="O85" s="11"/>
      <c r="P85" s="7"/>
      <c r="Q85" s="2"/>
      <c r="R85" s="6">
        <f t="shared" si="66"/>
        <v>0</v>
      </c>
      <c r="S85" s="2"/>
      <c r="T85" s="7">
        <v>0</v>
      </c>
      <c r="U85" s="2"/>
      <c r="V85" s="6">
        <f t="shared" si="67"/>
        <v>0</v>
      </c>
      <c r="W85" s="2"/>
      <c r="X85" s="7">
        <f t="shared" si="68"/>
        <v>0</v>
      </c>
      <c r="Y85" s="2"/>
      <c r="Z85" s="6">
        <f t="shared" si="69"/>
        <v>0</v>
      </c>
    </row>
    <row r="86" spans="1:26" s="27" customFormat="1" outlineLevel="1" collapsed="1" x14ac:dyDescent="0.25">
      <c r="A86" s="26"/>
      <c r="B86" s="13" t="str">
        <f>CONCATENATE("     ","Utilities                                         ")</f>
        <v xml:space="preserve">     Utilities                                         </v>
      </c>
      <c r="C86" s="13"/>
      <c r="D86" s="1">
        <f>SUM(OSRRefD22_17x_0)</f>
        <v>348</v>
      </c>
      <c r="E86" s="1"/>
      <c r="F86" s="5">
        <f t="shared" si="62"/>
        <v>0</v>
      </c>
      <c r="G86" s="1"/>
      <c r="H86" s="1">
        <f>SUM(OSRRefH22_17x_0)</f>
        <v>0</v>
      </c>
      <c r="I86" s="1"/>
      <c r="J86" s="5">
        <f t="shared" si="63"/>
        <v>0</v>
      </c>
      <c r="K86" s="1"/>
      <c r="L86" s="1">
        <f t="shared" si="64"/>
        <v>348</v>
      </c>
      <c r="M86" s="1"/>
      <c r="N86" s="5">
        <f t="shared" si="65"/>
        <v>0</v>
      </c>
      <c r="O86" s="13"/>
      <c r="P86" s="1">
        <f>SUM(OSRRefP22_17x_0)</f>
        <v>1950</v>
      </c>
      <c r="Q86" s="1"/>
      <c r="R86" s="5">
        <f t="shared" si="66"/>
        <v>0</v>
      </c>
      <c r="S86" s="1"/>
      <c r="T86" s="1">
        <f>SUM(OSRRefT22_17x_0)</f>
        <v>0</v>
      </c>
      <c r="U86" s="1"/>
      <c r="V86" s="5">
        <f t="shared" si="67"/>
        <v>0</v>
      </c>
      <c r="W86" s="1"/>
      <c r="X86" s="1">
        <f t="shared" si="68"/>
        <v>1950</v>
      </c>
      <c r="Y86" s="1"/>
      <c r="Z86" s="5">
        <f t="shared" si="69"/>
        <v>0</v>
      </c>
    </row>
    <row r="87" spans="1:26" s="24" customFormat="1" hidden="1" outlineLevel="2" x14ac:dyDescent="0.25">
      <c r="A87" s="25"/>
      <c r="B87" s="11" t="str">
        <f>CONCATENATE("          ", "6274", " - ", "UTILITIES")</f>
        <v xml:space="preserve">          6274 - UTILITIES</v>
      </c>
      <c r="C87" s="11"/>
      <c r="D87" s="7">
        <v>348</v>
      </c>
      <c r="E87" s="2"/>
      <c r="F87" s="6">
        <f t="shared" si="62"/>
        <v>0</v>
      </c>
      <c r="G87" s="2"/>
      <c r="H87" s="7">
        <v>0</v>
      </c>
      <c r="I87" s="2"/>
      <c r="J87" s="6">
        <f t="shared" si="63"/>
        <v>0</v>
      </c>
      <c r="K87" s="2"/>
      <c r="L87" s="7">
        <f t="shared" si="64"/>
        <v>348</v>
      </c>
      <c r="M87" s="2"/>
      <c r="N87" s="6">
        <f t="shared" si="65"/>
        <v>0</v>
      </c>
      <c r="O87" s="11"/>
      <c r="P87" s="7">
        <v>1950</v>
      </c>
      <c r="Q87" s="2"/>
      <c r="R87" s="6">
        <f t="shared" si="66"/>
        <v>0</v>
      </c>
      <c r="S87" s="2"/>
      <c r="T87" s="7">
        <v>0</v>
      </c>
      <c r="U87" s="2"/>
      <c r="V87" s="6">
        <f t="shared" si="67"/>
        <v>0</v>
      </c>
      <c r="W87" s="2"/>
      <c r="X87" s="7">
        <f t="shared" si="68"/>
        <v>1950</v>
      </c>
      <c r="Y87" s="2"/>
      <c r="Z87" s="6">
        <f t="shared" si="69"/>
        <v>0</v>
      </c>
    </row>
    <row r="88" spans="1:26" s="56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9" t="s">
        <v>293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8" t="s">
        <v>277</v>
      </c>
      <c r="C91" s="28"/>
      <c r="D91" s="20">
        <f>+D20-D22+D89</f>
        <v>-7546.01</v>
      </c>
      <c r="E91" s="14"/>
      <c r="F91" s="21">
        <f>IF(D$12=0,0,D91/D$12)</f>
        <v>0</v>
      </c>
      <c r="G91" s="14"/>
      <c r="H91" s="20">
        <f>+H20-H22+H89</f>
        <v>-7384.333333333333</v>
      </c>
      <c r="I91" s="14"/>
      <c r="J91" s="21">
        <f>IF(H$12=0,0,H91/H$12)</f>
        <v>0</v>
      </c>
      <c r="K91" s="15"/>
      <c r="L91" s="20">
        <f>+D91-H91</f>
        <v>-161.67666666666719</v>
      </c>
      <c r="M91" s="15"/>
      <c r="N91" s="21">
        <f>IF(H91=0,0,L91/H91)</f>
        <v>2.1894551528009822E-2</v>
      </c>
      <c r="O91" s="29"/>
      <c r="P91" s="20">
        <f>+P20-P22+P89</f>
        <v>-79560.889999999985</v>
      </c>
      <c r="Q91" s="14"/>
      <c r="R91" s="21">
        <f>IF(P$12=0,0,P91/P$12)</f>
        <v>0</v>
      </c>
      <c r="S91" s="14"/>
      <c r="T91" s="20">
        <f>+T20-T22+T89</f>
        <v>-81518.666666666657</v>
      </c>
      <c r="U91" s="14"/>
      <c r="V91" s="21">
        <f>IF(T$12=0,0,T91/T$12)</f>
        <v>0</v>
      </c>
      <c r="W91" s="15"/>
      <c r="X91" s="20">
        <f>+P91-T91</f>
        <v>1957.7766666666721</v>
      </c>
      <c r="Y91" s="15"/>
      <c r="Z91" s="21">
        <f>IF(T91=0,0,X91/T91)</f>
        <v>-2.4016298925399568E-2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128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126</v>
      </c>
      <c r="C95" s="28"/>
      <c r="D95" s="35">
        <f>+D91-D93</f>
        <v>-7546.01</v>
      </c>
      <c r="E95" s="14"/>
      <c r="F95" s="34">
        <f>IF(D$12=0,0,D95/D$12)</f>
        <v>0</v>
      </c>
      <c r="G95" s="14"/>
      <c r="H95" s="35">
        <f>+H91-H93</f>
        <v>-7384.333333333333</v>
      </c>
      <c r="I95" s="14"/>
      <c r="J95" s="34">
        <f>IF(H$12=0,0,H95/H$12)</f>
        <v>0</v>
      </c>
      <c r="K95" s="15"/>
      <c r="L95" s="35">
        <f>D95-H95</f>
        <v>-161.67666666666719</v>
      </c>
      <c r="M95" s="15"/>
      <c r="N95" s="34">
        <f>IF(H95=0,0,L95/H95)</f>
        <v>2.1894551528009822E-2</v>
      </c>
      <c r="O95" s="29"/>
      <c r="P95" s="35">
        <f>+P91-P93</f>
        <v>-79560.889999999985</v>
      </c>
      <c r="Q95" s="14"/>
      <c r="R95" s="34">
        <f>IF(P$12=0,0,P95/P$12)</f>
        <v>0</v>
      </c>
      <c r="S95" s="14"/>
      <c r="T95" s="35">
        <f>+T91-T93</f>
        <v>-81518.666666666657</v>
      </c>
      <c r="U95" s="14"/>
      <c r="V95" s="34">
        <f>IF(T$12=0,0,T95/T$12)</f>
        <v>0</v>
      </c>
      <c r="W95" s="15"/>
      <c r="X95" s="35">
        <f>P95-T95</f>
        <v>1957.7766666666721</v>
      </c>
      <c r="Y95" s="15"/>
      <c r="Z95" s="34">
        <f>IF(T95=0,0,X95/T95)</f>
        <v>-2.4016298925399568E-2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294</v>
      </c>
      <c r="C98" s="28"/>
      <c r="D98" s="33">
        <f>SUM(D95:D97)</f>
        <v>-7546.01</v>
      </c>
      <c r="E98" s="14"/>
      <c r="F98" s="32">
        <f>IF(D$12=0,0,D98/D$12)</f>
        <v>0</v>
      </c>
      <c r="G98" s="14"/>
      <c r="H98" s="33">
        <f>SUM(H95:H97)</f>
        <v>-7384.333333333333</v>
      </c>
      <c r="I98" s="14"/>
      <c r="J98" s="32">
        <f>IF(H$12=0,0,H98/H$12)</f>
        <v>0</v>
      </c>
      <c r="K98" s="15"/>
      <c r="L98" s="33">
        <f>+D98-H98</f>
        <v>-161.67666666666719</v>
      </c>
      <c r="M98" s="15"/>
      <c r="N98" s="32">
        <f>IF(H98=0,0,L98/H98)</f>
        <v>2.1894551528009822E-2</v>
      </c>
      <c r="O98" s="29"/>
      <c r="P98" s="33">
        <f>SUM(P95:P97)</f>
        <v>-79560.889999999985</v>
      </c>
      <c r="Q98" s="14"/>
      <c r="R98" s="32">
        <f>IF(P$12=0,0,P98/P$12)</f>
        <v>0</v>
      </c>
      <c r="S98" s="14"/>
      <c r="T98" s="33">
        <f>SUM(T95:T97)</f>
        <v>-81518.666666666657</v>
      </c>
      <c r="U98" s="14"/>
      <c r="V98" s="32">
        <f>IF(T$12=0,0,T98/T$12)</f>
        <v>0</v>
      </c>
      <c r="W98" s="15"/>
      <c r="X98" s="33">
        <f>+P98-T98</f>
        <v>1957.7766666666721</v>
      </c>
      <c r="Y98" s="15"/>
      <c r="Z98" s="32">
        <f>IF(T98=0,0,X98/T98)</f>
        <v>-2.4016298925399568E-2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60">
        <v>44356.891834571761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5" t="s">
        <v>56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63"/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","406", " - ", "OPA! Greek")</f>
        <v>Department 406 - OPA! Greek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119.55</v>
      </c>
      <c r="E18" s="22"/>
      <c r="F18" s="31">
        <f t="shared" ref="F18:F28" si="0">IF(D$12=0,0,D18/D$12)</f>
        <v>0</v>
      </c>
      <c r="G18" s="22"/>
      <c r="H18" s="22">
        <f>SUM(OSRRefH22x_0)</f>
        <v>435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-315.45</v>
      </c>
      <c r="M18" s="4"/>
      <c r="N18" s="31">
        <f t="shared" ref="N18:N28" si="3">IF(H18=0,0,L18/H18)</f>
        <v>-0.72517241379310338</v>
      </c>
      <c r="O18" s="10"/>
      <c r="P18" s="22">
        <f>SUM(OSRRefP22x_0)</f>
        <v>2411.54</v>
      </c>
      <c r="Q18" s="22"/>
      <c r="R18" s="31">
        <f t="shared" ref="R18:R28" si="4">IF(P$12=0,0,P18/P$12)</f>
        <v>0</v>
      </c>
      <c r="S18" s="22"/>
      <c r="T18" s="22">
        <f>SUM(OSRRefT22x_0)</f>
        <v>4785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-2373.46</v>
      </c>
      <c r="Y18" s="4"/>
      <c r="Z18" s="31">
        <f t="shared" ref="Z18:Z28" si="7">IF(T18=0,0,X18/T18)</f>
        <v>-0.49602089864158833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660.8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660.8</v>
      </c>
      <c r="Y19" s="1"/>
      <c r="Z19" s="5">
        <f t="shared" si="7"/>
        <v>0</v>
      </c>
    </row>
    <row r="20" spans="1:26" s="24" customFormat="1" hidden="1" outlineLevel="2" x14ac:dyDescent="0.25">
      <c r="A20" s="25"/>
      <c r="B20" s="11" t="str">
        <f>CONCATENATE("          ", "6113", " - ", "GROUP INSURANCE")</f>
        <v xml:space="preserve">          6113 - GROUP INSURANCE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660.8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660.8</v>
      </c>
      <c r="Y20" s="2"/>
      <c r="Z20" s="6">
        <f t="shared" si="7"/>
        <v>0</v>
      </c>
    </row>
    <row r="21" spans="1:26" s="27" customFormat="1" outlineLevel="1" collapsed="1" x14ac:dyDescent="0.25">
      <c r="A21" s="26"/>
      <c r="B21" s="13" t="str">
        <f>CONCATENATE("     ","Depreciation                                      ")</f>
        <v xml:space="preserve">     Depreciation                                      </v>
      </c>
      <c r="C21" s="13"/>
      <c r="D21" s="1">
        <f>SUM(OSRRefD22_1x_0)</f>
        <v>119.55</v>
      </c>
      <c r="E21" s="1"/>
      <c r="F21" s="5">
        <f t="shared" si="0"/>
        <v>0</v>
      </c>
      <c r="G21" s="1"/>
      <c r="H21" s="1">
        <f>SUM(OSRRefH22_1x_0)</f>
        <v>435</v>
      </c>
      <c r="I21" s="1"/>
      <c r="J21" s="5">
        <f t="shared" si="1"/>
        <v>0</v>
      </c>
      <c r="K21" s="1"/>
      <c r="L21" s="1">
        <f t="shared" si="2"/>
        <v>-315.45</v>
      </c>
      <c r="M21" s="1"/>
      <c r="N21" s="5">
        <f t="shared" si="3"/>
        <v>-0.72517241379310338</v>
      </c>
      <c r="O21" s="13"/>
      <c r="P21" s="1">
        <f>SUM(OSRRefP22_1x_0)</f>
        <v>1315.05</v>
      </c>
      <c r="Q21" s="1"/>
      <c r="R21" s="5">
        <f t="shared" si="4"/>
        <v>0</v>
      </c>
      <c r="S21" s="1"/>
      <c r="T21" s="1">
        <f>SUM(OSRRefT22_1x_0)</f>
        <v>4785</v>
      </c>
      <c r="U21" s="1"/>
      <c r="V21" s="5">
        <f t="shared" si="5"/>
        <v>0</v>
      </c>
      <c r="W21" s="1"/>
      <c r="X21" s="1">
        <f t="shared" si="6"/>
        <v>-3469.95</v>
      </c>
      <c r="Y21" s="1"/>
      <c r="Z21" s="5">
        <f t="shared" si="7"/>
        <v>-0.72517241379310338</v>
      </c>
    </row>
    <row r="22" spans="1:26" s="24" customFormat="1" hidden="1" outlineLevel="2" x14ac:dyDescent="0.25">
      <c r="A22" s="25"/>
      <c r="B22" s="11" t="str">
        <f>CONCATENATE("          ", "6322", " - ", "EQUIPMENT DEPRECIATION EXPENSE")</f>
        <v xml:space="preserve">          6322 - EQUIPMENT DEPRECIATION EXPENSE</v>
      </c>
      <c r="C22" s="11"/>
      <c r="D22" s="7">
        <v>119.55</v>
      </c>
      <c r="E22" s="2"/>
      <c r="F22" s="6">
        <f t="shared" si="0"/>
        <v>0</v>
      </c>
      <c r="G22" s="2"/>
      <c r="H22" s="7">
        <v>435</v>
      </c>
      <c r="I22" s="2"/>
      <c r="J22" s="6">
        <f t="shared" si="1"/>
        <v>0</v>
      </c>
      <c r="K22" s="2"/>
      <c r="L22" s="7">
        <f t="shared" si="2"/>
        <v>-315.45</v>
      </c>
      <c r="M22" s="2"/>
      <c r="N22" s="6">
        <f t="shared" si="3"/>
        <v>-0.72517241379310338</v>
      </c>
      <c r="O22" s="11"/>
      <c r="P22" s="7">
        <v>1315.05</v>
      </c>
      <c r="Q22" s="2"/>
      <c r="R22" s="6">
        <f t="shared" si="4"/>
        <v>0</v>
      </c>
      <c r="S22" s="2"/>
      <c r="T22" s="7">
        <v>4785</v>
      </c>
      <c r="U22" s="2"/>
      <c r="V22" s="6">
        <f t="shared" si="5"/>
        <v>0</v>
      </c>
      <c r="W22" s="2"/>
      <c r="X22" s="7">
        <f t="shared" si="6"/>
        <v>-3469.95</v>
      </c>
      <c r="Y22" s="2"/>
      <c r="Z22" s="6">
        <f t="shared" si="7"/>
        <v>-0.72517241379310338</v>
      </c>
    </row>
    <row r="23" spans="1:26" s="27" customFormat="1" outlineLevel="1" collapsed="1" x14ac:dyDescent="0.25">
      <c r="A23" s="26"/>
      <c r="B23" s="13" t="str">
        <f>CONCATENATE("     ","Equipment Rental                                  ")</f>
        <v xml:space="preserve">     Equipment Rental                                  </v>
      </c>
      <c r="C23" s="13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3"/>
      <c r="P23" s="1">
        <f>SUM(OSRRefP22_2x_0)</f>
        <v>64.02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64.02</v>
      </c>
      <c r="Y23" s="1"/>
      <c r="Z23" s="5">
        <f t="shared" si="7"/>
        <v>0</v>
      </c>
    </row>
    <row r="24" spans="1:26" s="24" customFormat="1" hidden="1" outlineLevel="2" x14ac:dyDescent="0.25">
      <c r="A24" s="25"/>
      <c r="B24" s="11" t="str">
        <f>CONCATENATE("          ", "6351", " - ", "EQUIPMENT RENTAL")</f>
        <v xml:space="preserve">          6351 - EQUIPMENT RENTAL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64.02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64.02</v>
      </c>
      <c r="Y24" s="2"/>
      <c r="Z24" s="6">
        <f t="shared" si="7"/>
        <v>0</v>
      </c>
    </row>
    <row r="25" spans="1:26" s="27" customFormat="1" outlineLevel="1" collapsed="1" x14ac:dyDescent="0.25">
      <c r="A25" s="26"/>
      <c r="B25" s="13" t="str">
        <f>CONCATENATE("     ","Repair and Maintenance                            ")</f>
        <v xml:space="preserve">     Repair and Maintenance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286.47000000000003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286.47000000000003</v>
      </c>
      <c r="Y25" s="1"/>
      <c r="Z25" s="5">
        <f t="shared" si="7"/>
        <v>0</v>
      </c>
    </row>
    <row r="26" spans="1:26" s="24" customFormat="1" hidden="1" outlineLevel="2" x14ac:dyDescent="0.25">
      <c r="A26" s="25"/>
      <c r="B26" s="11" t="str">
        <f>CONCATENATE("          ", "6373", " - ", "MAINTENANCE CONTRACTS")</f>
        <v xml:space="preserve">          6373 - MAINTENANCE CONTRACTS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286.47000000000003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286.47000000000003</v>
      </c>
      <c r="Y26" s="2"/>
      <c r="Z26" s="6">
        <f t="shared" si="7"/>
        <v>0</v>
      </c>
    </row>
    <row r="27" spans="1:26" s="27" customFormat="1" outlineLevel="1" collapsed="1" x14ac:dyDescent="0.25">
      <c r="A27" s="26"/>
      <c r="B27" s="13" t="str">
        <f>CONCATENATE("     ","Telephone/Data Lines                              ")</f>
        <v xml:space="preserve">     Telephone/Data Lines 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3"/>
      <c r="P27" s="1">
        <f>SUM(OSRRefP22_4x_0)</f>
        <v>85.2</v>
      </c>
      <c r="Q27" s="1"/>
      <c r="R27" s="5">
        <f t="shared" si="4"/>
        <v>0</v>
      </c>
      <c r="S27" s="1"/>
      <c r="T27" s="1">
        <f>SUM(OSRRefT22_4x_0)</f>
        <v>0</v>
      </c>
      <c r="U27" s="1"/>
      <c r="V27" s="5">
        <f t="shared" si="5"/>
        <v>0</v>
      </c>
      <c r="W27" s="1"/>
      <c r="X27" s="1">
        <f t="shared" si="6"/>
        <v>85.2</v>
      </c>
      <c r="Y27" s="1"/>
      <c r="Z27" s="5">
        <f t="shared" si="7"/>
        <v>0</v>
      </c>
    </row>
    <row r="28" spans="1:26" s="24" customFormat="1" hidden="1" outlineLevel="2" x14ac:dyDescent="0.25">
      <c r="A28" s="25"/>
      <c r="B28" s="11" t="str">
        <f>CONCATENATE("          ", "6309", " - ", "TELEPHONE")</f>
        <v xml:space="preserve">          6309 - TELEPHONE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85.2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85.2</v>
      </c>
      <c r="Y28" s="2"/>
      <c r="Z28" s="6">
        <f t="shared" si="7"/>
        <v>0</v>
      </c>
    </row>
    <row r="29" spans="1:26" s="56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293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8" t="s">
        <v>277</v>
      </c>
      <c r="C32" s="28"/>
      <c r="D32" s="20">
        <f>+D16-D18+D30</f>
        <v>-119.55</v>
      </c>
      <c r="E32" s="14"/>
      <c r="F32" s="21">
        <f>IF(D$12=0,0,D32/D$12)</f>
        <v>0</v>
      </c>
      <c r="G32" s="14"/>
      <c r="H32" s="20">
        <f>+H16-H18+H30</f>
        <v>-435</v>
      </c>
      <c r="I32" s="14"/>
      <c r="J32" s="21">
        <f>IF(H$12=0,0,H32/H$12)</f>
        <v>0</v>
      </c>
      <c r="K32" s="15"/>
      <c r="L32" s="20">
        <f>+D32-H32</f>
        <v>315.45</v>
      </c>
      <c r="M32" s="15"/>
      <c r="N32" s="21">
        <f>IF(H32=0,0,L32/H32)</f>
        <v>-0.72517241379310338</v>
      </c>
      <c r="O32" s="29"/>
      <c r="P32" s="20">
        <f>+P16-P18+P30</f>
        <v>-2411.54</v>
      </c>
      <c r="Q32" s="14"/>
      <c r="R32" s="21">
        <f>IF(P$12=0,0,P32/P$12)</f>
        <v>0</v>
      </c>
      <c r="S32" s="14"/>
      <c r="T32" s="20">
        <f>+T16-T18+T30</f>
        <v>-4785</v>
      </c>
      <c r="U32" s="14"/>
      <c r="V32" s="21">
        <f>IF(T$12=0,0,T32/T$12)</f>
        <v>0</v>
      </c>
      <c r="W32" s="15"/>
      <c r="X32" s="20">
        <f>+P32-T32</f>
        <v>2373.46</v>
      </c>
      <c r="Y32" s="15"/>
      <c r="Z32" s="21">
        <f>IF(T32=0,0,X32/T32)</f>
        <v>-0.49602089864158833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128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126</v>
      </c>
      <c r="C36" s="28"/>
      <c r="D36" s="35">
        <f>+D32-D34</f>
        <v>-119.55</v>
      </c>
      <c r="E36" s="14"/>
      <c r="F36" s="34">
        <f>IF(D$12=0,0,D36/D$12)</f>
        <v>0</v>
      </c>
      <c r="G36" s="14"/>
      <c r="H36" s="35">
        <f>+H32-H34</f>
        <v>-435</v>
      </c>
      <c r="I36" s="14"/>
      <c r="J36" s="34">
        <f>IF(H$12=0,0,H36/H$12)</f>
        <v>0</v>
      </c>
      <c r="K36" s="15"/>
      <c r="L36" s="35">
        <f>D36-H36</f>
        <v>315.45</v>
      </c>
      <c r="M36" s="15"/>
      <c r="N36" s="34">
        <f>IF(H36=0,0,L36/H36)</f>
        <v>-0.72517241379310338</v>
      </c>
      <c r="O36" s="29"/>
      <c r="P36" s="35">
        <f>+P32-P34</f>
        <v>-2411.54</v>
      </c>
      <c r="Q36" s="14"/>
      <c r="R36" s="34">
        <f>IF(P$12=0,0,P36/P$12)</f>
        <v>0</v>
      </c>
      <c r="S36" s="14"/>
      <c r="T36" s="35">
        <f>+T32-T34</f>
        <v>-4785</v>
      </c>
      <c r="U36" s="14"/>
      <c r="V36" s="34">
        <f>IF(T$12=0,0,T36/T$12)</f>
        <v>0</v>
      </c>
      <c r="W36" s="15"/>
      <c r="X36" s="35">
        <f>P36-T36</f>
        <v>2373.46</v>
      </c>
      <c r="Y36" s="15"/>
      <c r="Z36" s="34">
        <f>IF(T36=0,0,X36/T36)</f>
        <v>-0.49602089864158833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8" t="s">
        <v>294</v>
      </c>
      <c r="C39" s="28"/>
      <c r="D39" s="33">
        <f>SUM(D36:D38)</f>
        <v>-119.55</v>
      </c>
      <c r="E39" s="14"/>
      <c r="F39" s="32">
        <f>IF(D$12=0,0,D39/D$12)</f>
        <v>0</v>
      </c>
      <c r="G39" s="14"/>
      <c r="H39" s="33">
        <f>SUM(H36:H38)</f>
        <v>-435</v>
      </c>
      <c r="I39" s="14"/>
      <c r="J39" s="32">
        <f>IF(H$12=0,0,H39/H$12)</f>
        <v>0</v>
      </c>
      <c r="K39" s="15"/>
      <c r="L39" s="33">
        <f>+D39-H39</f>
        <v>315.45</v>
      </c>
      <c r="M39" s="15"/>
      <c r="N39" s="32">
        <f>IF(H39=0,0,L39/H39)</f>
        <v>-0.72517241379310338</v>
      </c>
      <c r="O39" s="29"/>
      <c r="P39" s="33">
        <f>SUM(P36:P38)</f>
        <v>-2411.54</v>
      </c>
      <c r="Q39" s="14"/>
      <c r="R39" s="32">
        <f>IF(P$12=0,0,P39/P$12)</f>
        <v>0</v>
      </c>
      <c r="S39" s="14"/>
      <c r="T39" s="33">
        <f>SUM(T36:T38)</f>
        <v>-4785</v>
      </c>
      <c r="U39" s="14"/>
      <c r="V39" s="32">
        <f>IF(T$12=0,0,T39/T$12)</f>
        <v>0</v>
      </c>
      <c r="W39" s="15"/>
      <c r="X39" s="33">
        <f>+P39-T39</f>
        <v>2373.46</v>
      </c>
      <c r="Y39" s="15"/>
      <c r="Z39" s="32">
        <f>IF(T39=0,0,X39/T39)</f>
        <v>-0.49602089864158833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60">
        <v>44356.891834571761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5" t="s">
        <v>56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63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","411", " - ", "University Dining")</f>
        <v>Department 411 - University Dining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39528.89</v>
      </c>
      <c r="E18" s="22"/>
      <c r="F18" s="31">
        <f t="shared" ref="F18:F28" si="0">IF(D$12=0,0,D18/D$12)</f>
        <v>0</v>
      </c>
      <c r="G18" s="22"/>
      <c r="H18" s="22">
        <f>SUM(OSRRefH22x_0)</f>
        <v>17793.461538461539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21735.42846153846</v>
      </c>
      <c r="M18" s="4"/>
      <c r="N18" s="31">
        <f t="shared" ref="N18:N28" si="3">IF(H18=0,0,L18/H18)</f>
        <v>1.2215401941076021</v>
      </c>
      <c r="O18" s="10"/>
      <c r="P18" s="22">
        <f>SUM(OSRRefP22x_0)</f>
        <v>330979.61</v>
      </c>
      <c r="Q18" s="22"/>
      <c r="R18" s="31">
        <f t="shared" ref="R18:R28" si="4">IF(P$12=0,0,P18/P$12)</f>
        <v>0</v>
      </c>
      <c r="S18" s="22"/>
      <c r="T18" s="22">
        <f>SUM(OSRRefT22x_0)</f>
        <v>197119.5384615385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133860.07153846149</v>
      </c>
      <c r="Y18" s="4"/>
      <c r="Z18" s="31">
        <f t="shared" ref="Z18:Z28" si="7">IF(T18=0,0,X18/T18)</f>
        <v>0.67908068668991917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5705.2699999999995</v>
      </c>
      <c r="E19" s="1"/>
      <c r="F19" s="5">
        <f t="shared" si="0"/>
        <v>0</v>
      </c>
      <c r="G19" s="1"/>
      <c r="H19" s="1">
        <f>SUM(OSRRefH22_0x_0)</f>
        <v>3013.4615384615399</v>
      </c>
      <c r="I19" s="1"/>
      <c r="J19" s="5">
        <f t="shared" si="1"/>
        <v>0</v>
      </c>
      <c r="K19" s="1"/>
      <c r="L19" s="1">
        <f t="shared" si="2"/>
        <v>2691.8084615384596</v>
      </c>
      <c r="M19" s="1"/>
      <c r="N19" s="5">
        <f t="shared" si="3"/>
        <v>0.89326126356094337</v>
      </c>
      <c r="O19" s="13"/>
      <c r="P19" s="1">
        <f>SUM(OSRRefP22_0x_0)</f>
        <v>66226.31</v>
      </c>
      <c r="Q19" s="1"/>
      <c r="R19" s="5">
        <f t="shared" si="4"/>
        <v>0</v>
      </c>
      <c r="S19" s="1"/>
      <c r="T19" s="1">
        <f>SUM(OSRRefT22_0x_0)</f>
        <v>34426.538461538497</v>
      </c>
      <c r="U19" s="1"/>
      <c r="V19" s="5">
        <f t="shared" si="5"/>
        <v>0</v>
      </c>
      <c r="W19" s="1"/>
      <c r="X19" s="1">
        <f t="shared" si="6"/>
        <v>31799.7715384615</v>
      </c>
      <c r="Y19" s="1"/>
      <c r="Z19" s="5">
        <f t="shared" si="7"/>
        <v>0.92369935984090779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852.54</v>
      </c>
      <c r="E20" s="2"/>
      <c r="F20" s="6">
        <f t="shared" si="0"/>
        <v>0</v>
      </c>
      <c r="G20" s="2"/>
      <c r="H20" s="7">
        <v>0</v>
      </c>
      <c r="I20" s="2"/>
      <c r="J20" s="6">
        <f t="shared" si="1"/>
        <v>0</v>
      </c>
      <c r="K20" s="2"/>
      <c r="L20" s="7">
        <f t="shared" si="2"/>
        <v>852.54</v>
      </c>
      <c r="M20" s="2"/>
      <c r="N20" s="6">
        <f t="shared" si="3"/>
        <v>0</v>
      </c>
      <c r="O20" s="11"/>
      <c r="P20" s="7">
        <v>10027.93</v>
      </c>
      <c r="Q20" s="2"/>
      <c r="R20" s="6">
        <f t="shared" si="4"/>
        <v>0</v>
      </c>
      <c r="S20" s="2"/>
      <c r="T20" s="7">
        <v>0</v>
      </c>
      <c r="U20" s="2"/>
      <c r="V20" s="6">
        <f t="shared" si="5"/>
        <v>0</v>
      </c>
      <c r="W20" s="2"/>
      <c r="X20" s="7">
        <f t="shared" si="6"/>
        <v>10027.93</v>
      </c>
      <c r="Y20" s="2"/>
      <c r="Z20" s="6">
        <f t="shared" si="7"/>
        <v>0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55.29</v>
      </c>
      <c r="E21" s="2"/>
      <c r="F21" s="6">
        <f t="shared" si="0"/>
        <v>0</v>
      </c>
      <c r="G21" s="2"/>
      <c r="H21" s="7">
        <v>0</v>
      </c>
      <c r="I21" s="2"/>
      <c r="J21" s="6">
        <f t="shared" si="1"/>
        <v>0</v>
      </c>
      <c r="K21" s="2"/>
      <c r="L21" s="7">
        <f t="shared" si="2"/>
        <v>55.29</v>
      </c>
      <c r="M21" s="2"/>
      <c r="N21" s="6">
        <f t="shared" si="3"/>
        <v>0</v>
      </c>
      <c r="O21" s="11"/>
      <c r="P21" s="7">
        <v>569.15</v>
      </c>
      <c r="Q21" s="2"/>
      <c r="R21" s="6">
        <f t="shared" si="4"/>
        <v>0</v>
      </c>
      <c r="S21" s="2"/>
      <c r="T21" s="7">
        <v>0</v>
      </c>
      <c r="U21" s="2"/>
      <c r="V21" s="6">
        <f t="shared" si="5"/>
        <v>0</v>
      </c>
      <c r="W21" s="2"/>
      <c r="X21" s="7">
        <f t="shared" si="6"/>
        <v>569.15</v>
      </c>
      <c r="Y21" s="2"/>
      <c r="Z21" s="6">
        <f t="shared" si="7"/>
        <v>0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1920.87</v>
      </c>
      <c r="E22" s="2"/>
      <c r="F22" s="6">
        <f t="shared" si="0"/>
        <v>0</v>
      </c>
      <c r="G22" s="2"/>
      <c r="H22" s="7">
        <v>2663.4615384615399</v>
      </c>
      <c r="I22" s="2"/>
      <c r="J22" s="6">
        <f t="shared" si="1"/>
        <v>0</v>
      </c>
      <c r="K22" s="2"/>
      <c r="L22" s="7">
        <f t="shared" si="2"/>
        <v>-742.59153846154004</v>
      </c>
      <c r="M22" s="2"/>
      <c r="N22" s="6">
        <f t="shared" si="3"/>
        <v>-0.27880693140794266</v>
      </c>
      <c r="O22" s="11"/>
      <c r="P22" s="7">
        <v>20174.82</v>
      </c>
      <c r="Q22" s="2"/>
      <c r="R22" s="6">
        <f t="shared" si="4"/>
        <v>0</v>
      </c>
      <c r="S22" s="2"/>
      <c r="T22" s="7">
        <v>30576.538461538501</v>
      </c>
      <c r="U22" s="2"/>
      <c r="V22" s="6">
        <f t="shared" si="5"/>
        <v>0</v>
      </c>
      <c r="W22" s="2"/>
      <c r="X22" s="7">
        <f t="shared" si="6"/>
        <v>-10401.718461538501</v>
      </c>
      <c r="Y22" s="2"/>
      <c r="Z22" s="6">
        <f t="shared" si="7"/>
        <v>-0.34018626649391903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43.56</v>
      </c>
      <c r="E23" s="2"/>
      <c r="F23" s="6">
        <f t="shared" si="0"/>
        <v>0</v>
      </c>
      <c r="G23" s="2"/>
      <c r="H23" s="7">
        <v>0</v>
      </c>
      <c r="I23" s="2"/>
      <c r="J23" s="6">
        <f t="shared" si="1"/>
        <v>0</v>
      </c>
      <c r="K23" s="2"/>
      <c r="L23" s="7">
        <f t="shared" si="2"/>
        <v>43.56</v>
      </c>
      <c r="M23" s="2"/>
      <c r="N23" s="6">
        <f t="shared" si="3"/>
        <v>0</v>
      </c>
      <c r="O23" s="11"/>
      <c r="P23" s="7">
        <v>383.53</v>
      </c>
      <c r="Q23" s="2"/>
      <c r="R23" s="6">
        <f t="shared" si="4"/>
        <v>0</v>
      </c>
      <c r="S23" s="2"/>
      <c r="T23" s="7">
        <v>0</v>
      </c>
      <c r="U23" s="2"/>
      <c r="V23" s="6">
        <f t="shared" si="5"/>
        <v>0</v>
      </c>
      <c r="W23" s="2"/>
      <c r="X23" s="7">
        <f t="shared" si="6"/>
        <v>383.53</v>
      </c>
      <c r="Y23" s="2"/>
      <c r="Z23" s="6">
        <f t="shared" si="7"/>
        <v>0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1221.05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1221.05</v>
      </c>
      <c r="M24" s="2"/>
      <c r="N24" s="6">
        <f t="shared" si="3"/>
        <v>0</v>
      </c>
      <c r="O24" s="11"/>
      <c r="P24" s="7">
        <v>15702.99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15702.99</v>
      </c>
      <c r="Y24" s="2"/>
      <c r="Z24" s="6">
        <f t="shared" si="7"/>
        <v>0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1022.52</v>
      </c>
      <c r="E26" s="2"/>
      <c r="F26" s="6">
        <f t="shared" si="0"/>
        <v>0</v>
      </c>
      <c r="G26" s="2"/>
      <c r="H26" s="7">
        <v>0</v>
      </c>
      <c r="I26" s="2"/>
      <c r="J26" s="6">
        <f t="shared" si="1"/>
        <v>0</v>
      </c>
      <c r="K26" s="2"/>
      <c r="L26" s="7">
        <f t="shared" si="2"/>
        <v>1022.52</v>
      </c>
      <c r="M26" s="2"/>
      <c r="N26" s="6">
        <f t="shared" si="3"/>
        <v>0</v>
      </c>
      <c r="O26" s="11"/>
      <c r="P26" s="7">
        <v>12462.38</v>
      </c>
      <c r="Q26" s="2"/>
      <c r="R26" s="6">
        <f t="shared" si="4"/>
        <v>0</v>
      </c>
      <c r="S26" s="2"/>
      <c r="T26" s="7">
        <v>0</v>
      </c>
      <c r="U26" s="2"/>
      <c r="V26" s="6">
        <f t="shared" si="5"/>
        <v>0</v>
      </c>
      <c r="W26" s="2"/>
      <c r="X26" s="7">
        <f t="shared" si="6"/>
        <v>12462.38</v>
      </c>
      <c r="Y26" s="2"/>
      <c r="Z26" s="6">
        <f t="shared" si="7"/>
        <v>0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510.58</v>
      </c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510.58</v>
      </c>
      <c r="M27" s="2"/>
      <c r="N27" s="6">
        <f t="shared" si="3"/>
        <v>0</v>
      </c>
      <c r="O27" s="11"/>
      <c r="P27" s="7">
        <v>6222.9</v>
      </c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6222.9</v>
      </c>
      <c r="Y27" s="2"/>
      <c r="Z27" s="6">
        <f t="shared" si="7"/>
        <v>0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>
        <v>78.86</v>
      </c>
      <c r="E28" s="2"/>
      <c r="F28" s="6">
        <f t="shared" si="0"/>
        <v>0</v>
      </c>
      <c r="G28" s="2"/>
      <c r="H28" s="7">
        <v>350</v>
      </c>
      <c r="I28" s="2"/>
      <c r="J28" s="6">
        <f t="shared" si="1"/>
        <v>0</v>
      </c>
      <c r="K28" s="2"/>
      <c r="L28" s="7">
        <f t="shared" si="2"/>
        <v>-271.14</v>
      </c>
      <c r="M28" s="2"/>
      <c r="N28" s="6">
        <f t="shared" si="3"/>
        <v>-0.7746857142857142</v>
      </c>
      <c r="O28" s="11"/>
      <c r="P28" s="7">
        <v>682.61</v>
      </c>
      <c r="Q28" s="2"/>
      <c r="R28" s="6">
        <f t="shared" si="4"/>
        <v>0</v>
      </c>
      <c r="S28" s="2"/>
      <c r="T28" s="7">
        <v>3850</v>
      </c>
      <c r="U28" s="2"/>
      <c r="V28" s="6">
        <f t="shared" si="5"/>
        <v>0</v>
      </c>
      <c r="W28" s="2"/>
      <c r="X28" s="7">
        <f t="shared" si="6"/>
        <v>-3167.39</v>
      </c>
      <c r="Y28" s="2"/>
      <c r="Z28" s="6">
        <f t="shared" si="7"/>
        <v>-0.82269870129870126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8301.9599999999991</v>
      </c>
      <c r="E29" s="1"/>
      <c r="F29" s="5">
        <f t="shared" ref="F29:F39" si="8">IF(D$12=0,0,D29/D$12)</f>
        <v>0</v>
      </c>
      <c r="G29" s="1"/>
      <c r="H29" s="1">
        <f>SUM(OSRRefH22_1x_0)</f>
        <v>0</v>
      </c>
      <c r="I29" s="1"/>
      <c r="J29" s="5">
        <f t="shared" ref="J29:J39" si="9">IF(H$12=0,0,H29/H$12)</f>
        <v>0</v>
      </c>
      <c r="K29" s="1"/>
      <c r="L29" s="1">
        <f t="shared" ref="L29:L39" si="10">+D29-H29</f>
        <v>8301.9599999999991</v>
      </c>
      <c r="M29" s="1"/>
      <c r="N29" s="5">
        <f t="shared" ref="N29:N39" si="11">IF(H29=0,0,L29/H29)</f>
        <v>0</v>
      </c>
      <c r="O29" s="13"/>
      <c r="P29" s="1">
        <f>SUM(OSRRefP22_1x_0)</f>
        <v>121813.13</v>
      </c>
      <c r="Q29" s="1"/>
      <c r="R29" s="5">
        <f t="shared" ref="R29:R39" si="12">IF(P$12=0,0,P29/P$12)</f>
        <v>0</v>
      </c>
      <c r="S29" s="1"/>
      <c r="T29" s="1">
        <f>SUM(OSRRefT22_1x_0)</f>
        <v>0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121813.13</v>
      </c>
      <c r="Y29" s="1"/>
      <c r="Z29" s="5">
        <f t="shared" ref="Z29:Z39" si="15">IF(T29=0,0,X29/T29)</f>
        <v>0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>
        <v>8301.9599999999991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8301.9599999999991</v>
      </c>
      <c r="M30" s="2"/>
      <c r="N30" s="6">
        <f t="shared" si="11"/>
        <v>0</v>
      </c>
      <c r="O30" s="11"/>
      <c r="P30" s="7">
        <v>119358.13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119358.13</v>
      </c>
      <c r="Y30" s="2"/>
      <c r="Z30" s="6">
        <f t="shared" si="15"/>
        <v>0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2080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2080</v>
      </c>
      <c r="Y31" s="2"/>
      <c r="Z31" s="6">
        <f t="shared" si="15"/>
        <v>0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>
        <v>70</v>
      </c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70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305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305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0</v>
      </c>
      <c r="M40" s="1"/>
      <c r="N40" s="5">
        <f t="shared" ref="N40:N46" si="19">IF(H40=0,0,L40/H40)</f>
        <v>0</v>
      </c>
      <c r="O40" s="13"/>
      <c r="P40" s="1">
        <f>SUM(OSRRefP22_2x_0)</f>
        <v>63.55</v>
      </c>
      <c r="Q40" s="1"/>
      <c r="R40" s="5">
        <f t="shared" ref="R40:R46" si="20">IF(P$12=0,0,P40/P$12)</f>
        <v>0</v>
      </c>
      <c r="S40" s="1"/>
      <c r="T40" s="1">
        <f>SUM(OSRRefT22_2x_0)</f>
        <v>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63.55</v>
      </c>
      <c r="Y40" s="1"/>
      <c r="Z40" s="5">
        <f t="shared" ref="Z40:Z46" si="23">IF(T40=0,0,X40/T40)</f>
        <v>0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>
        <v>0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63.55</v>
      </c>
      <c r="Q41" s="2"/>
      <c r="R41" s="6">
        <f t="shared" si="20"/>
        <v>0</v>
      </c>
      <c r="S41" s="2"/>
      <c r="T41" s="7">
        <v>0</v>
      </c>
      <c r="U41" s="2"/>
      <c r="V41" s="6">
        <f t="shared" si="21"/>
        <v>0</v>
      </c>
      <c r="W41" s="2"/>
      <c r="X41" s="7">
        <f t="shared" si="22"/>
        <v>63.55</v>
      </c>
      <c r="Y41" s="2"/>
      <c r="Z41" s="6">
        <f t="shared" si="23"/>
        <v>0</v>
      </c>
    </row>
    <row r="42" spans="1:26" s="27" customFormat="1" outlineLevel="1" collapsed="1" x14ac:dyDescent="0.25">
      <c r="A42" s="26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SUM(OSRRefD22_3x_0)</f>
        <v>245.91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245.91</v>
      </c>
      <c r="M42" s="1"/>
      <c r="N42" s="5">
        <f t="shared" si="19"/>
        <v>0</v>
      </c>
      <c r="O42" s="13"/>
      <c r="P42" s="1">
        <f>SUM(OSRRefP22_3x_0)</f>
        <v>4619.22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4619.22</v>
      </c>
      <c r="Y42" s="1"/>
      <c r="Z42" s="5">
        <f t="shared" si="23"/>
        <v>0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7">
        <v>245.91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245.91</v>
      </c>
      <c r="M43" s="2"/>
      <c r="N43" s="6">
        <f t="shared" si="19"/>
        <v>0</v>
      </c>
      <c r="O43" s="11"/>
      <c r="P43" s="7">
        <v>4619.22</v>
      </c>
      <c r="Q43" s="2"/>
      <c r="R43" s="6">
        <f t="shared" si="20"/>
        <v>0</v>
      </c>
      <c r="S43" s="2"/>
      <c r="T43" s="7"/>
      <c r="U43" s="2"/>
      <c r="V43" s="6">
        <f t="shared" si="21"/>
        <v>0</v>
      </c>
      <c r="W43" s="2"/>
      <c r="X43" s="7">
        <f t="shared" si="22"/>
        <v>4619.22</v>
      </c>
      <c r="Y43" s="2"/>
      <c r="Z43" s="6">
        <f t="shared" si="23"/>
        <v>0</v>
      </c>
    </row>
    <row r="44" spans="1:26" s="27" customFormat="1" outlineLevel="1" collapsed="1" x14ac:dyDescent="0.25">
      <c r="A44" s="26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SUM(OSRRefD22_4x_0)</f>
        <v>6779.8600000000006</v>
      </c>
      <c r="E44" s="1"/>
      <c r="F44" s="5">
        <f t="shared" si="16"/>
        <v>0</v>
      </c>
      <c r="G44" s="1"/>
      <c r="H44" s="1">
        <f>SUM(OSRRefH22_4x_0)</f>
        <v>6744</v>
      </c>
      <c r="I44" s="1"/>
      <c r="J44" s="5">
        <f t="shared" si="17"/>
        <v>0</v>
      </c>
      <c r="K44" s="1"/>
      <c r="L44" s="1">
        <f t="shared" si="18"/>
        <v>35.860000000000582</v>
      </c>
      <c r="M44" s="1"/>
      <c r="N44" s="5">
        <f t="shared" si="19"/>
        <v>5.3173190984579745E-3</v>
      </c>
      <c r="O44" s="13"/>
      <c r="P44" s="1">
        <f>SUM(OSRRefP22_4x_0)</f>
        <v>75362.649999999994</v>
      </c>
      <c r="Q44" s="1"/>
      <c r="R44" s="5">
        <f t="shared" si="20"/>
        <v>0</v>
      </c>
      <c r="S44" s="1"/>
      <c r="T44" s="1">
        <f>SUM(OSRRefT22_4x_0)</f>
        <v>74970</v>
      </c>
      <c r="U44" s="1"/>
      <c r="V44" s="5">
        <f t="shared" si="21"/>
        <v>0</v>
      </c>
      <c r="W44" s="1"/>
      <c r="X44" s="1">
        <f t="shared" si="22"/>
        <v>392.64999999999418</v>
      </c>
      <c r="Y44" s="1"/>
      <c r="Z44" s="5">
        <f t="shared" si="23"/>
        <v>5.2374283046551177E-3</v>
      </c>
    </row>
    <row r="45" spans="1:26" s="24" customFormat="1" hidden="1" outlineLevel="2" x14ac:dyDescent="0.25">
      <c r="A45" s="25"/>
      <c r="B45" s="11" t="str">
        <f>CONCATENATE("          ", "6321", " - ", "BUILDING DEPRECIATION")</f>
        <v xml:space="preserve">          6321 - BUILDING DEPRECIATION</v>
      </c>
      <c r="C45" s="11"/>
      <c r="D45" s="7">
        <v>1822.68</v>
      </c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1822.68</v>
      </c>
      <c r="M45" s="2"/>
      <c r="N45" s="6">
        <f t="shared" si="19"/>
        <v>0</v>
      </c>
      <c r="O45" s="11"/>
      <c r="P45" s="7">
        <v>20833.669999999998</v>
      </c>
      <c r="Q45" s="2"/>
      <c r="R45" s="6">
        <f t="shared" si="20"/>
        <v>0</v>
      </c>
      <c r="S45" s="2"/>
      <c r="T45" s="7"/>
      <c r="U45" s="2"/>
      <c r="V45" s="6">
        <f t="shared" si="21"/>
        <v>0</v>
      </c>
      <c r="W45" s="2"/>
      <c r="X45" s="7">
        <f t="shared" si="22"/>
        <v>20833.669999999998</v>
      </c>
      <c r="Y45" s="2"/>
      <c r="Z45" s="6">
        <f t="shared" si="23"/>
        <v>0</v>
      </c>
    </row>
    <row r="46" spans="1:26" s="24" customFormat="1" hidden="1" outlineLevel="2" x14ac:dyDescent="0.25">
      <c r="A46" s="25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4957.18</v>
      </c>
      <c r="E46" s="2"/>
      <c r="F46" s="6">
        <f t="shared" si="16"/>
        <v>0</v>
      </c>
      <c r="G46" s="2"/>
      <c r="H46" s="7">
        <v>6744</v>
      </c>
      <c r="I46" s="2"/>
      <c r="J46" s="6">
        <f t="shared" si="17"/>
        <v>0</v>
      </c>
      <c r="K46" s="2"/>
      <c r="L46" s="7">
        <f t="shared" si="18"/>
        <v>-1786.8199999999997</v>
      </c>
      <c r="M46" s="2"/>
      <c r="N46" s="6">
        <f t="shared" si="19"/>
        <v>-0.26494958481613279</v>
      </c>
      <c r="O46" s="11"/>
      <c r="P46" s="7">
        <v>54528.98</v>
      </c>
      <c r="Q46" s="2"/>
      <c r="R46" s="6">
        <f t="shared" si="20"/>
        <v>0</v>
      </c>
      <c r="S46" s="2"/>
      <c r="T46" s="7">
        <v>74970</v>
      </c>
      <c r="U46" s="2"/>
      <c r="V46" s="6">
        <f t="shared" si="21"/>
        <v>0</v>
      </c>
      <c r="W46" s="2"/>
      <c r="X46" s="7">
        <f t="shared" si="22"/>
        <v>-20441.019999999997</v>
      </c>
      <c r="Y46" s="2"/>
      <c r="Z46" s="6">
        <f t="shared" si="23"/>
        <v>-0.27265599573162597</v>
      </c>
    </row>
    <row r="47" spans="1:26" s="27" customFormat="1" outlineLevel="1" collapsed="1" x14ac:dyDescent="0.25">
      <c r="A47" s="26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SUM(OSRRefD22_5x_0)</f>
        <v>595.64</v>
      </c>
      <c r="E47" s="1"/>
      <c r="F47" s="5">
        <f t="shared" ref="F47:F59" si="24">IF(D$12=0,0,D47/D$12)</f>
        <v>0</v>
      </c>
      <c r="G47" s="1"/>
      <c r="H47" s="1">
        <f>SUM(OSRRefH22_5x_0)</f>
        <v>0</v>
      </c>
      <c r="I47" s="1"/>
      <c r="J47" s="5">
        <f t="shared" ref="J47:J59" si="25">IF(H$12=0,0,H47/H$12)</f>
        <v>0</v>
      </c>
      <c r="K47" s="1"/>
      <c r="L47" s="1">
        <f t="shared" ref="L47:L59" si="26">+D47-H47</f>
        <v>595.64</v>
      </c>
      <c r="M47" s="1"/>
      <c r="N47" s="5">
        <f t="shared" ref="N47:N59" si="27">IF(H47=0,0,L47/H47)</f>
        <v>0</v>
      </c>
      <c r="O47" s="13"/>
      <c r="P47" s="1">
        <f>SUM(OSRRefP22_5x_0)</f>
        <v>3706.39</v>
      </c>
      <c r="Q47" s="1"/>
      <c r="R47" s="5">
        <f t="shared" ref="R47:R59" si="28">IF(P$12=0,0,P47/P$12)</f>
        <v>0</v>
      </c>
      <c r="S47" s="1"/>
      <c r="T47" s="1">
        <f>SUM(OSRRefT22_5x_0)</f>
        <v>0</v>
      </c>
      <c r="U47" s="1"/>
      <c r="V47" s="5">
        <f t="shared" ref="V47:V59" si="29">IF(T$12=0,0,T47/T$12)</f>
        <v>0</v>
      </c>
      <c r="W47" s="1"/>
      <c r="X47" s="1">
        <f t="shared" ref="X47:X59" si="30">+P47-T47</f>
        <v>3706.39</v>
      </c>
      <c r="Y47" s="1"/>
      <c r="Z47" s="5">
        <f t="shared" ref="Z47:Z59" si="31">IF(T47=0,0,X47/T47)</f>
        <v>0</v>
      </c>
    </row>
    <row r="48" spans="1:26" s="24" customFormat="1" hidden="1" outlineLevel="2" x14ac:dyDescent="0.25">
      <c r="A48" s="25"/>
      <c r="B48" s="11" t="str">
        <f>CONCATENATE("          ", "6351", " - ", "EQUIPMENT RENTAL")</f>
        <v xml:space="preserve">          6351 - EQUIPMENT RENTAL</v>
      </c>
      <c r="C48" s="11"/>
      <c r="D48" s="7">
        <v>595.64</v>
      </c>
      <c r="E48" s="2"/>
      <c r="F48" s="6">
        <f t="shared" si="24"/>
        <v>0</v>
      </c>
      <c r="G48" s="2"/>
      <c r="H48" s="7">
        <v>0</v>
      </c>
      <c r="I48" s="2"/>
      <c r="J48" s="6">
        <f t="shared" si="25"/>
        <v>0</v>
      </c>
      <c r="K48" s="2"/>
      <c r="L48" s="7">
        <f t="shared" si="26"/>
        <v>595.64</v>
      </c>
      <c r="M48" s="2"/>
      <c r="N48" s="6">
        <f t="shared" si="27"/>
        <v>0</v>
      </c>
      <c r="O48" s="11"/>
      <c r="P48" s="7">
        <v>3706.39</v>
      </c>
      <c r="Q48" s="2"/>
      <c r="R48" s="6">
        <f t="shared" si="28"/>
        <v>0</v>
      </c>
      <c r="S48" s="2"/>
      <c r="T48" s="7">
        <v>0</v>
      </c>
      <c r="U48" s="2"/>
      <c r="V48" s="6">
        <f t="shared" si="29"/>
        <v>0</v>
      </c>
      <c r="W48" s="2"/>
      <c r="X48" s="7">
        <f t="shared" si="30"/>
        <v>3706.39</v>
      </c>
      <c r="Y48" s="2"/>
      <c r="Z48" s="6">
        <f t="shared" si="31"/>
        <v>0</v>
      </c>
    </row>
    <row r="49" spans="1:26" s="27" customFormat="1" outlineLevel="1" collapsed="1" x14ac:dyDescent="0.25">
      <c r="A49" s="26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3"/>
      <c r="P49" s="1">
        <f>SUM(OSRRefP22_6x_0)</f>
        <v>-2.4500000000000002</v>
      </c>
      <c r="Q49" s="1"/>
      <c r="R49" s="5">
        <f t="shared" si="28"/>
        <v>0</v>
      </c>
      <c r="S49" s="1"/>
      <c r="T49" s="1">
        <f>SUM(OSRRefT22_6x_0)</f>
        <v>0</v>
      </c>
      <c r="U49" s="1"/>
      <c r="V49" s="5">
        <f t="shared" si="29"/>
        <v>0</v>
      </c>
      <c r="W49" s="1"/>
      <c r="X49" s="1">
        <f t="shared" si="30"/>
        <v>-2.4500000000000002</v>
      </c>
      <c r="Y49" s="1"/>
      <c r="Z49" s="5">
        <f t="shared" si="31"/>
        <v>0</v>
      </c>
    </row>
    <row r="50" spans="1:26" s="24" customFormat="1" hidden="1" outlineLevel="2" x14ac:dyDescent="0.25">
      <c r="A50" s="25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-2.4500000000000002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-2.4500000000000002</v>
      </c>
      <c r="Y50" s="2"/>
      <c r="Z50" s="6">
        <f t="shared" si="31"/>
        <v>0</v>
      </c>
    </row>
    <row r="51" spans="1:26" s="27" customFormat="1" outlineLevel="1" collapsed="1" x14ac:dyDescent="0.25">
      <c r="A51" s="26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SUM(OSRRefD22_7x_0)</f>
        <v>0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0</v>
      </c>
      <c r="M51" s="1"/>
      <c r="N51" s="5">
        <f t="shared" si="27"/>
        <v>0</v>
      </c>
      <c r="O51" s="13"/>
      <c r="P51" s="1">
        <f>SUM(OSRRefP22_7x_0)</f>
        <v>721.41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721.41</v>
      </c>
      <c r="Y51" s="1"/>
      <c r="Z51" s="5">
        <f t="shared" si="31"/>
        <v>0</v>
      </c>
    </row>
    <row r="52" spans="1:26" s="24" customFormat="1" hidden="1" outlineLevel="2" x14ac:dyDescent="0.25">
      <c r="A52" s="25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>
        <v>721.41</v>
      </c>
      <c r="Q52" s="2"/>
      <c r="R52" s="6">
        <f t="shared" si="28"/>
        <v>0</v>
      </c>
      <c r="S52" s="2"/>
      <c r="T52" s="7">
        <v>0</v>
      </c>
      <c r="U52" s="2"/>
      <c r="V52" s="6">
        <f t="shared" si="29"/>
        <v>0</v>
      </c>
      <c r="W52" s="2"/>
      <c r="X52" s="7">
        <f t="shared" si="30"/>
        <v>721.41</v>
      </c>
      <c r="Y52" s="2"/>
      <c r="Z52" s="6">
        <f t="shared" si="31"/>
        <v>0</v>
      </c>
    </row>
    <row r="53" spans="1:26" s="27" customFormat="1" outlineLevel="1" collapsed="1" x14ac:dyDescent="0.25">
      <c r="A53" s="26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SUM(OSRRefD22_8x_0)</f>
        <v>3598.85</v>
      </c>
      <c r="E53" s="1"/>
      <c r="F53" s="5">
        <f t="shared" si="24"/>
        <v>0</v>
      </c>
      <c r="G53" s="1"/>
      <c r="H53" s="1">
        <f>SUM(OSRRefH22_8x_0)</f>
        <v>3860</v>
      </c>
      <c r="I53" s="1"/>
      <c r="J53" s="5">
        <f t="shared" si="25"/>
        <v>0</v>
      </c>
      <c r="K53" s="1"/>
      <c r="L53" s="1">
        <f t="shared" si="26"/>
        <v>-261.15000000000009</v>
      </c>
      <c r="M53" s="1"/>
      <c r="N53" s="5">
        <f t="shared" si="27"/>
        <v>-6.76554404145078E-2</v>
      </c>
      <c r="O53" s="13"/>
      <c r="P53" s="1">
        <f>SUM(OSRRefP22_8x_0)</f>
        <v>45699.35</v>
      </c>
      <c r="Q53" s="1"/>
      <c r="R53" s="5">
        <f t="shared" si="28"/>
        <v>0</v>
      </c>
      <c r="S53" s="1"/>
      <c r="T53" s="1">
        <f>SUM(OSRRefT22_8x_0)</f>
        <v>42460</v>
      </c>
      <c r="U53" s="1"/>
      <c r="V53" s="5">
        <f t="shared" si="29"/>
        <v>0</v>
      </c>
      <c r="W53" s="1"/>
      <c r="X53" s="1">
        <f t="shared" si="30"/>
        <v>3239.3499999999985</v>
      </c>
      <c r="Y53" s="1"/>
      <c r="Z53" s="5">
        <f t="shared" si="31"/>
        <v>7.6291804050871367E-2</v>
      </c>
    </row>
    <row r="54" spans="1:26" s="24" customFormat="1" hidden="1" outlineLevel="2" x14ac:dyDescent="0.25">
      <c r="A54" s="25"/>
      <c r="B54" s="11" t="str">
        <f>CONCATENATE("          ", "6314", " - ", "LIABILITY INSURANCE")</f>
        <v xml:space="preserve">          6314 - LIABILITY INSURANCE</v>
      </c>
      <c r="C54" s="11"/>
      <c r="D54" s="7">
        <v>3598.85</v>
      </c>
      <c r="E54" s="2"/>
      <c r="F54" s="6">
        <f t="shared" si="24"/>
        <v>0</v>
      </c>
      <c r="G54" s="2"/>
      <c r="H54" s="7">
        <v>3860</v>
      </c>
      <c r="I54" s="2"/>
      <c r="J54" s="6">
        <f t="shared" si="25"/>
        <v>0</v>
      </c>
      <c r="K54" s="2"/>
      <c r="L54" s="7">
        <f t="shared" si="26"/>
        <v>-261.15000000000009</v>
      </c>
      <c r="M54" s="2"/>
      <c r="N54" s="6">
        <f t="shared" si="27"/>
        <v>-6.76554404145078E-2</v>
      </c>
      <c r="O54" s="11"/>
      <c r="P54" s="7">
        <v>45699.35</v>
      </c>
      <c r="Q54" s="2"/>
      <c r="R54" s="6">
        <f t="shared" si="28"/>
        <v>0</v>
      </c>
      <c r="S54" s="2"/>
      <c r="T54" s="7">
        <v>42460</v>
      </c>
      <c r="U54" s="2"/>
      <c r="V54" s="6">
        <f t="shared" si="29"/>
        <v>0</v>
      </c>
      <c r="W54" s="2"/>
      <c r="X54" s="7">
        <f t="shared" si="30"/>
        <v>3239.3499999999985</v>
      </c>
      <c r="Y54" s="2"/>
      <c r="Z54" s="6">
        <f t="shared" si="31"/>
        <v>7.6291804050871367E-2</v>
      </c>
    </row>
    <row r="55" spans="1:26" s="27" customFormat="1" outlineLevel="1" collapsed="1" x14ac:dyDescent="0.25">
      <c r="A55" s="26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SUM(OSRRefD22_9x_0)</f>
        <v>8257.2000000000007</v>
      </c>
      <c r="E55" s="1"/>
      <c r="F55" s="5">
        <f t="shared" si="24"/>
        <v>0</v>
      </c>
      <c r="G55" s="1"/>
      <c r="H55" s="1">
        <f>SUM(OSRRefH22_9x_0)</f>
        <v>0</v>
      </c>
      <c r="I55" s="1"/>
      <c r="J55" s="5">
        <f t="shared" si="25"/>
        <v>0</v>
      </c>
      <c r="K55" s="1"/>
      <c r="L55" s="1">
        <f t="shared" si="26"/>
        <v>8257.2000000000007</v>
      </c>
      <c r="M55" s="1"/>
      <c r="N55" s="5">
        <f t="shared" si="27"/>
        <v>0</v>
      </c>
      <c r="O55" s="13"/>
      <c r="P55" s="1">
        <f>SUM(OSRRefP22_9x_0)</f>
        <v>16571.04</v>
      </c>
      <c r="Q55" s="1"/>
      <c r="R55" s="5">
        <f t="shared" si="28"/>
        <v>0</v>
      </c>
      <c r="S55" s="1"/>
      <c r="T55" s="1">
        <f>SUM(OSRRefT22_9x_0)</f>
        <v>0</v>
      </c>
      <c r="U55" s="1"/>
      <c r="V55" s="5">
        <f t="shared" si="29"/>
        <v>0</v>
      </c>
      <c r="W55" s="1"/>
      <c r="X55" s="1">
        <f t="shared" si="30"/>
        <v>16571.04</v>
      </c>
      <c r="Y55" s="1"/>
      <c r="Z55" s="5">
        <f t="shared" si="31"/>
        <v>0</v>
      </c>
    </row>
    <row r="56" spans="1:26" s="24" customFormat="1" hidden="1" outlineLevel="2" x14ac:dyDescent="0.25">
      <c r="A56" s="25"/>
      <c r="B56" s="11" t="str">
        <f>CONCATENATE("          ", "6371", " - ", "COMPUTER SOFTWARE MAINTENANCE")</f>
        <v xml:space="preserve">          6371 - COMPUTER SOFTWARE MAINTENANCE</v>
      </c>
      <c r="C56" s="11"/>
      <c r="D56" s="7">
        <v>8257.2000000000007</v>
      </c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8257.2000000000007</v>
      </c>
      <c r="M56" s="2"/>
      <c r="N56" s="6">
        <f t="shared" si="27"/>
        <v>0</v>
      </c>
      <c r="O56" s="11"/>
      <c r="P56" s="7">
        <v>8959.4699999999993</v>
      </c>
      <c r="Q56" s="2"/>
      <c r="R56" s="6">
        <f t="shared" si="28"/>
        <v>0</v>
      </c>
      <c r="S56" s="2"/>
      <c r="T56" s="7"/>
      <c r="U56" s="2"/>
      <c r="V56" s="6">
        <f t="shared" si="29"/>
        <v>0</v>
      </c>
      <c r="W56" s="2"/>
      <c r="X56" s="7">
        <f t="shared" si="30"/>
        <v>8959.4699999999993</v>
      </c>
      <c r="Y56" s="2"/>
      <c r="Z56" s="6">
        <f t="shared" si="31"/>
        <v>0</v>
      </c>
    </row>
    <row r="57" spans="1:26" s="24" customFormat="1" hidden="1" outlineLevel="2" x14ac:dyDescent="0.25">
      <c r="A57" s="25"/>
      <c r="B57" s="11" t="str">
        <f>CONCATENATE("          ", "6372", " - ", "COMPUTER HARDWARE MAINTENANCE")</f>
        <v xml:space="preserve">          6372 - COMPUTER HARDWARE MAINTENANCE</v>
      </c>
      <c r="C57" s="11"/>
      <c r="D57" s="7"/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0</v>
      </c>
      <c r="M57" s="2"/>
      <c r="N57" s="6">
        <f t="shared" si="27"/>
        <v>0</v>
      </c>
      <c r="O57" s="11"/>
      <c r="P57" s="7">
        <v>100</v>
      </c>
      <c r="Q57" s="2"/>
      <c r="R57" s="6">
        <f t="shared" si="28"/>
        <v>0</v>
      </c>
      <c r="S57" s="2"/>
      <c r="T57" s="7"/>
      <c r="U57" s="2"/>
      <c r="V57" s="6">
        <f t="shared" si="29"/>
        <v>0</v>
      </c>
      <c r="W57" s="2"/>
      <c r="X57" s="7">
        <f t="shared" si="30"/>
        <v>100</v>
      </c>
      <c r="Y57" s="2"/>
      <c r="Z57" s="6">
        <f t="shared" si="31"/>
        <v>0</v>
      </c>
    </row>
    <row r="58" spans="1:26" s="24" customFormat="1" hidden="1" outlineLevel="2" x14ac:dyDescent="0.25">
      <c r="A58" s="25"/>
      <c r="B58" s="11" t="str">
        <f>CONCATENATE("          ", "6373", " - ", "MAINTENANCE CONTRACTS")</f>
        <v xml:space="preserve">          6373 - MAINTENANCE CONTRACTS</v>
      </c>
      <c r="C58" s="11"/>
      <c r="D58" s="7"/>
      <c r="E58" s="2"/>
      <c r="F58" s="6">
        <f t="shared" si="24"/>
        <v>0</v>
      </c>
      <c r="G58" s="2"/>
      <c r="H58" s="7">
        <v>0</v>
      </c>
      <c r="I58" s="2"/>
      <c r="J58" s="6">
        <f t="shared" si="25"/>
        <v>0</v>
      </c>
      <c r="K58" s="2"/>
      <c r="L58" s="7">
        <f t="shared" si="26"/>
        <v>0</v>
      </c>
      <c r="M58" s="2"/>
      <c r="N58" s="6">
        <f t="shared" si="27"/>
        <v>0</v>
      </c>
      <c r="O58" s="11"/>
      <c r="P58" s="7">
        <v>2215.61</v>
      </c>
      <c r="Q58" s="2"/>
      <c r="R58" s="6">
        <f t="shared" si="28"/>
        <v>0</v>
      </c>
      <c r="S58" s="2"/>
      <c r="T58" s="7">
        <v>0</v>
      </c>
      <c r="U58" s="2"/>
      <c r="V58" s="6">
        <f t="shared" si="29"/>
        <v>0</v>
      </c>
      <c r="W58" s="2"/>
      <c r="X58" s="7">
        <f t="shared" si="30"/>
        <v>2215.61</v>
      </c>
      <c r="Y58" s="2"/>
      <c r="Z58" s="6">
        <f t="shared" si="31"/>
        <v>0</v>
      </c>
    </row>
    <row r="59" spans="1:26" s="24" customFormat="1" hidden="1" outlineLevel="2" x14ac:dyDescent="0.25">
      <c r="A59" s="25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24"/>
        <v>0</v>
      </c>
      <c r="G59" s="2"/>
      <c r="H59" s="7">
        <v>0</v>
      </c>
      <c r="I59" s="2"/>
      <c r="J59" s="6">
        <f t="shared" si="25"/>
        <v>0</v>
      </c>
      <c r="K59" s="2"/>
      <c r="L59" s="7">
        <f t="shared" si="26"/>
        <v>0</v>
      </c>
      <c r="M59" s="2"/>
      <c r="N59" s="6">
        <f t="shared" si="27"/>
        <v>0</v>
      </c>
      <c r="O59" s="11"/>
      <c r="P59" s="7">
        <v>5295.96</v>
      </c>
      <c r="Q59" s="2"/>
      <c r="R59" s="6">
        <f t="shared" si="28"/>
        <v>0</v>
      </c>
      <c r="S59" s="2"/>
      <c r="T59" s="7">
        <v>0</v>
      </c>
      <c r="U59" s="2"/>
      <c r="V59" s="6">
        <f t="shared" si="29"/>
        <v>0</v>
      </c>
      <c r="W59" s="2"/>
      <c r="X59" s="7">
        <f t="shared" si="30"/>
        <v>5295.96</v>
      </c>
      <c r="Y59" s="2"/>
      <c r="Z59" s="6">
        <f t="shared" si="31"/>
        <v>0</v>
      </c>
    </row>
    <row r="60" spans="1:26" s="27" customFormat="1" outlineLevel="1" collapsed="1" x14ac:dyDescent="0.25">
      <c r="A60" s="26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SUM(OSRRefD22_10x_0)</f>
        <v>4904.1000000000004</v>
      </c>
      <c r="E60" s="1"/>
      <c r="F60" s="5">
        <f t="shared" ref="F60:F64" si="32">IF(D$12=0,0,D60/D$12)</f>
        <v>0</v>
      </c>
      <c r="G60" s="1"/>
      <c r="H60" s="1">
        <f>SUM(OSRRefH22_10x_0)</f>
        <v>3126</v>
      </c>
      <c r="I60" s="1"/>
      <c r="J60" s="5">
        <f t="shared" ref="J60:J64" si="33">IF(H$12=0,0,H60/H$12)</f>
        <v>0</v>
      </c>
      <c r="K60" s="1"/>
      <c r="L60" s="1">
        <f t="shared" ref="L60:L64" si="34">+D60-H60</f>
        <v>1778.1000000000004</v>
      </c>
      <c r="M60" s="1"/>
      <c r="N60" s="5">
        <f t="shared" ref="N60:N64" si="35">IF(H60=0,0,L60/H60)</f>
        <v>0.5688099808061422</v>
      </c>
      <c r="O60" s="13"/>
      <c r="P60" s="1">
        <f>SUM(OSRRefP22_10x_0)</f>
        <v>31956.28</v>
      </c>
      <c r="Q60" s="1"/>
      <c r="R60" s="5">
        <f t="shared" ref="R60:R64" si="36">IF(P$12=0,0,P60/P$12)</f>
        <v>0</v>
      </c>
      <c r="S60" s="1"/>
      <c r="T60" s="1">
        <f>SUM(OSRRefT22_10x_0)</f>
        <v>32813</v>
      </c>
      <c r="U60" s="1"/>
      <c r="V60" s="5">
        <f t="shared" ref="V60:V64" si="37">IF(T$12=0,0,T60/T$12)</f>
        <v>0</v>
      </c>
      <c r="W60" s="1"/>
      <c r="X60" s="1">
        <f t="shared" ref="X60:X64" si="38">+P60-T60</f>
        <v>-856.72000000000116</v>
      </c>
      <c r="Y60" s="1"/>
      <c r="Z60" s="5">
        <f t="shared" ref="Z60:Z64" si="39">IF(T60=0,0,X60/T60)</f>
        <v>-2.6109164050833546E-2</v>
      </c>
    </row>
    <row r="61" spans="1:26" s="24" customFormat="1" hidden="1" outlineLevel="2" x14ac:dyDescent="0.25">
      <c r="A61" s="25"/>
      <c r="B61" s="11" t="str">
        <f>CONCATENATE("          ", "6282", " - ", "JANITORIAL/EXTERMINATOR EXPENS")</f>
        <v xml:space="preserve">          6282 - JANITORIAL/EXTERMINATOR EXPENS</v>
      </c>
      <c r="C61" s="11"/>
      <c r="D61" s="7">
        <v>650.1</v>
      </c>
      <c r="E61" s="2"/>
      <c r="F61" s="6">
        <f t="shared" si="32"/>
        <v>0</v>
      </c>
      <c r="G61" s="2"/>
      <c r="H61" s="7">
        <v>626</v>
      </c>
      <c r="I61" s="2"/>
      <c r="J61" s="6">
        <f t="shared" si="33"/>
        <v>0</v>
      </c>
      <c r="K61" s="2"/>
      <c r="L61" s="7">
        <f t="shared" si="34"/>
        <v>24.100000000000023</v>
      </c>
      <c r="M61" s="2"/>
      <c r="N61" s="6">
        <f t="shared" si="35"/>
        <v>3.8498402555910582E-2</v>
      </c>
      <c r="O61" s="11"/>
      <c r="P61" s="7">
        <v>6330.28</v>
      </c>
      <c r="Q61" s="2"/>
      <c r="R61" s="6">
        <f t="shared" si="36"/>
        <v>0</v>
      </c>
      <c r="S61" s="2"/>
      <c r="T61" s="7">
        <v>7513</v>
      </c>
      <c r="U61" s="2"/>
      <c r="V61" s="6">
        <f t="shared" si="37"/>
        <v>0</v>
      </c>
      <c r="W61" s="2"/>
      <c r="X61" s="7">
        <f t="shared" si="38"/>
        <v>-1182.7200000000003</v>
      </c>
      <c r="Y61" s="2"/>
      <c r="Z61" s="6">
        <f t="shared" si="39"/>
        <v>-0.15742313323572477</v>
      </c>
    </row>
    <row r="62" spans="1:26" s="24" customFormat="1" hidden="1" outlineLevel="2" x14ac:dyDescent="0.25">
      <c r="A62" s="25"/>
      <c r="B62" s="11" t="str">
        <f>CONCATENATE("          ", "6283", " - ", "PLANT SERVICE")</f>
        <v xml:space="preserve">          6283 - PLANT SERVICE</v>
      </c>
      <c r="C62" s="11"/>
      <c r="D62" s="7"/>
      <c r="E62" s="2"/>
      <c r="F62" s="6">
        <f t="shared" si="32"/>
        <v>0</v>
      </c>
      <c r="G62" s="2"/>
      <c r="H62" s="7">
        <v>0</v>
      </c>
      <c r="I62" s="2"/>
      <c r="J62" s="6">
        <f t="shared" si="33"/>
        <v>0</v>
      </c>
      <c r="K62" s="2"/>
      <c r="L62" s="7">
        <f t="shared" si="34"/>
        <v>0</v>
      </c>
      <c r="M62" s="2"/>
      <c r="N62" s="6">
        <f t="shared" si="35"/>
        <v>0</v>
      </c>
      <c r="O62" s="11"/>
      <c r="P62" s="7"/>
      <c r="Q62" s="2"/>
      <c r="R62" s="6">
        <f t="shared" si="36"/>
        <v>0</v>
      </c>
      <c r="S62" s="2"/>
      <c r="T62" s="7">
        <v>0</v>
      </c>
      <c r="U62" s="2"/>
      <c r="V62" s="6">
        <f t="shared" si="37"/>
        <v>0</v>
      </c>
      <c r="W62" s="2"/>
      <c r="X62" s="7">
        <f t="shared" si="38"/>
        <v>0</v>
      </c>
      <c r="Y62" s="2"/>
      <c r="Z62" s="6">
        <f t="shared" si="39"/>
        <v>0</v>
      </c>
    </row>
    <row r="63" spans="1:26" s="24" customFormat="1" hidden="1" outlineLevel="2" x14ac:dyDescent="0.25">
      <c r="A63" s="25"/>
      <c r="B63" s="11" t="str">
        <f>CONCATENATE("          ", "6284", " - ", "TRASH REMOVAL EXPENSE")</f>
        <v xml:space="preserve">          6284 - TRASH REMOVAL EXPENSE</v>
      </c>
      <c r="C63" s="11"/>
      <c r="D63" s="7">
        <v>4254</v>
      </c>
      <c r="E63" s="2"/>
      <c r="F63" s="6">
        <f t="shared" si="32"/>
        <v>0</v>
      </c>
      <c r="G63" s="2"/>
      <c r="H63" s="7">
        <v>2500</v>
      </c>
      <c r="I63" s="2"/>
      <c r="J63" s="6">
        <f t="shared" si="33"/>
        <v>0</v>
      </c>
      <c r="K63" s="2"/>
      <c r="L63" s="7">
        <f t="shared" si="34"/>
        <v>1754</v>
      </c>
      <c r="M63" s="2"/>
      <c r="N63" s="6">
        <f t="shared" si="35"/>
        <v>0.7016</v>
      </c>
      <c r="O63" s="11"/>
      <c r="P63" s="7">
        <v>25626</v>
      </c>
      <c r="Q63" s="2"/>
      <c r="R63" s="6">
        <f t="shared" si="36"/>
        <v>0</v>
      </c>
      <c r="S63" s="2"/>
      <c r="T63" s="7">
        <v>25300</v>
      </c>
      <c r="U63" s="2"/>
      <c r="V63" s="6">
        <f t="shared" si="37"/>
        <v>0</v>
      </c>
      <c r="W63" s="2"/>
      <c r="X63" s="7">
        <f t="shared" si="38"/>
        <v>326</v>
      </c>
      <c r="Y63" s="2"/>
      <c r="Z63" s="6">
        <f t="shared" si="39"/>
        <v>1.2885375494071146E-2</v>
      </c>
    </row>
    <row r="64" spans="1:26" s="24" customFormat="1" hidden="1" outlineLevel="2" x14ac:dyDescent="0.25">
      <c r="A64" s="25"/>
      <c r="B64" s="11" t="str">
        <f>CONCATENATE("          ", "6285", " - ", "JANITORIAL SERVICES")</f>
        <v xml:space="preserve">          6285 - JANITORIAL SERVICES</v>
      </c>
      <c r="C64" s="11"/>
      <c r="D64" s="7"/>
      <c r="E64" s="2"/>
      <c r="F64" s="6">
        <f t="shared" si="32"/>
        <v>0</v>
      </c>
      <c r="G64" s="2"/>
      <c r="H64" s="7">
        <v>0</v>
      </c>
      <c r="I64" s="2"/>
      <c r="J64" s="6">
        <f t="shared" si="33"/>
        <v>0</v>
      </c>
      <c r="K64" s="2"/>
      <c r="L64" s="7">
        <f t="shared" si="34"/>
        <v>0</v>
      </c>
      <c r="M64" s="2"/>
      <c r="N64" s="6">
        <f t="shared" si="35"/>
        <v>0</v>
      </c>
      <c r="O64" s="11"/>
      <c r="P64" s="7"/>
      <c r="Q64" s="2"/>
      <c r="R64" s="6">
        <f t="shared" si="36"/>
        <v>0</v>
      </c>
      <c r="S64" s="2"/>
      <c r="T64" s="7">
        <v>0</v>
      </c>
      <c r="U64" s="2"/>
      <c r="V64" s="6">
        <f t="shared" si="37"/>
        <v>0</v>
      </c>
      <c r="W64" s="2"/>
      <c r="X64" s="7">
        <f t="shared" si="38"/>
        <v>0</v>
      </c>
      <c r="Y64" s="2"/>
      <c r="Z64" s="6">
        <f t="shared" si="39"/>
        <v>0</v>
      </c>
    </row>
    <row r="65" spans="1:26" s="27" customFormat="1" outlineLevel="1" collapsed="1" x14ac:dyDescent="0.25">
      <c r="A65" s="26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SUM(OSRRefD22_11x_0)</f>
        <v>0</v>
      </c>
      <c r="E65" s="1"/>
      <c r="F65" s="5">
        <f t="shared" ref="F65:F67" si="40">IF(D$12=0,0,D65/D$12)</f>
        <v>0</v>
      </c>
      <c r="G65" s="1"/>
      <c r="H65" s="1">
        <f>SUM(OSRRefH22_11x_0)</f>
        <v>0</v>
      </c>
      <c r="I65" s="1"/>
      <c r="J65" s="5">
        <f t="shared" ref="J65:J67" si="41">IF(H$12=0,0,H65/H$12)</f>
        <v>0</v>
      </c>
      <c r="K65" s="1"/>
      <c r="L65" s="1">
        <f t="shared" ref="L65:L67" si="42">+D65-H65</f>
        <v>0</v>
      </c>
      <c r="M65" s="1"/>
      <c r="N65" s="5">
        <f t="shared" ref="N65:N67" si="43">IF(H65=0,0,L65/H65)</f>
        <v>0</v>
      </c>
      <c r="O65" s="13"/>
      <c r="P65" s="1">
        <f>SUM(OSRRefP22_11x_0)</f>
        <v>119.07</v>
      </c>
      <c r="Q65" s="1"/>
      <c r="R65" s="5">
        <f t="shared" ref="R65:R67" si="44">IF(P$12=0,0,P65/P$12)</f>
        <v>0</v>
      </c>
      <c r="S65" s="1"/>
      <c r="T65" s="1">
        <f>SUM(OSRRefT22_11x_0)</f>
        <v>900</v>
      </c>
      <c r="U65" s="1"/>
      <c r="V65" s="5">
        <f t="shared" ref="V65:V67" si="45">IF(T$12=0,0,T65/T$12)</f>
        <v>0</v>
      </c>
      <c r="W65" s="1"/>
      <c r="X65" s="1">
        <f t="shared" ref="X65:X67" si="46">+P65-T65</f>
        <v>-780.93000000000006</v>
      </c>
      <c r="Y65" s="1"/>
      <c r="Z65" s="5">
        <f t="shared" ref="Z65:Z67" si="47">IF(T65=0,0,X65/T65)</f>
        <v>-0.86770000000000003</v>
      </c>
    </row>
    <row r="66" spans="1:26" s="24" customFormat="1" hidden="1" outlineLevel="2" x14ac:dyDescent="0.25">
      <c r="A66" s="25"/>
      <c r="B66" s="11" t="str">
        <f>CONCATENATE("          ", "6258", " - ", "MEMBERSHIP DUES")</f>
        <v xml:space="preserve">          6258 - MEMBERSHIP DUES</v>
      </c>
      <c r="C66" s="11"/>
      <c r="D66" s="7"/>
      <c r="E66" s="2"/>
      <c r="F66" s="6">
        <f t="shared" si="40"/>
        <v>0</v>
      </c>
      <c r="G66" s="2"/>
      <c r="H66" s="7"/>
      <c r="I66" s="2"/>
      <c r="J66" s="6">
        <f t="shared" si="41"/>
        <v>0</v>
      </c>
      <c r="K66" s="2"/>
      <c r="L66" s="7">
        <f t="shared" si="42"/>
        <v>0</v>
      </c>
      <c r="M66" s="2"/>
      <c r="N66" s="6">
        <f t="shared" si="43"/>
        <v>0</v>
      </c>
      <c r="O66" s="11"/>
      <c r="P66" s="7"/>
      <c r="Q66" s="2"/>
      <c r="R66" s="6">
        <f t="shared" si="44"/>
        <v>0</v>
      </c>
      <c r="S66" s="2"/>
      <c r="T66" s="7">
        <v>900</v>
      </c>
      <c r="U66" s="2"/>
      <c r="V66" s="6">
        <f t="shared" si="45"/>
        <v>0</v>
      </c>
      <c r="W66" s="2"/>
      <c r="X66" s="7">
        <f t="shared" si="46"/>
        <v>-900</v>
      </c>
      <c r="Y66" s="2"/>
      <c r="Z66" s="6">
        <f t="shared" si="47"/>
        <v>-1</v>
      </c>
    </row>
    <row r="67" spans="1:26" s="24" customFormat="1" hidden="1" outlineLevel="2" x14ac:dyDescent="0.25">
      <c r="A67" s="25"/>
      <c r="B67" s="11" t="str">
        <f>CONCATENATE("          ", "6275", " - ", "SUBSCRIPTIONS")</f>
        <v xml:space="preserve">          6275 - SUBSCRIPTIONS</v>
      </c>
      <c r="C67" s="11"/>
      <c r="D67" s="7"/>
      <c r="E67" s="2"/>
      <c r="F67" s="6">
        <f t="shared" si="40"/>
        <v>0</v>
      </c>
      <c r="G67" s="2"/>
      <c r="H67" s="7"/>
      <c r="I67" s="2"/>
      <c r="J67" s="6">
        <f t="shared" si="41"/>
        <v>0</v>
      </c>
      <c r="K67" s="2"/>
      <c r="L67" s="7">
        <f t="shared" si="42"/>
        <v>0</v>
      </c>
      <c r="M67" s="2"/>
      <c r="N67" s="6">
        <f t="shared" si="43"/>
        <v>0</v>
      </c>
      <c r="O67" s="11"/>
      <c r="P67" s="7">
        <v>119.07</v>
      </c>
      <c r="Q67" s="2"/>
      <c r="R67" s="6">
        <f t="shared" si="44"/>
        <v>0</v>
      </c>
      <c r="S67" s="2"/>
      <c r="T67" s="7"/>
      <c r="U67" s="2"/>
      <c r="V67" s="6">
        <f t="shared" si="45"/>
        <v>0</v>
      </c>
      <c r="W67" s="2"/>
      <c r="X67" s="7">
        <f t="shared" si="46"/>
        <v>119.07</v>
      </c>
      <c r="Y67" s="2"/>
      <c r="Z67" s="6">
        <f t="shared" si="47"/>
        <v>0</v>
      </c>
    </row>
    <row r="68" spans="1:26" s="27" customFormat="1" outlineLevel="1" collapsed="1" x14ac:dyDescent="0.25">
      <c r="A68" s="26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SUM(OSRRefD22_12x_0)</f>
        <v>-30</v>
      </c>
      <c r="E68" s="1"/>
      <c r="F68" s="5">
        <f t="shared" ref="F68:F75" si="48">IF(D$12=0,0,D68/D$12)</f>
        <v>0</v>
      </c>
      <c r="G68" s="1"/>
      <c r="H68" s="1">
        <f>SUM(OSRRefH22_12x_0)</f>
        <v>0</v>
      </c>
      <c r="I68" s="1"/>
      <c r="J68" s="5">
        <f t="shared" ref="J68:J75" si="49">IF(H$12=0,0,H68/H$12)</f>
        <v>0</v>
      </c>
      <c r="K68" s="1"/>
      <c r="L68" s="1">
        <f t="shared" ref="L68:L75" si="50">+D68-H68</f>
        <v>-30</v>
      </c>
      <c r="M68" s="1"/>
      <c r="N68" s="5">
        <f t="shared" ref="N68:N75" si="51">IF(H68=0,0,L68/H68)</f>
        <v>0</v>
      </c>
      <c r="O68" s="13"/>
      <c r="P68" s="1">
        <f>SUM(OSRRefP22_12x_0)</f>
        <v>-29102.880000000001</v>
      </c>
      <c r="Q68" s="1"/>
      <c r="R68" s="5">
        <f t="shared" ref="R68:R75" si="52">IF(P$12=0,0,P68/P$12)</f>
        <v>0</v>
      </c>
      <c r="S68" s="1"/>
      <c r="T68" s="1">
        <f>SUM(OSRRefT22_12x_0)</f>
        <v>0</v>
      </c>
      <c r="U68" s="1"/>
      <c r="V68" s="5">
        <f t="shared" ref="V68:V75" si="53">IF(T$12=0,0,T68/T$12)</f>
        <v>0</v>
      </c>
      <c r="W68" s="1"/>
      <c r="X68" s="1">
        <f t="shared" ref="X68:X75" si="54">+P68-T68</f>
        <v>-29102.880000000001</v>
      </c>
      <c r="Y68" s="1"/>
      <c r="Z68" s="5">
        <f t="shared" ref="Z68:Z75" si="55">IF(T68=0,0,X68/T68)</f>
        <v>0</v>
      </c>
    </row>
    <row r="69" spans="1:26" s="24" customFormat="1" hidden="1" outlineLevel="2" x14ac:dyDescent="0.25">
      <c r="A69" s="25"/>
      <c r="B69" s="11" t="str">
        <f>CONCATENATE("          ", "6235", " - ", "COVID-19 EXPENSES")</f>
        <v xml:space="preserve">          6235 - COVID-19 EXPENSES</v>
      </c>
      <c r="C69" s="11"/>
      <c r="D69" s="7"/>
      <c r="E69" s="2"/>
      <c r="F69" s="6">
        <f t="shared" si="48"/>
        <v>0</v>
      </c>
      <c r="G69" s="2"/>
      <c r="H69" s="7"/>
      <c r="I69" s="2"/>
      <c r="J69" s="6">
        <f t="shared" si="49"/>
        <v>0</v>
      </c>
      <c r="K69" s="2"/>
      <c r="L69" s="7">
        <f t="shared" si="50"/>
        <v>0</v>
      </c>
      <c r="M69" s="2"/>
      <c r="N69" s="6">
        <f t="shared" si="51"/>
        <v>0</v>
      </c>
      <c r="O69" s="11"/>
      <c r="P69" s="7">
        <v>127.89</v>
      </c>
      <c r="Q69" s="2"/>
      <c r="R69" s="6">
        <f t="shared" si="52"/>
        <v>0</v>
      </c>
      <c r="S69" s="2"/>
      <c r="T69" s="7">
        <v>0</v>
      </c>
      <c r="U69" s="2"/>
      <c r="V69" s="6">
        <f t="shared" si="53"/>
        <v>0</v>
      </c>
      <c r="W69" s="2"/>
      <c r="X69" s="7">
        <f t="shared" si="54"/>
        <v>127.89</v>
      </c>
      <c r="Y69" s="2"/>
      <c r="Z69" s="6">
        <f t="shared" si="55"/>
        <v>0</v>
      </c>
    </row>
    <row r="70" spans="1:26" s="24" customFormat="1" hidden="1" outlineLevel="2" x14ac:dyDescent="0.25">
      <c r="A70" s="25"/>
      <c r="B70" s="11" t="str">
        <f>CONCATENATE("          ", "6237", " - ", "JANITORIAL SUPPLIES")</f>
        <v xml:space="preserve">          6237 - JANITORIAL SUPPLIES</v>
      </c>
      <c r="C70" s="11"/>
      <c r="D70" s="7">
        <v>-30</v>
      </c>
      <c r="E70" s="2"/>
      <c r="F70" s="6">
        <f t="shared" si="48"/>
        <v>0</v>
      </c>
      <c r="G70" s="2"/>
      <c r="H70" s="7">
        <v>0</v>
      </c>
      <c r="I70" s="2"/>
      <c r="J70" s="6">
        <f t="shared" si="49"/>
        <v>0</v>
      </c>
      <c r="K70" s="2"/>
      <c r="L70" s="7">
        <f t="shared" si="50"/>
        <v>-30</v>
      </c>
      <c r="M70" s="2"/>
      <c r="N70" s="6">
        <f t="shared" si="51"/>
        <v>0</v>
      </c>
      <c r="O70" s="11"/>
      <c r="P70" s="7">
        <v>-30</v>
      </c>
      <c r="Q70" s="2"/>
      <c r="R70" s="6">
        <f t="shared" si="52"/>
        <v>0</v>
      </c>
      <c r="S70" s="2"/>
      <c r="T70" s="7">
        <v>0</v>
      </c>
      <c r="U70" s="2"/>
      <c r="V70" s="6">
        <f t="shared" si="53"/>
        <v>0</v>
      </c>
      <c r="W70" s="2"/>
      <c r="X70" s="7">
        <f t="shared" si="54"/>
        <v>-30</v>
      </c>
      <c r="Y70" s="2"/>
      <c r="Z70" s="6">
        <f t="shared" si="55"/>
        <v>0</v>
      </c>
    </row>
    <row r="71" spans="1:26" s="24" customFormat="1" hidden="1" outlineLevel="2" x14ac:dyDescent="0.25">
      <c r="A71" s="25"/>
      <c r="B71" s="11" t="str">
        <f>CONCATENATE("          ", "6239", " - ", "KITCHEN SUPPLIES")</f>
        <v xml:space="preserve">          6239 - KITCHEN SUPPLIES</v>
      </c>
      <c r="C71" s="11"/>
      <c r="D71" s="7"/>
      <c r="E71" s="2"/>
      <c r="F71" s="6">
        <f t="shared" si="48"/>
        <v>0</v>
      </c>
      <c r="G71" s="2"/>
      <c r="H71" s="7">
        <v>0</v>
      </c>
      <c r="I71" s="2"/>
      <c r="J71" s="6">
        <f t="shared" si="49"/>
        <v>0</v>
      </c>
      <c r="K71" s="2"/>
      <c r="L71" s="7">
        <f t="shared" si="50"/>
        <v>0</v>
      </c>
      <c r="M71" s="2"/>
      <c r="N71" s="6">
        <f t="shared" si="51"/>
        <v>0</v>
      </c>
      <c r="O71" s="11"/>
      <c r="P71" s="7"/>
      <c r="Q71" s="2"/>
      <c r="R71" s="6">
        <f t="shared" si="52"/>
        <v>0</v>
      </c>
      <c r="S71" s="2"/>
      <c r="T71" s="7">
        <v>0</v>
      </c>
      <c r="U71" s="2"/>
      <c r="V71" s="6">
        <f t="shared" si="53"/>
        <v>0</v>
      </c>
      <c r="W71" s="2"/>
      <c r="X71" s="7">
        <f t="shared" si="54"/>
        <v>0</v>
      </c>
      <c r="Y71" s="2"/>
      <c r="Z71" s="6">
        <f t="shared" si="55"/>
        <v>0</v>
      </c>
    </row>
    <row r="72" spans="1:26" s="24" customFormat="1" hidden="1" outlineLevel="2" x14ac:dyDescent="0.25">
      <c r="A72" s="25"/>
      <c r="B72" s="11" t="str">
        <f>CONCATENATE("          ", "6241", " - ", "OFFICE EXPENSE")</f>
        <v xml:space="preserve">          6241 - OFFICE EXPENSE</v>
      </c>
      <c r="C72" s="11"/>
      <c r="D72" s="7"/>
      <c r="E72" s="2"/>
      <c r="F72" s="6">
        <f t="shared" si="48"/>
        <v>0</v>
      </c>
      <c r="G72" s="2"/>
      <c r="H72" s="7">
        <v>0</v>
      </c>
      <c r="I72" s="2"/>
      <c r="J72" s="6">
        <f t="shared" si="49"/>
        <v>0</v>
      </c>
      <c r="K72" s="2"/>
      <c r="L72" s="7">
        <f t="shared" si="50"/>
        <v>0</v>
      </c>
      <c r="M72" s="2"/>
      <c r="N72" s="6">
        <f t="shared" si="51"/>
        <v>0</v>
      </c>
      <c r="O72" s="11"/>
      <c r="P72" s="7">
        <v>-29200.77</v>
      </c>
      <c r="Q72" s="2"/>
      <c r="R72" s="6">
        <f t="shared" si="52"/>
        <v>0</v>
      </c>
      <c r="S72" s="2"/>
      <c r="T72" s="7">
        <v>0</v>
      </c>
      <c r="U72" s="2"/>
      <c r="V72" s="6">
        <f t="shared" si="53"/>
        <v>0</v>
      </c>
      <c r="W72" s="2"/>
      <c r="X72" s="7">
        <f t="shared" si="54"/>
        <v>-29200.77</v>
      </c>
      <c r="Y72" s="2"/>
      <c r="Z72" s="6">
        <f t="shared" si="55"/>
        <v>0</v>
      </c>
    </row>
    <row r="73" spans="1:26" s="24" customFormat="1" hidden="1" outlineLevel="2" x14ac:dyDescent="0.25">
      <c r="A73" s="25"/>
      <c r="B73" s="11" t="str">
        <f>CONCATENATE("          ", "6246", " - ", "REPLACEMENTS")</f>
        <v xml:space="preserve">          6246 - REPLACEMENTS</v>
      </c>
      <c r="C73" s="11"/>
      <c r="D73" s="7"/>
      <c r="E73" s="2"/>
      <c r="F73" s="6">
        <f t="shared" si="48"/>
        <v>0</v>
      </c>
      <c r="G73" s="2"/>
      <c r="H73" s="7">
        <v>0</v>
      </c>
      <c r="I73" s="2"/>
      <c r="J73" s="6">
        <f t="shared" si="49"/>
        <v>0</v>
      </c>
      <c r="K73" s="2"/>
      <c r="L73" s="7">
        <f t="shared" si="50"/>
        <v>0</v>
      </c>
      <c r="M73" s="2"/>
      <c r="N73" s="6">
        <f t="shared" si="51"/>
        <v>0</v>
      </c>
      <c r="O73" s="11"/>
      <c r="P73" s="7"/>
      <c r="Q73" s="2"/>
      <c r="R73" s="6">
        <f t="shared" si="52"/>
        <v>0</v>
      </c>
      <c r="S73" s="2"/>
      <c r="T73" s="7">
        <v>0</v>
      </c>
      <c r="U73" s="2"/>
      <c r="V73" s="6">
        <f t="shared" si="53"/>
        <v>0</v>
      </c>
      <c r="W73" s="2"/>
      <c r="X73" s="7">
        <f t="shared" si="54"/>
        <v>0</v>
      </c>
      <c r="Y73" s="2"/>
      <c r="Z73" s="6">
        <f t="shared" si="55"/>
        <v>0</v>
      </c>
    </row>
    <row r="74" spans="1:26" s="24" customFormat="1" hidden="1" outlineLevel="2" x14ac:dyDescent="0.25">
      <c r="A74" s="25"/>
      <c r="B74" s="11" t="str">
        <f>CONCATENATE("          ", "6247", " - ", "STORE SUPPLIES")</f>
        <v xml:space="preserve">          6247 - STORE SUPPLIES</v>
      </c>
      <c r="C74" s="11"/>
      <c r="D74" s="7"/>
      <c r="E74" s="2"/>
      <c r="F74" s="6">
        <f t="shared" si="48"/>
        <v>0</v>
      </c>
      <c r="G74" s="2"/>
      <c r="H74" s="7">
        <v>0</v>
      </c>
      <c r="I74" s="2"/>
      <c r="J74" s="6">
        <f t="shared" si="49"/>
        <v>0</v>
      </c>
      <c r="K74" s="2"/>
      <c r="L74" s="7">
        <f t="shared" si="50"/>
        <v>0</v>
      </c>
      <c r="M74" s="2"/>
      <c r="N74" s="6">
        <f t="shared" si="51"/>
        <v>0</v>
      </c>
      <c r="O74" s="11"/>
      <c r="P74" s="7"/>
      <c r="Q74" s="2"/>
      <c r="R74" s="6">
        <f t="shared" si="52"/>
        <v>0</v>
      </c>
      <c r="S74" s="2"/>
      <c r="T74" s="7">
        <v>0</v>
      </c>
      <c r="U74" s="2"/>
      <c r="V74" s="6">
        <f t="shared" si="53"/>
        <v>0</v>
      </c>
      <c r="W74" s="2"/>
      <c r="X74" s="7">
        <f t="shared" si="54"/>
        <v>0</v>
      </c>
      <c r="Y74" s="2"/>
      <c r="Z74" s="6">
        <f t="shared" si="55"/>
        <v>0</v>
      </c>
    </row>
    <row r="75" spans="1:26" s="24" customFormat="1" hidden="1" outlineLevel="2" x14ac:dyDescent="0.25">
      <c r="A75" s="25"/>
      <c r="B75" s="11" t="str">
        <f>CONCATENATE("          ", "6248", " - ", "UNIFORMS")</f>
        <v xml:space="preserve">          6248 - UNIFORMS</v>
      </c>
      <c r="C75" s="11"/>
      <c r="D75" s="7"/>
      <c r="E75" s="2"/>
      <c r="F75" s="6">
        <f t="shared" si="48"/>
        <v>0</v>
      </c>
      <c r="G75" s="2"/>
      <c r="H75" s="7"/>
      <c r="I75" s="2"/>
      <c r="J75" s="6">
        <f t="shared" si="49"/>
        <v>0</v>
      </c>
      <c r="K75" s="2"/>
      <c r="L75" s="7">
        <f t="shared" si="50"/>
        <v>0</v>
      </c>
      <c r="M75" s="2"/>
      <c r="N75" s="6">
        <f t="shared" si="51"/>
        <v>0</v>
      </c>
      <c r="O75" s="11"/>
      <c r="P75" s="7"/>
      <c r="Q75" s="2"/>
      <c r="R75" s="6">
        <f t="shared" si="52"/>
        <v>0</v>
      </c>
      <c r="S75" s="2"/>
      <c r="T75" s="7">
        <v>0</v>
      </c>
      <c r="U75" s="2"/>
      <c r="V75" s="6">
        <f t="shared" si="53"/>
        <v>0</v>
      </c>
      <c r="W75" s="2"/>
      <c r="X75" s="7">
        <f t="shared" si="54"/>
        <v>0</v>
      </c>
      <c r="Y75" s="2"/>
      <c r="Z75" s="6">
        <f t="shared" si="55"/>
        <v>0</v>
      </c>
    </row>
    <row r="76" spans="1:26" s="27" customFormat="1" outlineLevel="1" collapsed="1" x14ac:dyDescent="0.25">
      <c r="A76" s="26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SUM(OSRRefD22_13x_0)</f>
        <v>170.1</v>
      </c>
      <c r="E76" s="1"/>
      <c r="F76" s="5">
        <f t="shared" ref="F76:F81" si="56">IF(D$12=0,0,D76/D$12)</f>
        <v>0</v>
      </c>
      <c r="G76" s="1"/>
      <c r="H76" s="1">
        <f>SUM(OSRRefH22_13x_0)</f>
        <v>50</v>
      </c>
      <c r="I76" s="1"/>
      <c r="J76" s="5">
        <f t="shared" ref="J76:J81" si="57">IF(H$12=0,0,H76/H$12)</f>
        <v>0</v>
      </c>
      <c r="K76" s="1"/>
      <c r="L76" s="1">
        <f t="shared" ref="L76:L81" si="58">+D76-H76</f>
        <v>120.1</v>
      </c>
      <c r="M76" s="1"/>
      <c r="N76" s="5">
        <f t="shared" ref="N76:N81" si="59">IF(H76=0,0,L76/H76)</f>
        <v>2.4019999999999997</v>
      </c>
      <c r="O76" s="13"/>
      <c r="P76" s="1">
        <f>SUM(OSRRefP22_13x_0)</f>
        <v>1933.33</v>
      </c>
      <c r="Q76" s="1"/>
      <c r="R76" s="5">
        <f t="shared" ref="R76:R81" si="60">IF(P$12=0,0,P76/P$12)</f>
        <v>0</v>
      </c>
      <c r="S76" s="1"/>
      <c r="T76" s="1">
        <f>SUM(OSRRefT22_13x_0)</f>
        <v>550</v>
      </c>
      <c r="U76" s="1"/>
      <c r="V76" s="5">
        <f t="shared" ref="V76:V81" si="61">IF(T$12=0,0,T76/T$12)</f>
        <v>0</v>
      </c>
      <c r="W76" s="1"/>
      <c r="X76" s="1">
        <f t="shared" ref="X76:X81" si="62">+P76-T76</f>
        <v>1383.33</v>
      </c>
      <c r="Y76" s="1"/>
      <c r="Z76" s="5">
        <f t="shared" ref="Z76:Z81" si="63">IF(T76=0,0,X76/T76)</f>
        <v>2.5151454545454546</v>
      </c>
    </row>
    <row r="77" spans="1:26" s="24" customFormat="1" hidden="1" outlineLevel="2" x14ac:dyDescent="0.25">
      <c r="A77" s="25"/>
      <c r="B77" s="11" t="str">
        <f>CONCATENATE("          ", "6309", " - ", "TELEPHONE")</f>
        <v xml:space="preserve">          6309 - TELEPHONE</v>
      </c>
      <c r="C77" s="11"/>
      <c r="D77" s="7">
        <v>170.1</v>
      </c>
      <c r="E77" s="2"/>
      <c r="F77" s="6">
        <f t="shared" si="56"/>
        <v>0</v>
      </c>
      <c r="G77" s="2"/>
      <c r="H77" s="7">
        <v>50</v>
      </c>
      <c r="I77" s="2"/>
      <c r="J77" s="6">
        <f t="shared" si="57"/>
        <v>0</v>
      </c>
      <c r="K77" s="2"/>
      <c r="L77" s="7">
        <f t="shared" si="58"/>
        <v>120.1</v>
      </c>
      <c r="M77" s="2"/>
      <c r="N77" s="6">
        <f t="shared" si="59"/>
        <v>2.4019999999999997</v>
      </c>
      <c r="O77" s="11"/>
      <c r="P77" s="7">
        <v>1933.33</v>
      </c>
      <c r="Q77" s="2"/>
      <c r="R77" s="6">
        <f t="shared" si="60"/>
        <v>0</v>
      </c>
      <c r="S77" s="2"/>
      <c r="T77" s="7">
        <v>550</v>
      </c>
      <c r="U77" s="2"/>
      <c r="V77" s="6">
        <f t="shared" si="61"/>
        <v>0</v>
      </c>
      <c r="W77" s="2"/>
      <c r="X77" s="7">
        <f t="shared" si="62"/>
        <v>1383.33</v>
      </c>
      <c r="Y77" s="2"/>
      <c r="Z77" s="6">
        <f t="shared" si="63"/>
        <v>2.5151454545454546</v>
      </c>
    </row>
    <row r="78" spans="1:26" s="27" customFormat="1" outlineLevel="1" collapsed="1" x14ac:dyDescent="0.25">
      <c r="A78" s="26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SUM(OSRRefD22_14x_0)</f>
        <v>0</v>
      </c>
      <c r="E78" s="1"/>
      <c r="F78" s="5">
        <f t="shared" si="56"/>
        <v>0</v>
      </c>
      <c r="G78" s="1"/>
      <c r="H78" s="1">
        <f>SUM(OSRRefH22_14x_0)</f>
        <v>0</v>
      </c>
      <c r="I78" s="1"/>
      <c r="J78" s="5">
        <f t="shared" si="57"/>
        <v>0</v>
      </c>
      <c r="K78" s="1"/>
      <c r="L78" s="1">
        <f t="shared" si="58"/>
        <v>0</v>
      </c>
      <c r="M78" s="1"/>
      <c r="N78" s="5">
        <f t="shared" si="59"/>
        <v>0</v>
      </c>
      <c r="O78" s="13"/>
      <c r="P78" s="1">
        <f>SUM(OSRRefP22_14x_0)</f>
        <v>332.21</v>
      </c>
      <c r="Q78" s="1"/>
      <c r="R78" s="5">
        <f t="shared" si="60"/>
        <v>0</v>
      </c>
      <c r="S78" s="1"/>
      <c r="T78" s="1">
        <f>SUM(OSRRefT22_14x_0)</f>
        <v>0</v>
      </c>
      <c r="U78" s="1"/>
      <c r="V78" s="5">
        <f t="shared" si="61"/>
        <v>0</v>
      </c>
      <c r="W78" s="1"/>
      <c r="X78" s="1">
        <f t="shared" si="62"/>
        <v>332.21</v>
      </c>
      <c r="Y78" s="1"/>
      <c r="Z78" s="5">
        <f t="shared" si="63"/>
        <v>0</v>
      </c>
    </row>
    <row r="79" spans="1:26" s="24" customFormat="1" hidden="1" outlineLevel="2" x14ac:dyDescent="0.25">
      <c r="A79" s="25"/>
      <c r="B79" s="11" t="str">
        <f>CONCATENATE("          ", "6298", " - ", "VEHICLE MILEAGE")</f>
        <v xml:space="preserve">          6298 - VEHICLE MILEAGE</v>
      </c>
      <c r="C79" s="11"/>
      <c r="D79" s="7"/>
      <c r="E79" s="2"/>
      <c r="F79" s="6">
        <f t="shared" si="56"/>
        <v>0</v>
      </c>
      <c r="G79" s="2"/>
      <c r="H79" s="7"/>
      <c r="I79" s="2"/>
      <c r="J79" s="6">
        <f t="shared" si="57"/>
        <v>0</v>
      </c>
      <c r="K79" s="2"/>
      <c r="L79" s="7">
        <f t="shared" si="58"/>
        <v>0</v>
      </c>
      <c r="M79" s="2"/>
      <c r="N79" s="6">
        <f t="shared" si="59"/>
        <v>0</v>
      </c>
      <c r="O79" s="11"/>
      <c r="P79" s="7">
        <v>332.21</v>
      </c>
      <c r="Q79" s="2"/>
      <c r="R79" s="6">
        <f t="shared" si="60"/>
        <v>0</v>
      </c>
      <c r="S79" s="2"/>
      <c r="T79" s="7"/>
      <c r="U79" s="2"/>
      <c r="V79" s="6">
        <f t="shared" si="61"/>
        <v>0</v>
      </c>
      <c r="W79" s="2"/>
      <c r="X79" s="7">
        <f t="shared" si="62"/>
        <v>332.21</v>
      </c>
      <c r="Y79" s="2"/>
      <c r="Z79" s="6">
        <f t="shared" si="63"/>
        <v>0</v>
      </c>
    </row>
    <row r="80" spans="1:26" s="27" customFormat="1" outlineLevel="1" collapsed="1" x14ac:dyDescent="0.25">
      <c r="A80" s="26"/>
      <c r="B80" s="13" t="str">
        <f>CONCATENATE("     ","Utilities                                         ")</f>
        <v xml:space="preserve">     Utilities                                         </v>
      </c>
      <c r="C80" s="13"/>
      <c r="D80" s="1">
        <f>SUM(OSRRefD22_15x_0)</f>
        <v>1000</v>
      </c>
      <c r="E80" s="1"/>
      <c r="F80" s="5">
        <f t="shared" si="56"/>
        <v>0</v>
      </c>
      <c r="G80" s="1"/>
      <c r="H80" s="1">
        <f>SUM(OSRRefH22_15x_0)</f>
        <v>1000</v>
      </c>
      <c r="I80" s="1"/>
      <c r="J80" s="5">
        <f t="shared" si="57"/>
        <v>0</v>
      </c>
      <c r="K80" s="1"/>
      <c r="L80" s="1">
        <f t="shared" si="58"/>
        <v>0</v>
      </c>
      <c r="M80" s="1"/>
      <c r="N80" s="5">
        <f t="shared" si="59"/>
        <v>0</v>
      </c>
      <c r="O80" s="13"/>
      <c r="P80" s="1">
        <f>SUM(OSRRefP22_15x_0)</f>
        <v>-9039</v>
      </c>
      <c r="Q80" s="1"/>
      <c r="R80" s="5">
        <f t="shared" si="60"/>
        <v>0</v>
      </c>
      <c r="S80" s="1"/>
      <c r="T80" s="1">
        <f>SUM(OSRRefT22_15x_0)</f>
        <v>11000</v>
      </c>
      <c r="U80" s="1"/>
      <c r="V80" s="5">
        <f t="shared" si="61"/>
        <v>0</v>
      </c>
      <c r="W80" s="1"/>
      <c r="X80" s="1">
        <f t="shared" si="62"/>
        <v>-20039</v>
      </c>
      <c r="Y80" s="1"/>
      <c r="Z80" s="5">
        <f t="shared" si="63"/>
        <v>-1.8217272727272726</v>
      </c>
    </row>
    <row r="81" spans="1:26" s="24" customFormat="1" hidden="1" outlineLevel="2" x14ac:dyDescent="0.25">
      <c r="A81" s="25"/>
      <c r="B81" s="11" t="str">
        <f>CONCATENATE("          ", "6274", " - ", "UTILITIES")</f>
        <v xml:space="preserve">          6274 - UTILITIES</v>
      </c>
      <c r="C81" s="11"/>
      <c r="D81" s="7">
        <v>1000</v>
      </c>
      <c r="E81" s="2"/>
      <c r="F81" s="6">
        <f t="shared" si="56"/>
        <v>0</v>
      </c>
      <c r="G81" s="2"/>
      <c r="H81" s="7">
        <v>1000</v>
      </c>
      <c r="I81" s="2"/>
      <c r="J81" s="6">
        <f t="shared" si="57"/>
        <v>0</v>
      </c>
      <c r="K81" s="2"/>
      <c r="L81" s="7">
        <f t="shared" si="58"/>
        <v>0</v>
      </c>
      <c r="M81" s="2"/>
      <c r="N81" s="6">
        <f t="shared" si="59"/>
        <v>0</v>
      </c>
      <c r="O81" s="11"/>
      <c r="P81" s="7">
        <v>-9039</v>
      </c>
      <c r="Q81" s="2"/>
      <c r="R81" s="6">
        <f t="shared" si="60"/>
        <v>0</v>
      </c>
      <c r="S81" s="2"/>
      <c r="T81" s="7">
        <v>11000</v>
      </c>
      <c r="U81" s="2"/>
      <c r="V81" s="6">
        <f t="shared" si="61"/>
        <v>0</v>
      </c>
      <c r="W81" s="2"/>
      <c r="X81" s="7">
        <f t="shared" si="62"/>
        <v>-20039</v>
      </c>
      <c r="Y81" s="2"/>
      <c r="Z81" s="6">
        <f t="shared" si="63"/>
        <v>-1.8217272727272726</v>
      </c>
    </row>
    <row r="82" spans="1:26" s="56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9" t="s">
        <v>293</v>
      </c>
      <c r="C83" s="10"/>
      <c r="D83" s="4">
        <f>SUM(OSRRefD25x_0)</f>
        <v>8.44</v>
      </c>
      <c r="E83" s="4"/>
      <c r="F83" s="12">
        <f t="shared" ref="F83:F85" si="64">IF(D$12=0,0,D83/D$12)</f>
        <v>0</v>
      </c>
      <c r="G83" s="4"/>
      <c r="H83" s="4">
        <f>SUM(OSRRefH25x_0)</f>
        <v>0</v>
      </c>
      <c r="I83" s="4"/>
      <c r="J83" s="12">
        <f t="shared" ref="J83:J85" si="65">IF(H$12=0,0,H83/H$12)</f>
        <v>0</v>
      </c>
      <c r="K83" s="4"/>
      <c r="L83" s="4">
        <f t="shared" ref="L83:L85" si="66">+D83-H83</f>
        <v>8.44</v>
      </c>
      <c r="M83" s="4"/>
      <c r="N83" s="12">
        <f t="shared" ref="N83:N85" si="67">IF(H83=0,0,L83/H83)</f>
        <v>0</v>
      </c>
      <c r="O83" s="10"/>
      <c r="P83" s="4">
        <f>SUM(OSRRefP25x_0)</f>
        <v>6054.85</v>
      </c>
      <c r="Q83" s="4"/>
      <c r="R83" s="12">
        <f t="shared" ref="R83:R85" si="68">IF(P$12=0,0,P83/P$12)</f>
        <v>0</v>
      </c>
      <c r="S83" s="4"/>
      <c r="T83" s="4">
        <f>SUM(OSRRefT25x_0)</f>
        <v>0</v>
      </c>
      <c r="U83" s="4"/>
      <c r="V83" s="12">
        <f t="shared" ref="V83:V85" si="69">IF(T$12=0,0,T83/T$12)</f>
        <v>0</v>
      </c>
      <c r="W83" s="4"/>
      <c r="X83" s="4">
        <f t="shared" ref="X83:X85" si="70">+P83-T83</f>
        <v>6054.85</v>
      </c>
      <c r="Y83" s="4"/>
      <c r="Z83" s="12">
        <f t="shared" ref="Z83:Z85" si="71">IF(T83=0,0,X83/T83)</f>
        <v>0</v>
      </c>
    </row>
    <row r="84" spans="1:26" s="24" customFormat="1" hidden="1" outlineLevel="1" x14ac:dyDescent="0.25">
      <c r="A84" s="44"/>
      <c r="B84" s="11" t="str">
        <f>CONCATENATE("          ", "9150", " - ", "MISC. INCOME")</f>
        <v xml:space="preserve">          9150 - MISC. INCOME</v>
      </c>
      <c r="C84" s="11"/>
      <c r="D84" s="2">
        <f>--8.44</f>
        <v>8.44</v>
      </c>
      <c r="E84" s="2"/>
      <c r="F84" s="19">
        <f t="shared" si="64"/>
        <v>0</v>
      </c>
      <c r="G84" s="2"/>
      <c r="H84" s="2">
        <v>0</v>
      </c>
      <c r="I84" s="2"/>
      <c r="J84" s="19">
        <f t="shared" si="65"/>
        <v>0</v>
      </c>
      <c r="K84" s="2"/>
      <c r="L84" s="2">
        <f t="shared" si="66"/>
        <v>8.44</v>
      </c>
      <c r="M84" s="2"/>
      <c r="N84" s="19">
        <f t="shared" si="67"/>
        <v>0</v>
      </c>
      <c r="O84" s="11"/>
      <c r="P84" s="2">
        <f>--5238.5</f>
        <v>5238.5</v>
      </c>
      <c r="Q84" s="2"/>
      <c r="R84" s="19">
        <f t="shared" si="68"/>
        <v>0</v>
      </c>
      <c r="S84" s="2"/>
      <c r="T84" s="2">
        <v>0</v>
      </c>
      <c r="U84" s="2"/>
      <c r="V84" s="19">
        <f t="shared" si="69"/>
        <v>0</v>
      </c>
      <c r="W84" s="2"/>
      <c r="X84" s="2">
        <f t="shared" si="70"/>
        <v>5238.5</v>
      </c>
      <c r="Y84" s="2"/>
      <c r="Z84" s="19">
        <f t="shared" si="71"/>
        <v>0</v>
      </c>
    </row>
    <row r="85" spans="1:26" s="24" customFormat="1" hidden="1" outlineLevel="1" x14ac:dyDescent="0.25">
      <c r="A85" s="44"/>
      <c r="B85" s="11" t="str">
        <f>CONCATENATE("          ", "9160", " - ", "MISC. INCOME")</f>
        <v xml:space="preserve">          9160 - MISC. INCOME</v>
      </c>
      <c r="C85" s="11"/>
      <c r="D85" s="2">
        <f>0</f>
        <v>0</v>
      </c>
      <c r="E85" s="2"/>
      <c r="F85" s="19">
        <f t="shared" si="64"/>
        <v>0</v>
      </c>
      <c r="G85" s="2"/>
      <c r="H85" s="2"/>
      <c r="I85" s="2"/>
      <c r="J85" s="19">
        <f t="shared" si="65"/>
        <v>0</v>
      </c>
      <c r="K85" s="2"/>
      <c r="L85" s="2">
        <f t="shared" si="66"/>
        <v>0</v>
      </c>
      <c r="M85" s="2"/>
      <c r="N85" s="19">
        <f t="shared" si="67"/>
        <v>0</v>
      </c>
      <c r="O85" s="11"/>
      <c r="P85" s="2">
        <f>--816.35</f>
        <v>816.35</v>
      </c>
      <c r="Q85" s="2"/>
      <c r="R85" s="19">
        <f t="shared" si="68"/>
        <v>0</v>
      </c>
      <c r="S85" s="2"/>
      <c r="T85" s="2"/>
      <c r="U85" s="2"/>
      <c r="V85" s="19">
        <f t="shared" si="69"/>
        <v>0</v>
      </c>
      <c r="W85" s="2"/>
      <c r="X85" s="2">
        <f t="shared" si="70"/>
        <v>816.35</v>
      </c>
      <c r="Y85" s="2"/>
      <c r="Z85" s="19">
        <f t="shared" si="71"/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8" t="s">
        <v>277</v>
      </c>
      <c r="C87" s="28"/>
      <c r="D87" s="20">
        <f>+D16-D18+D83</f>
        <v>-39520.449999999997</v>
      </c>
      <c r="E87" s="14"/>
      <c r="F87" s="21">
        <f>IF(D$12=0,0,D87/D$12)</f>
        <v>0</v>
      </c>
      <c r="G87" s="14"/>
      <c r="H87" s="20">
        <f>+H16-H18+H83</f>
        <v>-17793.461538461539</v>
      </c>
      <c r="I87" s="14"/>
      <c r="J87" s="21">
        <f>IF(H$12=0,0,H87/H$12)</f>
        <v>0</v>
      </c>
      <c r="K87" s="15"/>
      <c r="L87" s="20">
        <f>+D87-H87</f>
        <v>-21726.988461538458</v>
      </c>
      <c r="M87" s="15"/>
      <c r="N87" s="21">
        <f>IF(H87=0,0,L87/H87)</f>
        <v>1.221065862568359</v>
      </c>
      <c r="O87" s="29"/>
      <c r="P87" s="20">
        <f>+P16-P18+P83</f>
        <v>-324924.76</v>
      </c>
      <c r="Q87" s="14"/>
      <c r="R87" s="21">
        <f>IF(P$12=0,0,P87/P$12)</f>
        <v>0</v>
      </c>
      <c r="S87" s="14"/>
      <c r="T87" s="20">
        <f>+T16-T18+T83</f>
        <v>-197119.5384615385</v>
      </c>
      <c r="U87" s="14"/>
      <c r="V87" s="21">
        <f>IF(T$12=0,0,T87/T$12)</f>
        <v>0</v>
      </c>
      <c r="W87" s="15"/>
      <c r="X87" s="20">
        <f>+P87-T87</f>
        <v>-127805.22153846151</v>
      </c>
      <c r="Y87" s="15"/>
      <c r="Z87" s="21">
        <f>IF(T87=0,0,X87/T87)</f>
        <v>0.6483640461820509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128</v>
      </c>
      <c r="C89" s="10"/>
      <c r="D89" s="4"/>
      <c r="E89" s="4"/>
      <c r="F89" s="12">
        <f>IF(D$12=0,0,D89/D$12)</f>
        <v>0</v>
      </c>
      <c r="G89" s="4"/>
      <c r="H89" s="4"/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/>
      <c r="Q89" s="4"/>
      <c r="R89" s="12">
        <f>IF(P$12=0,0,P89/P$12)</f>
        <v>0</v>
      </c>
      <c r="S89" s="4"/>
      <c r="T89" s="4"/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126</v>
      </c>
      <c r="C91" s="28"/>
      <c r="D91" s="35">
        <f>+D87-D89</f>
        <v>-39520.449999999997</v>
      </c>
      <c r="E91" s="14"/>
      <c r="F91" s="34">
        <f>IF(D$12=0,0,D91/D$12)</f>
        <v>0</v>
      </c>
      <c r="G91" s="14"/>
      <c r="H91" s="35">
        <f>+H87-H89</f>
        <v>-17793.461538461539</v>
      </c>
      <c r="I91" s="14"/>
      <c r="J91" s="34">
        <f>IF(H$12=0,0,H91/H$12)</f>
        <v>0</v>
      </c>
      <c r="K91" s="15"/>
      <c r="L91" s="35">
        <f>D91-H91</f>
        <v>-21726.988461538458</v>
      </c>
      <c r="M91" s="15"/>
      <c r="N91" s="34">
        <f>IF(H91=0,0,L91/H91)</f>
        <v>1.221065862568359</v>
      </c>
      <c r="O91" s="29"/>
      <c r="P91" s="35">
        <f>+P87-P89</f>
        <v>-324924.76</v>
      </c>
      <c r="Q91" s="14"/>
      <c r="R91" s="34">
        <f>IF(P$12=0,0,P91/P$12)</f>
        <v>0</v>
      </c>
      <c r="S91" s="14"/>
      <c r="T91" s="35">
        <f>+T87-T89</f>
        <v>-197119.5384615385</v>
      </c>
      <c r="U91" s="14"/>
      <c r="V91" s="34">
        <f>IF(T$12=0,0,T91/T$12)</f>
        <v>0</v>
      </c>
      <c r="W91" s="15"/>
      <c r="X91" s="35">
        <f>P91-T91</f>
        <v>-127805.22153846151</v>
      </c>
      <c r="Y91" s="15"/>
      <c r="Z91" s="34">
        <f>IF(T91=0,0,X91/T91)</f>
        <v>0.6483640461820509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294</v>
      </c>
      <c r="C94" s="28"/>
      <c r="D94" s="33">
        <f>SUM(D91:D93)</f>
        <v>-39520.449999999997</v>
      </c>
      <c r="E94" s="14"/>
      <c r="F94" s="32">
        <f>IF(D$12=0,0,D94/D$12)</f>
        <v>0</v>
      </c>
      <c r="G94" s="14"/>
      <c r="H94" s="33">
        <f>SUM(H91:H93)</f>
        <v>-17793.461538461539</v>
      </c>
      <c r="I94" s="14"/>
      <c r="J94" s="32">
        <f>IF(H$12=0,0,H94/H$12)</f>
        <v>0</v>
      </c>
      <c r="K94" s="15"/>
      <c r="L94" s="33">
        <f>+D94-H94</f>
        <v>-21726.988461538458</v>
      </c>
      <c r="M94" s="15"/>
      <c r="N94" s="32">
        <f>IF(H94=0,0,L94/H94)</f>
        <v>1.221065862568359</v>
      </c>
      <c r="O94" s="29"/>
      <c r="P94" s="33">
        <f>SUM(P91:P93)</f>
        <v>-324924.76</v>
      </c>
      <c r="Q94" s="14"/>
      <c r="R94" s="32">
        <f>IF(P$12=0,0,P94/P$12)</f>
        <v>0</v>
      </c>
      <c r="S94" s="14"/>
      <c r="T94" s="33">
        <f>SUM(T91:T93)</f>
        <v>-197119.5384615385</v>
      </c>
      <c r="U94" s="14"/>
      <c r="V94" s="32">
        <f>IF(T$12=0,0,T94/T$12)</f>
        <v>0</v>
      </c>
      <c r="W94" s="15"/>
      <c r="X94" s="33">
        <f>+P94-T94</f>
        <v>-127805.22153846151</v>
      </c>
      <c r="Y94" s="15"/>
      <c r="Z94" s="32">
        <f>IF(T94=0,0,X94/T94)</f>
        <v>0.6483640461820509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60">
        <v>44356.891834571761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5" t="s">
        <v>56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63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","412", " - ", "Chartroom")</f>
        <v>Department 412 - Chartroom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44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19">
        <f t="shared" si="4"/>
        <v>0</v>
      </c>
      <c r="G16" s="2"/>
      <c r="H16" s="2">
        <v>0</v>
      </c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/>
      <c r="Q16" s="2"/>
      <c r="R16" s="19">
        <f t="shared" si="8"/>
        <v>0</v>
      </c>
      <c r="S16" s="2"/>
      <c r="T16" s="2">
        <v>0</v>
      </c>
      <c r="U16" s="2"/>
      <c r="V16" s="19">
        <f t="shared" si="9"/>
        <v>0</v>
      </c>
      <c r="W16" s="2"/>
      <c r="X16" s="2">
        <f t="shared" si="10"/>
        <v>0</v>
      </c>
      <c r="Y16" s="2"/>
      <c r="Z16" s="19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>
        <f>D12-D15</f>
        <v>0</v>
      </c>
      <c r="E18" s="14"/>
      <c r="F18" s="21">
        <f>IF(D$12=0,0,D18/D$12)</f>
        <v>0</v>
      </c>
      <c r="G18" s="14"/>
      <c r="H18" s="20">
        <f>H12-H15</f>
        <v>0</v>
      </c>
      <c r="I18" s="14"/>
      <c r="J18" s="21">
        <f>IF(H$12=0,0,H18/H$12)</f>
        <v>0</v>
      </c>
      <c r="K18" s="15"/>
      <c r="L18" s="20">
        <f>+D18-H18</f>
        <v>0</v>
      </c>
      <c r="M18" s="15"/>
      <c r="N18" s="21">
        <f>IF(H18=0,0,L18/H18)</f>
        <v>0</v>
      </c>
      <c r="O18" s="29"/>
      <c r="P18" s="20">
        <f>P12-P15</f>
        <v>0</v>
      </c>
      <c r="Q18" s="14"/>
      <c r="R18" s="21">
        <f>IF(P$12=0,0,P18/P$12)</f>
        <v>0</v>
      </c>
      <c r="S18" s="14"/>
      <c r="T18" s="20">
        <f>T12-T15</f>
        <v>0</v>
      </c>
      <c r="U18" s="14"/>
      <c r="V18" s="21">
        <f>IF(T$12=0,0,T18/T$12)</f>
        <v>0</v>
      </c>
      <c r="W18" s="15"/>
      <c r="X18" s="20">
        <f>+P18-T18</f>
        <v>0</v>
      </c>
      <c r="Y18" s="15"/>
      <c r="Z18" s="21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>
        <f>SUM(OSRRefD22x_0)</f>
        <v>613.36</v>
      </c>
      <c r="E20" s="22"/>
      <c r="F20" s="31">
        <f t="shared" ref="F20:F29" si="12">IF(D$12=0,0,D20/D$12)</f>
        <v>0</v>
      </c>
      <c r="G20" s="22"/>
      <c r="H20" s="22">
        <f>SUM(OSRRefH22x_0)</f>
        <v>848</v>
      </c>
      <c r="I20" s="22"/>
      <c r="J20" s="31">
        <f t="shared" ref="J20:J29" si="13">IF(H$12=0,0,H20/H$12)</f>
        <v>0</v>
      </c>
      <c r="K20" s="4"/>
      <c r="L20" s="22">
        <f t="shared" ref="L20:L29" si="14">+D20-H20</f>
        <v>-234.64</v>
      </c>
      <c r="M20" s="4"/>
      <c r="N20" s="31">
        <f t="shared" ref="N20:N29" si="15">IF(H20=0,0,L20/H20)</f>
        <v>-0.27669811320754717</v>
      </c>
      <c r="O20" s="10"/>
      <c r="P20" s="22">
        <f>SUM(OSRRefP22x_0)</f>
        <v>9176.93</v>
      </c>
      <c r="Q20" s="22"/>
      <c r="R20" s="31">
        <f t="shared" ref="R20:R29" si="16">IF(P$12=0,0,P20/P$12)</f>
        <v>0</v>
      </c>
      <c r="S20" s="22"/>
      <c r="T20" s="22">
        <f>SUM(OSRRefT22x_0)</f>
        <v>9328</v>
      </c>
      <c r="U20" s="22"/>
      <c r="V20" s="31">
        <f t="shared" ref="V20:V29" si="17">IF(T$12=0,0,T20/T$12)</f>
        <v>0</v>
      </c>
      <c r="W20" s="4"/>
      <c r="X20" s="22">
        <f t="shared" ref="X20:X29" si="18">+P20-T20</f>
        <v>-151.06999999999971</v>
      </c>
      <c r="Y20" s="4"/>
      <c r="Z20" s="31">
        <f t="shared" ref="Z20:Z29" si="19">IF(T20=0,0,X20/T20)</f>
        <v>-1.6195325900514548E-2</v>
      </c>
    </row>
    <row r="21" spans="1:26" s="27" customFormat="1" outlineLevel="1" collapsed="1" x14ac:dyDescent="0.25">
      <c r="A21" s="26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3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5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>
        <v>0</v>
      </c>
      <c r="I22" s="2"/>
      <c r="J22" s="6">
        <f t="shared" si="13"/>
        <v>0</v>
      </c>
      <c r="K22" s="2"/>
      <c r="L22" s="7">
        <f t="shared" si="14"/>
        <v>0</v>
      </c>
      <c r="M22" s="2"/>
      <c r="N22" s="6">
        <f t="shared" si="15"/>
        <v>0</v>
      </c>
      <c r="O22" s="11"/>
      <c r="P22" s="7"/>
      <c r="Q22" s="2"/>
      <c r="R22" s="6">
        <f t="shared" si="16"/>
        <v>0</v>
      </c>
      <c r="S22" s="2"/>
      <c r="T22" s="7">
        <v>0</v>
      </c>
      <c r="U22" s="2"/>
      <c r="V22" s="6">
        <f t="shared" si="17"/>
        <v>0</v>
      </c>
      <c r="W22" s="2"/>
      <c r="X22" s="7">
        <f t="shared" si="18"/>
        <v>0</v>
      </c>
      <c r="Y22" s="2"/>
      <c r="Z22" s="6">
        <f t="shared" si="19"/>
        <v>0</v>
      </c>
    </row>
    <row r="23" spans="1:26" s="24" customFormat="1" hidden="1" outlineLevel="2" x14ac:dyDescent="0.25">
      <c r="A23" s="25"/>
      <c r="B23" s="11" t="str">
        <f>CONCATENATE("          ", "6112", " - ", "COMPENSATION INSURANCE")</f>
        <v xml:space="preserve">          6112 - COMPENSATION INSURANCE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0</v>
      </c>
      <c r="Y23" s="2"/>
      <c r="Z23" s="6">
        <f t="shared" si="19"/>
        <v>0</v>
      </c>
    </row>
    <row r="24" spans="1:26" s="24" customFormat="1" hidden="1" outlineLevel="2" x14ac:dyDescent="0.25">
      <c r="A24" s="25"/>
      <c r="B24" s="11" t="str">
        <f>CONCATENATE("          ", "6113", " - ", "GROUP INSURANCE")</f>
        <v xml:space="preserve">          6113 - GROUP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5"/>
      <c r="B25" s="11" t="str">
        <f>CONCATENATE("          ", "6114", " - ", "STATE UNEMPLOYMENT INSURANCE")</f>
        <v xml:space="preserve">          6114 - STATE UNEMPLOYMENT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0</v>
      </c>
      <c r="Y25" s="2"/>
      <c r="Z25" s="6">
        <f t="shared" si="19"/>
        <v>0</v>
      </c>
    </row>
    <row r="26" spans="1:26" s="24" customFormat="1" hidden="1" outlineLevel="2" x14ac:dyDescent="0.25">
      <c r="A26" s="25"/>
      <c r="B26" s="11" t="str">
        <f>CONCATENATE("          ", "6115", " - ", "P.E.R.S.")</f>
        <v xml:space="preserve">          6115 - P.E.R.S.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5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3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20"/>
        <v>0</v>
      </c>
      <c r="G31" s="2"/>
      <c r="H31" s="7">
        <v>0</v>
      </c>
      <c r="I31" s="2"/>
      <c r="J31" s="6">
        <f t="shared" si="21"/>
        <v>0</v>
      </c>
      <c r="K31" s="2"/>
      <c r="L31" s="7">
        <f t="shared" si="22"/>
        <v>0</v>
      </c>
      <c r="M31" s="2"/>
      <c r="N31" s="6">
        <f t="shared" si="23"/>
        <v>0</v>
      </c>
      <c r="O31" s="11"/>
      <c r="P31" s="7"/>
      <c r="Q31" s="2"/>
      <c r="R31" s="6">
        <f t="shared" si="24"/>
        <v>0</v>
      </c>
      <c r="S31" s="2"/>
      <c r="T31" s="7">
        <v>0</v>
      </c>
      <c r="U31" s="2"/>
      <c r="V31" s="6">
        <f t="shared" si="25"/>
        <v>0</v>
      </c>
      <c r="W31" s="2"/>
      <c r="X31" s="7">
        <f t="shared" si="26"/>
        <v>0</v>
      </c>
      <c r="Y31" s="2"/>
      <c r="Z31" s="6">
        <f t="shared" si="27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47" si="28">IF(D$12=0,0,D41/D$12)</f>
        <v>0</v>
      </c>
      <c r="G41" s="1"/>
      <c r="H41" s="1">
        <f>SUM(OSRRefH22_2x_0)</f>
        <v>0</v>
      </c>
      <c r="I41" s="1"/>
      <c r="J41" s="5">
        <f t="shared" ref="J41:J47" si="29">IF(H$12=0,0,H41/H$12)</f>
        <v>0</v>
      </c>
      <c r="K41" s="1"/>
      <c r="L41" s="1">
        <f t="shared" ref="L41:L47" si="30">+D41-H41</f>
        <v>0</v>
      </c>
      <c r="M41" s="1"/>
      <c r="N41" s="5">
        <f t="shared" ref="N41:N47" si="31">IF(H41=0,0,L41/H41)</f>
        <v>0</v>
      </c>
      <c r="O41" s="13"/>
      <c r="P41" s="1">
        <f>SUM(OSRRefP22_2x_0)</f>
        <v>0</v>
      </c>
      <c r="Q41" s="1"/>
      <c r="R41" s="5">
        <f t="shared" ref="R41:R47" si="32">IF(P$12=0,0,P41/P$12)</f>
        <v>0</v>
      </c>
      <c r="S41" s="1"/>
      <c r="T41" s="1">
        <f>SUM(OSRRefT22_2x_0)</f>
        <v>0</v>
      </c>
      <c r="U41" s="1"/>
      <c r="V41" s="5">
        <f t="shared" ref="V41:V47" si="33">IF(T$12=0,0,T41/T$12)</f>
        <v>0</v>
      </c>
      <c r="W41" s="1"/>
      <c r="X41" s="1">
        <f t="shared" ref="X41:X47" si="34">+P41-T41</f>
        <v>0</v>
      </c>
      <c r="Y41" s="1"/>
      <c r="Z41" s="5">
        <f t="shared" ref="Z41:Z47" si="35">IF(T41=0,0,X41/T41)</f>
        <v>0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0</v>
      </c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/>
      <c r="Q42" s="2"/>
      <c r="R42" s="6">
        <f t="shared" si="32"/>
        <v>0</v>
      </c>
      <c r="S42" s="2"/>
      <c r="T42" s="7">
        <v>0</v>
      </c>
      <c r="U42" s="2"/>
      <c r="V42" s="6">
        <f t="shared" si="33"/>
        <v>0</v>
      </c>
      <c r="W42" s="2"/>
      <c r="X42" s="7">
        <f t="shared" si="34"/>
        <v>0</v>
      </c>
      <c r="Y42" s="2"/>
      <c r="Z42" s="6">
        <f t="shared" si="35"/>
        <v>0</v>
      </c>
    </row>
    <row r="43" spans="1:26" s="27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8"/>
        <v>0</v>
      </c>
      <c r="G44" s="2"/>
      <c r="H44" s="7">
        <v>0</v>
      </c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0</v>
      </c>
      <c r="U44" s="2"/>
      <c r="V44" s="6">
        <f t="shared" si="33"/>
        <v>0</v>
      </c>
      <c r="W44" s="2"/>
      <c r="X44" s="7">
        <f t="shared" si="34"/>
        <v>0</v>
      </c>
      <c r="Y44" s="2"/>
      <c r="Z44" s="6">
        <f t="shared" si="35"/>
        <v>0</v>
      </c>
    </row>
    <row r="45" spans="1:26" s="27" customFormat="1" outlineLevel="1" collapsed="1" x14ac:dyDescent="0.25">
      <c r="A45" s="26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SUM(OSRRefD22_4x_0)</f>
        <v>577.36</v>
      </c>
      <c r="E45" s="1"/>
      <c r="F45" s="5">
        <f t="shared" si="28"/>
        <v>0</v>
      </c>
      <c r="G45" s="1"/>
      <c r="H45" s="1">
        <f>SUM(OSRRefH22_4x_0)</f>
        <v>848</v>
      </c>
      <c r="I45" s="1"/>
      <c r="J45" s="5">
        <f t="shared" si="29"/>
        <v>0</v>
      </c>
      <c r="K45" s="1"/>
      <c r="L45" s="1">
        <f t="shared" si="30"/>
        <v>-270.64</v>
      </c>
      <c r="M45" s="1"/>
      <c r="N45" s="5">
        <f t="shared" si="31"/>
        <v>-0.31915094339622641</v>
      </c>
      <c r="O45" s="13"/>
      <c r="P45" s="1">
        <f>SUM(OSRRefP22_4x_0)</f>
        <v>6689.95</v>
      </c>
      <c r="Q45" s="1"/>
      <c r="R45" s="5">
        <f t="shared" si="32"/>
        <v>0</v>
      </c>
      <c r="S45" s="1"/>
      <c r="T45" s="1">
        <f>SUM(OSRRefT22_4x_0)</f>
        <v>9328</v>
      </c>
      <c r="U45" s="1"/>
      <c r="V45" s="5">
        <f t="shared" si="33"/>
        <v>0</v>
      </c>
      <c r="W45" s="1"/>
      <c r="X45" s="1">
        <f t="shared" si="34"/>
        <v>-2638.05</v>
      </c>
      <c r="Y45" s="1"/>
      <c r="Z45" s="5">
        <f t="shared" si="35"/>
        <v>-0.28280981989708409</v>
      </c>
    </row>
    <row r="46" spans="1:26" s="24" customFormat="1" hidden="1" outlineLevel="2" x14ac:dyDescent="0.25">
      <c r="A46" s="25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577.36</v>
      </c>
      <c r="E46" s="2"/>
      <c r="F46" s="6">
        <f t="shared" si="28"/>
        <v>0</v>
      </c>
      <c r="G46" s="2"/>
      <c r="H46" s="7">
        <v>298</v>
      </c>
      <c r="I46" s="2"/>
      <c r="J46" s="6">
        <f t="shared" si="29"/>
        <v>0</v>
      </c>
      <c r="K46" s="2"/>
      <c r="L46" s="7">
        <f t="shared" si="30"/>
        <v>279.36</v>
      </c>
      <c r="M46" s="2"/>
      <c r="N46" s="6">
        <f t="shared" si="31"/>
        <v>0.93744966442953026</v>
      </c>
      <c r="O46" s="11"/>
      <c r="P46" s="7">
        <v>6689.95</v>
      </c>
      <c r="Q46" s="2"/>
      <c r="R46" s="6">
        <f t="shared" si="32"/>
        <v>0</v>
      </c>
      <c r="S46" s="2"/>
      <c r="T46" s="7">
        <v>3278</v>
      </c>
      <c r="U46" s="2"/>
      <c r="V46" s="6">
        <f t="shared" si="33"/>
        <v>0</v>
      </c>
      <c r="W46" s="2"/>
      <c r="X46" s="7">
        <f t="shared" si="34"/>
        <v>3411.95</v>
      </c>
      <c r="Y46" s="2"/>
      <c r="Z46" s="6">
        <f t="shared" si="35"/>
        <v>1.0408633312995728</v>
      </c>
    </row>
    <row r="47" spans="1:26" s="24" customFormat="1" hidden="1" outlineLevel="2" x14ac:dyDescent="0.25">
      <c r="A47" s="25"/>
      <c r="B47" s="11" t="str">
        <f>CONCATENATE("          ", "6326", " - ", "VEHICLES DEPRECIATION EXPENSE")</f>
        <v xml:space="preserve">          6326 - VEHICLES DEPRECIATION EXPENSE</v>
      </c>
      <c r="C47" s="11"/>
      <c r="D47" s="7"/>
      <c r="E47" s="2"/>
      <c r="F47" s="6">
        <f t="shared" si="28"/>
        <v>0</v>
      </c>
      <c r="G47" s="2"/>
      <c r="H47" s="7">
        <v>550</v>
      </c>
      <c r="I47" s="2"/>
      <c r="J47" s="6">
        <f t="shared" si="29"/>
        <v>0</v>
      </c>
      <c r="K47" s="2"/>
      <c r="L47" s="7">
        <f t="shared" si="30"/>
        <v>-550</v>
      </c>
      <c r="M47" s="2"/>
      <c r="N47" s="6">
        <f t="shared" si="31"/>
        <v>-1</v>
      </c>
      <c r="O47" s="11"/>
      <c r="P47" s="7"/>
      <c r="Q47" s="2"/>
      <c r="R47" s="6">
        <f t="shared" si="32"/>
        <v>0</v>
      </c>
      <c r="S47" s="2"/>
      <c r="T47" s="7">
        <v>6050</v>
      </c>
      <c r="U47" s="2"/>
      <c r="V47" s="6">
        <f t="shared" si="33"/>
        <v>0</v>
      </c>
      <c r="W47" s="2"/>
      <c r="X47" s="7">
        <f t="shared" si="34"/>
        <v>-6050</v>
      </c>
      <c r="Y47" s="2"/>
      <c r="Z47" s="6">
        <f t="shared" si="35"/>
        <v>-1</v>
      </c>
    </row>
    <row r="48" spans="1:26" s="27" customFormat="1" outlineLevel="1" collapsed="1" x14ac:dyDescent="0.25">
      <c r="A48" s="26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SUM(OSRRefD22_5x_0)</f>
        <v>0</v>
      </c>
      <c r="E48" s="1"/>
      <c r="F48" s="5">
        <f t="shared" ref="F48:F56" si="36">IF(D$12=0,0,D48/D$12)</f>
        <v>0</v>
      </c>
      <c r="G48" s="1"/>
      <c r="H48" s="1">
        <f>SUM(OSRRefH22_5x_0)</f>
        <v>0</v>
      </c>
      <c r="I48" s="1"/>
      <c r="J48" s="5">
        <f t="shared" ref="J48:J56" si="37">IF(H$12=0,0,H48/H$12)</f>
        <v>0</v>
      </c>
      <c r="K48" s="1"/>
      <c r="L48" s="1">
        <f t="shared" ref="L48:L56" si="38">+D48-H48</f>
        <v>0</v>
      </c>
      <c r="M48" s="1"/>
      <c r="N48" s="5">
        <f t="shared" ref="N48:N56" si="39">IF(H48=0,0,L48/H48)</f>
        <v>0</v>
      </c>
      <c r="O48" s="13"/>
      <c r="P48" s="1">
        <f>SUM(OSRRefP22_5x_0)</f>
        <v>0</v>
      </c>
      <c r="Q48" s="1"/>
      <c r="R48" s="5">
        <f t="shared" ref="R48:R56" si="40">IF(P$12=0,0,P48/P$12)</f>
        <v>0</v>
      </c>
      <c r="S48" s="1"/>
      <c r="T48" s="1">
        <f>SUM(OSRRefT22_5x_0)</f>
        <v>0</v>
      </c>
      <c r="U48" s="1"/>
      <c r="V48" s="5">
        <f t="shared" ref="V48:V56" si="41">IF(T$12=0,0,T48/T$12)</f>
        <v>0</v>
      </c>
      <c r="W48" s="1"/>
      <c r="X48" s="1">
        <f t="shared" ref="X48:X56" si="42">+P48-T48</f>
        <v>0</v>
      </c>
      <c r="Y48" s="1"/>
      <c r="Z48" s="5">
        <f t="shared" ref="Z48:Z56" si="43">IF(T48=0,0,X48/T48)</f>
        <v>0</v>
      </c>
    </row>
    <row r="49" spans="1:26" s="24" customFormat="1" hidden="1" outlineLevel="2" x14ac:dyDescent="0.25">
      <c r="A49" s="25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36"/>
        <v>0</v>
      </c>
      <c r="G49" s="2"/>
      <c r="H49" s="7">
        <v>0</v>
      </c>
      <c r="I49" s="2"/>
      <c r="J49" s="6">
        <f t="shared" si="37"/>
        <v>0</v>
      </c>
      <c r="K49" s="2"/>
      <c r="L49" s="7">
        <f t="shared" si="38"/>
        <v>0</v>
      </c>
      <c r="M49" s="2"/>
      <c r="N49" s="6">
        <f t="shared" si="39"/>
        <v>0</v>
      </c>
      <c r="O49" s="11"/>
      <c r="P49" s="7"/>
      <c r="Q49" s="2"/>
      <c r="R49" s="6">
        <f t="shared" si="40"/>
        <v>0</v>
      </c>
      <c r="S49" s="2"/>
      <c r="T49" s="7">
        <v>0</v>
      </c>
      <c r="U49" s="2"/>
      <c r="V49" s="6">
        <f t="shared" si="41"/>
        <v>0</v>
      </c>
      <c r="W49" s="2"/>
      <c r="X49" s="7">
        <f t="shared" si="42"/>
        <v>0</v>
      </c>
      <c r="Y49" s="2"/>
      <c r="Z49" s="6">
        <f t="shared" si="43"/>
        <v>0</v>
      </c>
    </row>
    <row r="50" spans="1:26" s="27" customFormat="1" outlineLevel="1" collapsed="1" x14ac:dyDescent="0.25">
      <c r="A50" s="26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SUM(OSRRefD22_6x_0)</f>
        <v>0</v>
      </c>
      <c r="E50" s="1"/>
      <c r="F50" s="5">
        <f t="shared" si="36"/>
        <v>0</v>
      </c>
      <c r="G50" s="1"/>
      <c r="H50" s="1">
        <f>SUM(OSRRefH22_6x_0)</f>
        <v>0</v>
      </c>
      <c r="I50" s="1"/>
      <c r="J50" s="5">
        <f t="shared" si="37"/>
        <v>0</v>
      </c>
      <c r="K50" s="1"/>
      <c r="L50" s="1">
        <f t="shared" si="38"/>
        <v>0</v>
      </c>
      <c r="M50" s="1"/>
      <c r="N50" s="5">
        <f t="shared" si="39"/>
        <v>0</v>
      </c>
      <c r="O50" s="13"/>
      <c r="P50" s="1">
        <f>SUM(OSRRefP22_6x_0)</f>
        <v>16.239999999999998</v>
      </c>
      <c r="Q50" s="1"/>
      <c r="R50" s="5">
        <f t="shared" si="40"/>
        <v>0</v>
      </c>
      <c r="S50" s="1"/>
      <c r="T50" s="1">
        <f>SUM(OSRRefT22_6x_0)</f>
        <v>0</v>
      </c>
      <c r="U50" s="1"/>
      <c r="V50" s="5">
        <f t="shared" si="41"/>
        <v>0</v>
      </c>
      <c r="W50" s="1"/>
      <c r="X50" s="1">
        <f t="shared" si="42"/>
        <v>16.239999999999998</v>
      </c>
      <c r="Y50" s="1"/>
      <c r="Z50" s="5">
        <f t="shared" si="43"/>
        <v>0</v>
      </c>
    </row>
    <row r="51" spans="1:26" s="24" customFormat="1" hidden="1" outlineLevel="2" x14ac:dyDescent="0.25">
      <c r="A51" s="25"/>
      <c r="B51" s="11" t="str">
        <f>CONCATENATE("          ", "6351", " - ", "EQUIPMENT RENTAL")</f>
        <v xml:space="preserve">          6351 - EQUIPMENT RENTAL</v>
      </c>
      <c r="C51" s="11"/>
      <c r="D51" s="7"/>
      <c r="E51" s="2"/>
      <c r="F51" s="6">
        <f t="shared" si="36"/>
        <v>0</v>
      </c>
      <c r="G51" s="2"/>
      <c r="H51" s="7">
        <v>0</v>
      </c>
      <c r="I51" s="2"/>
      <c r="J51" s="6">
        <f t="shared" si="37"/>
        <v>0</v>
      </c>
      <c r="K51" s="2"/>
      <c r="L51" s="7">
        <f t="shared" si="38"/>
        <v>0</v>
      </c>
      <c r="M51" s="2"/>
      <c r="N51" s="6">
        <f t="shared" si="39"/>
        <v>0</v>
      </c>
      <c r="O51" s="11"/>
      <c r="P51" s="7">
        <v>16.239999999999998</v>
      </c>
      <c r="Q51" s="2"/>
      <c r="R51" s="6">
        <f t="shared" si="40"/>
        <v>0</v>
      </c>
      <c r="S51" s="2"/>
      <c r="T51" s="7">
        <v>0</v>
      </c>
      <c r="U51" s="2"/>
      <c r="V51" s="6">
        <f t="shared" si="41"/>
        <v>0</v>
      </c>
      <c r="W51" s="2"/>
      <c r="X51" s="7">
        <f t="shared" si="42"/>
        <v>16.239999999999998</v>
      </c>
      <c r="Y51" s="2"/>
      <c r="Z51" s="6">
        <f t="shared" si="43"/>
        <v>0</v>
      </c>
    </row>
    <row r="52" spans="1:26" s="27" customFormat="1" outlineLevel="1" collapsed="1" x14ac:dyDescent="0.25">
      <c r="A52" s="26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SUM(OSRRefD22_7x_0)</f>
        <v>0</v>
      </c>
      <c r="E52" s="1"/>
      <c r="F52" s="5">
        <f t="shared" si="36"/>
        <v>0</v>
      </c>
      <c r="G52" s="1"/>
      <c r="H52" s="1">
        <f>SUM(OSRRefH22_7x_0)</f>
        <v>0</v>
      </c>
      <c r="I52" s="1"/>
      <c r="J52" s="5">
        <f t="shared" si="37"/>
        <v>0</v>
      </c>
      <c r="K52" s="1"/>
      <c r="L52" s="1">
        <f t="shared" si="38"/>
        <v>0</v>
      </c>
      <c r="M52" s="1"/>
      <c r="N52" s="5">
        <f t="shared" si="39"/>
        <v>0</v>
      </c>
      <c r="O52" s="13"/>
      <c r="P52" s="1">
        <f>SUM(OSRRefP22_7x_0)</f>
        <v>0</v>
      </c>
      <c r="Q52" s="1"/>
      <c r="R52" s="5">
        <f t="shared" si="40"/>
        <v>0</v>
      </c>
      <c r="S52" s="1"/>
      <c r="T52" s="1">
        <f>SUM(OSRRefT22_7x_0)</f>
        <v>0</v>
      </c>
      <c r="U52" s="1"/>
      <c r="V52" s="5">
        <f t="shared" si="41"/>
        <v>0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5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36"/>
        <v>0</v>
      </c>
      <c r="G53" s="2"/>
      <c r="H53" s="7">
        <v>0</v>
      </c>
      <c r="I53" s="2"/>
      <c r="J53" s="6">
        <f t="shared" si="37"/>
        <v>0</v>
      </c>
      <c r="K53" s="2"/>
      <c r="L53" s="7">
        <f t="shared" si="38"/>
        <v>0</v>
      </c>
      <c r="M53" s="2"/>
      <c r="N53" s="6">
        <f t="shared" si="39"/>
        <v>0</v>
      </c>
      <c r="O53" s="11"/>
      <c r="P53" s="7"/>
      <c r="Q53" s="2"/>
      <c r="R53" s="6">
        <f t="shared" si="40"/>
        <v>0</v>
      </c>
      <c r="S53" s="2"/>
      <c r="T53" s="7">
        <v>0</v>
      </c>
      <c r="U53" s="2"/>
      <c r="V53" s="6">
        <f t="shared" si="41"/>
        <v>0</v>
      </c>
      <c r="W53" s="2"/>
      <c r="X53" s="7">
        <f t="shared" si="42"/>
        <v>0</v>
      </c>
      <c r="Y53" s="2"/>
      <c r="Z53" s="6">
        <f t="shared" si="43"/>
        <v>0</v>
      </c>
    </row>
    <row r="54" spans="1:26" s="27" customFormat="1" outlineLevel="1" collapsed="1" x14ac:dyDescent="0.25">
      <c r="A54" s="26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SUM(OSRRefD22_8x_0)</f>
        <v>0</v>
      </c>
      <c r="E54" s="1"/>
      <c r="F54" s="5">
        <f t="shared" si="36"/>
        <v>0</v>
      </c>
      <c r="G54" s="1"/>
      <c r="H54" s="1">
        <f>SUM(OSRRefH22_8x_0)</f>
        <v>0</v>
      </c>
      <c r="I54" s="1"/>
      <c r="J54" s="5">
        <f t="shared" si="37"/>
        <v>0</v>
      </c>
      <c r="K54" s="1"/>
      <c r="L54" s="1">
        <f t="shared" si="38"/>
        <v>0</v>
      </c>
      <c r="M54" s="1"/>
      <c r="N54" s="5">
        <f t="shared" si="39"/>
        <v>0</v>
      </c>
      <c r="O54" s="13"/>
      <c r="P54" s="1">
        <f>SUM(OSRRefP22_8x_0)</f>
        <v>1677.13</v>
      </c>
      <c r="Q54" s="1"/>
      <c r="R54" s="5">
        <f t="shared" si="40"/>
        <v>0</v>
      </c>
      <c r="S54" s="1"/>
      <c r="T54" s="1">
        <f>SUM(OSRRefT22_8x_0)</f>
        <v>0</v>
      </c>
      <c r="U54" s="1"/>
      <c r="V54" s="5">
        <f t="shared" si="41"/>
        <v>0</v>
      </c>
      <c r="W54" s="1"/>
      <c r="X54" s="1">
        <f t="shared" si="42"/>
        <v>1677.13</v>
      </c>
      <c r="Y54" s="1"/>
      <c r="Z54" s="5">
        <f t="shared" si="43"/>
        <v>0</v>
      </c>
    </row>
    <row r="55" spans="1:26" s="24" customFormat="1" hidden="1" outlineLevel="2" x14ac:dyDescent="0.25">
      <c r="A55" s="25"/>
      <c r="B55" s="11" t="str">
        <f>CONCATENATE("          ", "6373", " - ", "MAINTENANCE CONTRACTS")</f>
        <v xml:space="preserve">          6373 - MAINTENANCE CONTRACTS</v>
      </c>
      <c r="C55" s="11"/>
      <c r="D55" s="7"/>
      <c r="E55" s="2"/>
      <c r="F55" s="6">
        <f t="shared" si="36"/>
        <v>0</v>
      </c>
      <c r="G55" s="2"/>
      <c r="H55" s="7"/>
      <c r="I55" s="2"/>
      <c r="J55" s="6">
        <f t="shared" si="37"/>
        <v>0</v>
      </c>
      <c r="K55" s="2"/>
      <c r="L55" s="7">
        <f t="shared" si="38"/>
        <v>0</v>
      </c>
      <c r="M55" s="2"/>
      <c r="N55" s="6">
        <f t="shared" si="39"/>
        <v>0</v>
      </c>
      <c r="O55" s="11"/>
      <c r="P55" s="7">
        <v>339</v>
      </c>
      <c r="Q55" s="2"/>
      <c r="R55" s="6">
        <f t="shared" si="40"/>
        <v>0</v>
      </c>
      <c r="S55" s="2"/>
      <c r="T55" s="7">
        <v>0</v>
      </c>
      <c r="U55" s="2"/>
      <c r="V55" s="6">
        <f t="shared" si="41"/>
        <v>0</v>
      </c>
      <c r="W55" s="2"/>
      <c r="X55" s="7">
        <f t="shared" si="42"/>
        <v>339</v>
      </c>
      <c r="Y55" s="2"/>
      <c r="Z55" s="6">
        <f t="shared" si="43"/>
        <v>0</v>
      </c>
    </row>
    <row r="56" spans="1:26" s="24" customFormat="1" hidden="1" outlineLevel="2" x14ac:dyDescent="0.25">
      <c r="A56" s="25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1338.13</v>
      </c>
      <c r="Q56" s="2"/>
      <c r="R56" s="6">
        <f t="shared" si="40"/>
        <v>0</v>
      </c>
      <c r="S56" s="2"/>
      <c r="T56" s="7">
        <v>0</v>
      </c>
      <c r="U56" s="2"/>
      <c r="V56" s="6">
        <f t="shared" si="41"/>
        <v>0</v>
      </c>
      <c r="W56" s="2"/>
      <c r="X56" s="7">
        <f t="shared" si="42"/>
        <v>1338.13</v>
      </c>
      <c r="Y56" s="2"/>
      <c r="Z56" s="6">
        <f t="shared" si="43"/>
        <v>0</v>
      </c>
    </row>
    <row r="57" spans="1:26" s="27" customFormat="1" outlineLevel="1" collapsed="1" x14ac:dyDescent="0.25">
      <c r="A57" s="26"/>
      <c r="B57" s="13" t="str">
        <f>CONCATENATE("     ","Royalty &amp; Commissions                             ")</f>
        <v xml:space="preserve">     Royalty &amp; Commissions                             </v>
      </c>
      <c r="C57" s="13"/>
      <c r="D57" s="1">
        <f>SUM(OSRRefD22_9x_0)</f>
        <v>0</v>
      </c>
      <c r="E57" s="1"/>
      <c r="F57" s="5">
        <f t="shared" ref="F57:F63" si="44">IF(D$12=0,0,D57/D$12)</f>
        <v>0</v>
      </c>
      <c r="G57" s="1"/>
      <c r="H57" s="1">
        <f>SUM(OSRRefH22_9x_0)</f>
        <v>0</v>
      </c>
      <c r="I57" s="1"/>
      <c r="J57" s="5">
        <f t="shared" ref="J57:J63" si="45">IF(H$12=0,0,H57/H$12)</f>
        <v>0</v>
      </c>
      <c r="K57" s="1"/>
      <c r="L57" s="1">
        <f t="shared" ref="L57:L63" si="46">+D57-H57</f>
        <v>0</v>
      </c>
      <c r="M57" s="1"/>
      <c r="N57" s="5">
        <f t="shared" ref="N57:N63" si="47">IF(H57=0,0,L57/H57)</f>
        <v>0</v>
      </c>
      <c r="O57" s="13"/>
      <c r="P57" s="1">
        <f>SUM(OSRRefP22_9x_0)</f>
        <v>0</v>
      </c>
      <c r="Q57" s="1"/>
      <c r="R57" s="5">
        <f t="shared" ref="R57:R63" si="48">IF(P$12=0,0,P57/P$12)</f>
        <v>0</v>
      </c>
      <c r="S57" s="1"/>
      <c r="T57" s="1">
        <f>SUM(OSRRefT22_9x_0)</f>
        <v>0</v>
      </c>
      <c r="U57" s="1"/>
      <c r="V57" s="5">
        <f t="shared" ref="V57:V63" si="49">IF(T$12=0,0,T57/T$12)</f>
        <v>0</v>
      </c>
      <c r="W57" s="1"/>
      <c r="X57" s="1">
        <f t="shared" ref="X57:X63" si="50">+P57-T57</f>
        <v>0</v>
      </c>
      <c r="Y57" s="1"/>
      <c r="Z57" s="5">
        <f t="shared" ref="Z57:Z63" si="51">IF(T57=0,0,X57/T57)</f>
        <v>0</v>
      </c>
    </row>
    <row r="58" spans="1:26" s="24" customFormat="1" hidden="1" outlineLevel="2" x14ac:dyDescent="0.25">
      <c r="A58" s="25"/>
      <c r="B58" s="11" t="str">
        <f>CONCATENATE("          ", "6254", " - ", "ROYALTY &amp; COMMISSIONS")</f>
        <v xml:space="preserve">          6254 - ROYALTY &amp; COMMISSIONS</v>
      </c>
      <c r="C58" s="11"/>
      <c r="D58" s="7"/>
      <c r="E58" s="2"/>
      <c r="F58" s="6">
        <f t="shared" si="44"/>
        <v>0</v>
      </c>
      <c r="G58" s="2"/>
      <c r="H58" s="7">
        <v>0</v>
      </c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/>
      <c r="Q58" s="2"/>
      <c r="R58" s="6">
        <f t="shared" si="48"/>
        <v>0</v>
      </c>
      <c r="S58" s="2"/>
      <c r="T58" s="7">
        <v>0</v>
      </c>
      <c r="U58" s="2"/>
      <c r="V58" s="6">
        <f t="shared" si="49"/>
        <v>0</v>
      </c>
      <c r="W58" s="2"/>
      <c r="X58" s="7">
        <f t="shared" si="50"/>
        <v>0</v>
      </c>
      <c r="Y58" s="2"/>
      <c r="Z58" s="6">
        <f t="shared" si="51"/>
        <v>0</v>
      </c>
    </row>
    <row r="59" spans="1:26" s="27" customFormat="1" outlineLevel="1" collapsed="1" x14ac:dyDescent="0.25">
      <c r="A59" s="26"/>
      <c r="B59" s="13" t="str">
        <f>CONCATENATE("     ","Services                                          ")</f>
        <v xml:space="preserve">     Services                                          </v>
      </c>
      <c r="C59" s="13"/>
      <c r="D59" s="1">
        <f>SUM(OSRRefD22_10x_0)</f>
        <v>0</v>
      </c>
      <c r="E59" s="1"/>
      <c r="F59" s="5">
        <f t="shared" si="44"/>
        <v>0</v>
      </c>
      <c r="G59" s="1"/>
      <c r="H59" s="1">
        <f>SUM(OSRRefH22_10x_0)</f>
        <v>0</v>
      </c>
      <c r="I59" s="1"/>
      <c r="J59" s="5">
        <f t="shared" si="45"/>
        <v>0</v>
      </c>
      <c r="K59" s="1"/>
      <c r="L59" s="1">
        <f t="shared" si="46"/>
        <v>0</v>
      </c>
      <c r="M59" s="1"/>
      <c r="N59" s="5">
        <f t="shared" si="47"/>
        <v>0</v>
      </c>
      <c r="O59" s="13"/>
      <c r="P59" s="1">
        <f>SUM(OSRRefP22_10x_0)</f>
        <v>320.58</v>
      </c>
      <c r="Q59" s="1"/>
      <c r="R59" s="5">
        <f t="shared" si="48"/>
        <v>0</v>
      </c>
      <c r="S59" s="1"/>
      <c r="T59" s="1">
        <f>SUM(OSRRefT22_10x_0)</f>
        <v>0</v>
      </c>
      <c r="U59" s="1"/>
      <c r="V59" s="5">
        <f t="shared" si="49"/>
        <v>0</v>
      </c>
      <c r="W59" s="1"/>
      <c r="X59" s="1">
        <f t="shared" si="50"/>
        <v>320.58</v>
      </c>
      <c r="Y59" s="1"/>
      <c r="Z59" s="5">
        <f t="shared" si="51"/>
        <v>0</v>
      </c>
    </row>
    <row r="60" spans="1:26" s="24" customFormat="1" hidden="1" outlineLevel="2" x14ac:dyDescent="0.25">
      <c r="A60" s="25"/>
      <c r="B60" s="11" t="str">
        <f>CONCATENATE("          ", "6282", " - ", "JANITORIAL/EXTERMINATOR EXPENS")</f>
        <v xml:space="preserve">          6282 - JANITORIAL/EXTERMINATOR EXPENS</v>
      </c>
      <c r="C60" s="11"/>
      <c r="D60" s="7"/>
      <c r="E60" s="2"/>
      <c r="F60" s="6">
        <f t="shared" si="44"/>
        <v>0</v>
      </c>
      <c r="G60" s="2"/>
      <c r="H60" s="7">
        <v>0</v>
      </c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/>
      <c r="Q60" s="2"/>
      <c r="R60" s="6">
        <f t="shared" si="48"/>
        <v>0</v>
      </c>
      <c r="S60" s="2"/>
      <c r="T60" s="7">
        <v>0</v>
      </c>
      <c r="U60" s="2"/>
      <c r="V60" s="6">
        <f t="shared" si="49"/>
        <v>0</v>
      </c>
      <c r="W60" s="2"/>
      <c r="X60" s="7">
        <f t="shared" si="50"/>
        <v>0</v>
      </c>
      <c r="Y60" s="2"/>
      <c r="Z60" s="6">
        <f t="shared" si="51"/>
        <v>0</v>
      </c>
    </row>
    <row r="61" spans="1:26" s="24" customFormat="1" hidden="1" outlineLevel="2" x14ac:dyDescent="0.25">
      <c r="A61" s="25"/>
      <c r="B61" s="11" t="str">
        <f>CONCATENATE("          ", "6283", " - ", "PLANT SERVICE")</f>
        <v xml:space="preserve">          6283 - PLANT SERVICE</v>
      </c>
      <c r="C61" s="11"/>
      <c r="D61" s="7"/>
      <c r="E61" s="2"/>
      <c r="F61" s="6">
        <f t="shared" si="44"/>
        <v>0</v>
      </c>
      <c r="G61" s="2"/>
      <c r="H61" s="7">
        <v>0</v>
      </c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0</v>
      </c>
      <c r="U61" s="2"/>
      <c r="V61" s="6">
        <f t="shared" si="49"/>
        <v>0</v>
      </c>
      <c r="W61" s="2"/>
      <c r="X61" s="7">
        <f t="shared" si="50"/>
        <v>0</v>
      </c>
      <c r="Y61" s="2"/>
      <c r="Z61" s="6">
        <f t="shared" si="51"/>
        <v>0</v>
      </c>
    </row>
    <row r="62" spans="1:26" s="24" customFormat="1" hidden="1" outlineLevel="2" x14ac:dyDescent="0.25">
      <c r="A62" s="25"/>
      <c r="B62" s="11" t="str">
        <f>CONCATENATE("          ", "6285", " - ", "JANITORIAL SERVICES")</f>
        <v xml:space="preserve">          6285 - JANITORIAL SERVICES</v>
      </c>
      <c r="C62" s="11"/>
      <c r="D62" s="7"/>
      <c r="E62" s="2"/>
      <c r="F62" s="6">
        <f t="shared" si="44"/>
        <v>0</v>
      </c>
      <c r="G62" s="2"/>
      <c r="H62" s="7">
        <v>0</v>
      </c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/>
      <c r="Q62" s="2"/>
      <c r="R62" s="6">
        <f t="shared" si="48"/>
        <v>0</v>
      </c>
      <c r="S62" s="2"/>
      <c r="T62" s="7">
        <v>0</v>
      </c>
      <c r="U62" s="2"/>
      <c r="V62" s="6">
        <f t="shared" si="49"/>
        <v>0</v>
      </c>
      <c r="W62" s="2"/>
      <c r="X62" s="7">
        <f t="shared" si="50"/>
        <v>0</v>
      </c>
      <c r="Y62" s="2"/>
      <c r="Z62" s="6">
        <f t="shared" si="51"/>
        <v>0</v>
      </c>
    </row>
    <row r="63" spans="1:26" s="24" customFormat="1" hidden="1" outlineLevel="2" x14ac:dyDescent="0.25">
      <c r="A63" s="25"/>
      <c r="B63" s="11" t="str">
        <f>CONCATENATE("          ", "6286", " - ", "LAUNDRY EXPENSE")</f>
        <v xml:space="preserve">          6286 - LAUNDRY EXPENSE</v>
      </c>
      <c r="C63" s="11"/>
      <c r="D63" s="7"/>
      <c r="E63" s="2"/>
      <c r="F63" s="6">
        <f t="shared" si="44"/>
        <v>0</v>
      </c>
      <c r="G63" s="2"/>
      <c r="H63" s="7">
        <v>0</v>
      </c>
      <c r="I63" s="2"/>
      <c r="J63" s="6">
        <f t="shared" si="45"/>
        <v>0</v>
      </c>
      <c r="K63" s="2"/>
      <c r="L63" s="7">
        <f t="shared" si="46"/>
        <v>0</v>
      </c>
      <c r="M63" s="2"/>
      <c r="N63" s="6">
        <f t="shared" si="47"/>
        <v>0</v>
      </c>
      <c r="O63" s="11"/>
      <c r="P63" s="7">
        <v>320.58</v>
      </c>
      <c r="Q63" s="2"/>
      <c r="R63" s="6">
        <f t="shared" si="48"/>
        <v>0</v>
      </c>
      <c r="S63" s="2"/>
      <c r="T63" s="7">
        <v>0</v>
      </c>
      <c r="U63" s="2"/>
      <c r="V63" s="6">
        <f t="shared" si="49"/>
        <v>0</v>
      </c>
      <c r="W63" s="2"/>
      <c r="X63" s="7">
        <f t="shared" si="50"/>
        <v>320.58</v>
      </c>
      <c r="Y63" s="2"/>
      <c r="Z63" s="6">
        <f t="shared" si="51"/>
        <v>0</v>
      </c>
    </row>
    <row r="64" spans="1:26" s="27" customFormat="1" outlineLevel="1" collapsed="1" x14ac:dyDescent="0.25">
      <c r="A64" s="26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SUM(OSRRefD22_11x_0)</f>
        <v>0</v>
      </c>
      <c r="E64" s="1"/>
      <c r="F64" s="5">
        <f t="shared" ref="F64:F69" si="52">IF(D$12=0,0,D64/D$12)</f>
        <v>0</v>
      </c>
      <c r="G64" s="1"/>
      <c r="H64" s="1">
        <f>SUM(OSRRefH22_11x_0)</f>
        <v>0</v>
      </c>
      <c r="I64" s="1"/>
      <c r="J64" s="5">
        <f t="shared" ref="J64:J69" si="53">IF(H$12=0,0,H64/H$12)</f>
        <v>0</v>
      </c>
      <c r="K64" s="1"/>
      <c r="L64" s="1">
        <f t="shared" ref="L64:L69" si="54">+D64-H64</f>
        <v>0</v>
      </c>
      <c r="M64" s="1"/>
      <c r="N64" s="5">
        <f t="shared" ref="N64:N69" si="55">IF(H64=0,0,L64/H64)</f>
        <v>0</v>
      </c>
      <c r="O64" s="13"/>
      <c r="P64" s="1">
        <f>SUM(OSRRefP22_11x_0)</f>
        <v>0</v>
      </c>
      <c r="Q64" s="1"/>
      <c r="R64" s="5">
        <f t="shared" ref="R64:R69" si="56">IF(P$12=0,0,P64/P$12)</f>
        <v>0</v>
      </c>
      <c r="S64" s="1"/>
      <c r="T64" s="1">
        <f>SUM(OSRRefT22_11x_0)</f>
        <v>0</v>
      </c>
      <c r="U64" s="1"/>
      <c r="V64" s="5">
        <f t="shared" ref="V64:V69" si="57">IF(T$12=0,0,T64/T$12)</f>
        <v>0</v>
      </c>
      <c r="W64" s="1"/>
      <c r="X64" s="1">
        <f t="shared" ref="X64:X69" si="58">+P64-T64</f>
        <v>0</v>
      </c>
      <c r="Y64" s="1"/>
      <c r="Z64" s="5">
        <f t="shared" ref="Z64:Z69" si="59">IF(T64=0,0,X64/T64)</f>
        <v>0</v>
      </c>
    </row>
    <row r="65" spans="1:26" s="24" customFormat="1" hidden="1" outlineLevel="2" x14ac:dyDescent="0.25">
      <c r="A65" s="25"/>
      <c r="B65" s="11" t="str">
        <f>CONCATENATE("          ", "6235", " - ", "COVID-19 EXPENSES")</f>
        <v xml:space="preserve">          6235 - COVID-19 EXPENSES</v>
      </c>
      <c r="C65" s="11"/>
      <c r="D65" s="7"/>
      <c r="E65" s="2"/>
      <c r="F65" s="6">
        <f t="shared" si="52"/>
        <v>0</v>
      </c>
      <c r="G65" s="2"/>
      <c r="H65" s="7">
        <v>0</v>
      </c>
      <c r="I65" s="2"/>
      <c r="J65" s="6">
        <f t="shared" si="53"/>
        <v>0</v>
      </c>
      <c r="K65" s="2"/>
      <c r="L65" s="7">
        <f t="shared" si="54"/>
        <v>0</v>
      </c>
      <c r="M65" s="2"/>
      <c r="N65" s="6">
        <f t="shared" si="55"/>
        <v>0</v>
      </c>
      <c r="O65" s="11"/>
      <c r="P65" s="7"/>
      <c r="Q65" s="2"/>
      <c r="R65" s="6">
        <f t="shared" si="56"/>
        <v>0</v>
      </c>
      <c r="S65" s="2"/>
      <c r="T65" s="7">
        <v>0</v>
      </c>
      <c r="U65" s="2"/>
      <c r="V65" s="6">
        <f t="shared" si="57"/>
        <v>0</v>
      </c>
      <c r="W65" s="2"/>
      <c r="X65" s="7">
        <f t="shared" si="58"/>
        <v>0</v>
      </c>
      <c r="Y65" s="2"/>
      <c r="Z65" s="6">
        <f t="shared" si="59"/>
        <v>0</v>
      </c>
    </row>
    <row r="66" spans="1:26" s="24" customFormat="1" hidden="1" outlineLevel="2" x14ac:dyDescent="0.25">
      <c r="A66" s="25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52"/>
        <v>0</v>
      </c>
      <c r="G66" s="2"/>
      <c r="H66" s="7">
        <v>0</v>
      </c>
      <c r="I66" s="2"/>
      <c r="J66" s="6">
        <f t="shared" si="53"/>
        <v>0</v>
      </c>
      <c r="K66" s="2"/>
      <c r="L66" s="7">
        <f t="shared" si="54"/>
        <v>0</v>
      </c>
      <c r="M66" s="2"/>
      <c r="N66" s="6">
        <f t="shared" si="55"/>
        <v>0</v>
      </c>
      <c r="O66" s="11"/>
      <c r="P66" s="7"/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0</v>
      </c>
      <c r="Y66" s="2"/>
      <c r="Z66" s="6">
        <f t="shared" si="59"/>
        <v>0</v>
      </c>
    </row>
    <row r="67" spans="1:26" s="24" customFormat="1" hidden="1" outlineLevel="2" x14ac:dyDescent="0.25">
      <c r="A67" s="25"/>
      <c r="B67" s="11" t="str">
        <f>CONCATENATE("          ", "6243", " - ", "PAPER SUPPLIES")</f>
        <v xml:space="preserve">          6243 - PAPER SUPPLIES</v>
      </c>
      <c r="C67" s="11"/>
      <c r="D67" s="7"/>
      <c r="E67" s="2"/>
      <c r="F67" s="6">
        <f t="shared" si="52"/>
        <v>0</v>
      </c>
      <c r="G67" s="2"/>
      <c r="H67" s="7"/>
      <c r="I67" s="2"/>
      <c r="J67" s="6">
        <f t="shared" si="53"/>
        <v>0</v>
      </c>
      <c r="K67" s="2"/>
      <c r="L67" s="7">
        <f t="shared" si="54"/>
        <v>0</v>
      </c>
      <c r="M67" s="2"/>
      <c r="N67" s="6">
        <f t="shared" si="55"/>
        <v>0</v>
      </c>
      <c r="O67" s="11"/>
      <c r="P67" s="7"/>
      <c r="Q67" s="2"/>
      <c r="R67" s="6">
        <f t="shared" si="56"/>
        <v>0</v>
      </c>
      <c r="S67" s="2"/>
      <c r="T67" s="7">
        <v>0</v>
      </c>
      <c r="U67" s="2"/>
      <c r="V67" s="6">
        <f t="shared" si="57"/>
        <v>0</v>
      </c>
      <c r="W67" s="2"/>
      <c r="X67" s="7">
        <f t="shared" si="58"/>
        <v>0</v>
      </c>
      <c r="Y67" s="2"/>
      <c r="Z67" s="6">
        <f t="shared" si="59"/>
        <v>0</v>
      </c>
    </row>
    <row r="68" spans="1:26" s="24" customFormat="1" hidden="1" outlineLevel="2" x14ac:dyDescent="0.25">
      <c r="A68" s="25"/>
      <c r="B68" s="11" t="str">
        <f>CONCATENATE("          ", "6247", " - ", "STORE SUPPLIES")</f>
        <v xml:space="preserve">          6247 - STORE SUPPLIES</v>
      </c>
      <c r="C68" s="11"/>
      <c r="D68" s="7"/>
      <c r="E68" s="2"/>
      <c r="F68" s="6">
        <f t="shared" si="52"/>
        <v>0</v>
      </c>
      <c r="G68" s="2"/>
      <c r="H68" s="7">
        <v>0</v>
      </c>
      <c r="I68" s="2"/>
      <c r="J68" s="6">
        <f t="shared" si="53"/>
        <v>0</v>
      </c>
      <c r="K68" s="2"/>
      <c r="L68" s="7">
        <f t="shared" si="54"/>
        <v>0</v>
      </c>
      <c r="M68" s="2"/>
      <c r="N68" s="6">
        <f t="shared" si="55"/>
        <v>0</v>
      </c>
      <c r="O68" s="11"/>
      <c r="P68" s="7"/>
      <c r="Q68" s="2"/>
      <c r="R68" s="6">
        <f t="shared" si="56"/>
        <v>0</v>
      </c>
      <c r="S68" s="2"/>
      <c r="T68" s="7">
        <v>0</v>
      </c>
      <c r="U68" s="2"/>
      <c r="V68" s="6">
        <f t="shared" si="57"/>
        <v>0</v>
      </c>
      <c r="W68" s="2"/>
      <c r="X68" s="7">
        <f t="shared" si="58"/>
        <v>0</v>
      </c>
      <c r="Y68" s="2"/>
      <c r="Z68" s="6">
        <f t="shared" si="59"/>
        <v>0</v>
      </c>
    </row>
    <row r="69" spans="1:26" s="24" customFormat="1" hidden="1" outlineLevel="2" x14ac:dyDescent="0.25">
      <c r="A69" s="25"/>
      <c r="B69" s="11" t="str">
        <f>CONCATENATE("          ", "6248", " - ", "UNIFORMS")</f>
        <v xml:space="preserve">          6248 - UNIFORMS</v>
      </c>
      <c r="C69" s="11"/>
      <c r="D69" s="7"/>
      <c r="E69" s="2"/>
      <c r="F69" s="6">
        <f t="shared" si="52"/>
        <v>0</v>
      </c>
      <c r="G69" s="2"/>
      <c r="H69" s="7"/>
      <c r="I69" s="2"/>
      <c r="J69" s="6">
        <f t="shared" si="53"/>
        <v>0</v>
      </c>
      <c r="K69" s="2"/>
      <c r="L69" s="7">
        <f t="shared" si="54"/>
        <v>0</v>
      </c>
      <c r="M69" s="2"/>
      <c r="N69" s="6">
        <f t="shared" si="55"/>
        <v>0</v>
      </c>
      <c r="O69" s="11"/>
      <c r="P69" s="7"/>
      <c r="Q69" s="2"/>
      <c r="R69" s="6">
        <f t="shared" si="56"/>
        <v>0</v>
      </c>
      <c r="S69" s="2"/>
      <c r="T69" s="7">
        <v>0</v>
      </c>
      <c r="U69" s="2"/>
      <c r="V69" s="6">
        <f t="shared" si="57"/>
        <v>0</v>
      </c>
      <c r="W69" s="2"/>
      <c r="X69" s="7">
        <f t="shared" si="58"/>
        <v>0</v>
      </c>
      <c r="Y69" s="2"/>
      <c r="Z69" s="6">
        <f t="shared" si="59"/>
        <v>0</v>
      </c>
    </row>
    <row r="70" spans="1:26" s="27" customFormat="1" outlineLevel="1" collapsed="1" x14ac:dyDescent="0.25">
      <c r="A70" s="26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SUM(OSRRefD22_12x_0)</f>
        <v>36</v>
      </c>
      <c r="E70" s="1"/>
      <c r="F70" s="5">
        <f t="shared" ref="F70:F72" si="60">IF(D$12=0,0,D70/D$12)</f>
        <v>0</v>
      </c>
      <c r="G70" s="1"/>
      <c r="H70" s="1">
        <f>SUM(OSRRefH22_12x_0)</f>
        <v>0</v>
      </c>
      <c r="I70" s="1"/>
      <c r="J70" s="5">
        <f t="shared" ref="J70:J72" si="61">IF(H$12=0,0,H70/H$12)</f>
        <v>0</v>
      </c>
      <c r="K70" s="1"/>
      <c r="L70" s="1">
        <f t="shared" ref="L70:L72" si="62">+D70-H70</f>
        <v>36</v>
      </c>
      <c r="M70" s="1"/>
      <c r="N70" s="5">
        <f t="shared" ref="N70:N72" si="63">IF(H70=0,0,L70/H70)</f>
        <v>0</v>
      </c>
      <c r="O70" s="13"/>
      <c r="P70" s="1">
        <f>SUM(OSRRefP22_12x_0)</f>
        <v>473.03</v>
      </c>
      <c r="Q70" s="1"/>
      <c r="R70" s="5">
        <f t="shared" ref="R70:R72" si="64">IF(P$12=0,0,P70/P$12)</f>
        <v>0</v>
      </c>
      <c r="S70" s="1"/>
      <c r="T70" s="1">
        <f>SUM(OSRRefT22_12x_0)</f>
        <v>0</v>
      </c>
      <c r="U70" s="1"/>
      <c r="V70" s="5">
        <f t="shared" ref="V70:V72" si="65">IF(T$12=0,0,T70/T$12)</f>
        <v>0</v>
      </c>
      <c r="W70" s="1"/>
      <c r="X70" s="1">
        <f t="shared" ref="X70:X72" si="66">+P70-T70</f>
        <v>473.03</v>
      </c>
      <c r="Y70" s="1"/>
      <c r="Z70" s="5">
        <f t="shared" ref="Z70:Z72" si="67">IF(T70=0,0,X70/T70)</f>
        <v>0</v>
      </c>
    </row>
    <row r="71" spans="1:26" s="24" customFormat="1" hidden="1" outlineLevel="2" x14ac:dyDescent="0.25">
      <c r="A71" s="25"/>
      <c r="B71" s="11" t="str">
        <f>CONCATENATE("          ", "6303", " - ", "DATA PHONE LINES")</f>
        <v xml:space="preserve">          6303 - DATA PHONE LINES</v>
      </c>
      <c r="C71" s="11"/>
      <c r="D71" s="7"/>
      <c r="E71" s="2"/>
      <c r="F71" s="6">
        <f t="shared" si="60"/>
        <v>0</v>
      </c>
      <c r="G71" s="2"/>
      <c r="H71" s="7">
        <v>0</v>
      </c>
      <c r="I71" s="2"/>
      <c r="J71" s="6">
        <f t="shared" si="61"/>
        <v>0</v>
      </c>
      <c r="K71" s="2"/>
      <c r="L71" s="7">
        <f t="shared" si="62"/>
        <v>0</v>
      </c>
      <c r="M71" s="2"/>
      <c r="N71" s="6">
        <f t="shared" si="63"/>
        <v>0</v>
      </c>
      <c r="O71" s="11"/>
      <c r="P71" s="7"/>
      <c r="Q71" s="2"/>
      <c r="R71" s="6">
        <f t="shared" si="64"/>
        <v>0</v>
      </c>
      <c r="S71" s="2"/>
      <c r="T71" s="7">
        <v>0</v>
      </c>
      <c r="U71" s="2"/>
      <c r="V71" s="6">
        <f t="shared" si="65"/>
        <v>0</v>
      </c>
      <c r="W71" s="2"/>
      <c r="X71" s="7">
        <f t="shared" si="66"/>
        <v>0</v>
      </c>
      <c r="Y71" s="2"/>
      <c r="Z71" s="6">
        <f t="shared" si="67"/>
        <v>0</v>
      </c>
    </row>
    <row r="72" spans="1:26" s="24" customFormat="1" hidden="1" outlineLevel="2" x14ac:dyDescent="0.25">
      <c r="A72" s="25"/>
      <c r="B72" s="11" t="str">
        <f>CONCATENATE("          ", "6309", " - ", "TELEPHONE")</f>
        <v xml:space="preserve">          6309 - TELEPHONE</v>
      </c>
      <c r="C72" s="11"/>
      <c r="D72" s="7">
        <v>36</v>
      </c>
      <c r="E72" s="2"/>
      <c r="F72" s="6">
        <f t="shared" si="60"/>
        <v>0</v>
      </c>
      <c r="G72" s="2"/>
      <c r="H72" s="7"/>
      <c r="I72" s="2"/>
      <c r="J72" s="6">
        <f t="shared" si="61"/>
        <v>0</v>
      </c>
      <c r="K72" s="2"/>
      <c r="L72" s="7">
        <f t="shared" si="62"/>
        <v>36</v>
      </c>
      <c r="M72" s="2"/>
      <c r="N72" s="6">
        <f t="shared" si="63"/>
        <v>0</v>
      </c>
      <c r="O72" s="11"/>
      <c r="P72" s="7">
        <v>473.03</v>
      </c>
      <c r="Q72" s="2"/>
      <c r="R72" s="6">
        <f t="shared" si="64"/>
        <v>0</v>
      </c>
      <c r="S72" s="2"/>
      <c r="T72" s="7"/>
      <c r="U72" s="2"/>
      <c r="V72" s="6">
        <f t="shared" si="65"/>
        <v>0</v>
      </c>
      <c r="W72" s="2"/>
      <c r="X72" s="7">
        <f t="shared" si="66"/>
        <v>473.03</v>
      </c>
      <c r="Y72" s="2"/>
      <c r="Z72" s="6">
        <f t="shared" si="67"/>
        <v>0</v>
      </c>
    </row>
    <row r="73" spans="1:26" s="27" customFormat="1" outlineLevel="1" collapsed="1" x14ac:dyDescent="0.25">
      <c r="A73" s="26"/>
      <c r="B73" s="13" t="str">
        <f>CONCATENATE("     ","Utilities                                         ")</f>
        <v xml:space="preserve">     Utilities                                         </v>
      </c>
      <c r="C73" s="13"/>
      <c r="D73" s="1">
        <f>SUM(OSRRefD22_13x_0)</f>
        <v>0</v>
      </c>
      <c r="E73" s="1"/>
      <c r="F73" s="5">
        <f t="shared" ref="F73:F74" si="68">IF(D$12=0,0,D73/D$12)</f>
        <v>0</v>
      </c>
      <c r="G73" s="1"/>
      <c r="H73" s="1">
        <f>SUM(OSRRefH22_13x_0)</f>
        <v>0</v>
      </c>
      <c r="I73" s="1"/>
      <c r="J73" s="5">
        <f t="shared" ref="J73:J74" si="69">IF(H$12=0,0,H73/H$12)</f>
        <v>0</v>
      </c>
      <c r="K73" s="1"/>
      <c r="L73" s="1">
        <f t="shared" ref="L73:L74" si="70">+D73-H73</f>
        <v>0</v>
      </c>
      <c r="M73" s="1"/>
      <c r="N73" s="5">
        <f t="shared" ref="N73:N74" si="71">IF(H73=0,0,L73/H73)</f>
        <v>0</v>
      </c>
      <c r="O73" s="13"/>
      <c r="P73" s="1">
        <f>SUM(OSRRefP22_13x_0)</f>
        <v>0</v>
      </c>
      <c r="Q73" s="1"/>
      <c r="R73" s="5">
        <f t="shared" ref="R73:R74" si="72">IF(P$12=0,0,P73/P$12)</f>
        <v>0</v>
      </c>
      <c r="S73" s="1"/>
      <c r="T73" s="1">
        <f>SUM(OSRRefT22_13x_0)</f>
        <v>0</v>
      </c>
      <c r="U73" s="1"/>
      <c r="V73" s="5">
        <f t="shared" ref="V73:V74" si="73">IF(T$12=0,0,T73/T$12)</f>
        <v>0</v>
      </c>
      <c r="W73" s="1"/>
      <c r="X73" s="1">
        <f t="shared" ref="X73:X74" si="74">+P73-T73</f>
        <v>0</v>
      </c>
      <c r="Y73" s="1"/>
      <c r="Z73" s="5">
        <f t="shared" ref="Z73:Z74" si="75">IF(T73=0,0,X73/T73)</f>
        <v>0</v>
      </c>
    </row>
    <row r="74" spans="1:26" s="24" customFormat="1" hidden="1" outlineLevel="2" x14ac:dyDescent="0.25">
      <c r="A74" s="25"/>
      <c r="B74" s="11" t="str">
        <f>CONCATENATE("          ", "6274", " - ", "UTILITIES")</f>
        <v xml:space="preserve">          6274 - UTILITIES</v>
      </c>
      <c r="C74" s="11"/>
      <c r="D74" s="7"/>
      <c r="E74" s="2"/>
      <c r="F74" s="6">
        <f t="shared" si="68"/>
        <v>0</v>
      </c>
      <c r="G74" s="2"/>
      <c r="H74" s="7">
        <v>0</v>
      </c>
      <c r="I74" s="2"/>
      <c r="J74" s="6">
        <f t="shared" si="69"/>
        <v>0</v>
      </c>
      <c r="K74" s="2"/>
      <c r="L74" s="7">
        <f t="shared" si="70"/>
        <v>0</v>
      </c>
      <c r="M74" s="2"/>
      <c r="N74" s="6">
        <f t="shared" si="71"/>
        <v>0</v>
      </c>
      <c r="O74" s="11"/>
      <c r="P74" s="7"/>
      <c r="Q74" s="2"/>
      <c r="R74" s="6">
        <f t="shared" si="72"/>
        <v>0</v>
      </c>
      <c r="S74" s="2"/>
      <c r="T74" s="7">
        <v>0</v>
      </c>
      <c r="U74" s="2"/>
      <c r="V74" s="6">
        <f t="shared" si="73"/>
        <v>0</v>
      </c>
      <c r="W74" s="2"/>
      <c r="X74" s="7">
        <f t="shared" si="74"/>
        <v>0</v>
      </c>
      <c r="Y74" s="2"/>
      <c r="Z74" s="6">
        <f t="shared" si="75"/>
        <v>0</v>
      </c>
    </row>
    <row r="75" spans="1:26" s="56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9" t="s">
        <v>293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8" t="s">
        <v>277</v>
      </c>
      <c r="C78" s="28"/>
      <c r="D78" s="20">
        <f>+D18-D20+D76</f>
        <v>-613.36</v>
      </c>
      <c r="E78" s="14"/>
      <c r="F78" s="21">
        <f>IF(D$12=0,0,D78/D$12)</f>
        <v>0</v>
      </c>
      <c r="G78" s="14"/>
      <c r="H78" s="20">
        <f>+H18-H20+H76</f>
        <v>-848</v>
      </c>
      <c r="I78" s="14"/>
      <c r="J78" s="21">
        <f>IF(H$12=0,0,H78/H$12)</f>
        <v>0</v>
      </c>
      <c r="K78" s="15"/>
      <c r="L78" s="20">
        <f>+D78-H78</f>
        <v>234.64</v>
      </c>
      <c r="M78" s="15"/>
      <c r="N78" s="21">
        <f>IF(H78=0,0,L78/H78)</f>
        <v>-0.27669811320754717</v>
      </c>
      <c r="O78" s="29"/>
      <c r="P78" s="20">
        <f>+P18-P20+P76</f>
        <v>-9176.93</v>
      </c>
      <c r="Q78" s="14"/>
      <c r="R78" s="21">
        <f>IF(P$12=0,0,P78/P$12)</f>
        <v>0</v>
      </c>
      <c r="S78" s="14"/>
      <c r="T78" s="20">
        <f>+T18-T20+T76</f>
        <v>-9328</v>
      </c>
      <c r="U78" s="14"/>
      <c r="V78" s="21">
        <f>IF(T$12=0,0,T78/T$12)</f>
        <v>0</v>
      </c>
      <c r="W78" s="15"/>
      <c r="X78" s="20">
        <f>+P78-T78</f>
        <v>151.06999999999971</v>
      </c>
      <c r="Y78" s="15"/>
      <c r="Z78" s="21">
        <f>IF(T78=0,0,X78/T78)</f>
        <v>-1.6195325900514548E-2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128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126</v>
      </c>
      <c r="C82" s="28"/>
      <c r="D82" s="35">
        <f>+D78-D80</f>
        <v>-613.36</v>
      </c>
      <c r="E82" s="14"/>
      <c r="F82" s="34">
        <f>IF(D$12=0,0,D82/D$12)</f>
        <v>0</v>
      </c>
      <c r="G82" s="14"/>
      <c r="H82" s="35">
        <f>+H78-H80</f>
        <v>-848</v>
      </c>
      <c r="I82" s="14"/>
      <c r="J82" s="34">
        <f>IF(H$12=0,0,H82/H$12)</f>
        <v>0</v>
      </c>
      <c r="K82" s="15"/>
      <c r="L82" s="35">
        <f>D82-H82</f>
        <v>234.64</v>
      </c>
      <c r="M82" s="15"/>
      <c r="N82" s="34">
        <f>IF(H82=0,0,L82/H82)</f>
        <v>-0.27669811320754717</v>
      </c>
      <c r="O82" s="29"/>
      <c r="P82" s="35">
        <f>+P78-P80</f>
        <v>-9176.93</v>
      </c>
      <c r="Q82" s="14"/>
      <c r="R82" s="34">
        <f>IF(P$12=0,0,P82/P$12)</f>
        <v>0</v>
      </c>
      <c r="S82" s="14"/>
      <c r="T82" s="35">
        <f>+T78-T80</f>
        <v>-9328</v>
      </c>
      <c r="U82" s="14"/>
      <c r="V82" s="34">
        <f>IF(T$12=0,0,T82/T$12)</f>
        <v>0</v>
      </c>
      <c r="W82" s="15"/>
      <c r="X82" s="35">
        <f>P82-T82</f>
        <v>151.06999999999971</v>
      </c>
      <c r="Y82" s="15"/>
      <c r="Z82" s="34">
        <f>IF(T82=0,0,X82/T82)</f>
        <v>-1.6195325900514548E-2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8" t="s">
        <v>294</v>
      </c>
      <c r="C85" s="28"/>
      <c r="D85" s="33">
        <f>SUM(D82:D84)</f>
        <v>-613.36</v>
      </c>
      <c r="E85" s="14"/>
      <c r="F85" s="32">
        <f>IF(D$12=0,0,D85/D$12)</f>
        <v>0</v>
      </c>
      <c r="G85" s="14"/>
      <c r="H85" s="33">
        <f>SUM(H82:H84)</f>
        <v>-848</v>
      </c>
      <c r="I85" s="14"/>
      <c r="J85" s="32">
        <f>IF(H$12=0,0,H85/H$12)</f>
        <v>0</v>
      </c>
      <c r="K85" s="15"/>
      <c r="L85" s="33">
        <f>+D85-H85</f>
        <v>234.64</v>
      </c>
      <c r="M85" s="15"/>
      <c r="N85" s="32">
        <f>IF(H85=0,0,L85/H85)</f>
        <v>-0.27669811320754717</v>
      </c>
      <c r="O85" s="29"/>
      <c r="P85" s="33">
        <f>SUM(P82:P84)</f>
        <v>-9176.93</v>
      </c>
      <c r="Q85" s="14"/>
      <c r="R85" s="32">
        <f>IF(P$12=0,0,P85/P$12)</f>
        <v>0</v>
      </c>
      <c r="S85" s="14"/>
      <c r="T85" s="33">
        <f>SUM(T82:T84)</f>
        <v>-9328</v>
      </c>
      <c r="U85" s="14"/>
      <c r="V85" s="32">
        <f>IF(T$12=0,0,T85/T$12)</f>
        <v>0</v>
      </c>
      <c r="W85" s="15"/>
      <c r="X85" s="33">
        <f>+P85-T85</f>
        <v>151.06999999999971</v>
      </c>
      <c r="Y85" s="15"/>
      <c r="Z85" s="32">
        <f>IF(T85=0,0,X85/T85)</f>
        <v>-1.6195325900514548E-2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60">
        <v>44356.891834571761</v>
      </c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5" t="s">
        <v>56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63"/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","413", " - ", "Beach Walk")</f>
        <v>Department 413 - Beach Walk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5"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0</v>
      </c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/>
      <c r="Q17" s="2"/>
      <c r="R17" s="19">
        <f t="shared" si="10"/>
        <v>0</v>
      </c>
      <c r="S17" s="2"/>
      <c r="T17" s="2">
        <v>0</v>
      </c>
      <c r="U17" s="2"/>
      <c r="V17" s="19">
        <f t="shared" si="11"/>
        <v>0</v>
      </c>
      <c r="W17" s="2"/>
      <c r="X17" s="2">
        <f t="shared" si="12"/>
        <v>0</v>
      </c>
      <c r="Y17" s="2"/>
      <c r="Z17" s="19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108</v>
      </c>
      <c r="C19" s="28"/>
      <c r="D19" s="20">
        <f>D12-D16</f>
        <v>0</v>
      </c>
      <c r="E19" s="14"/>
      <c r="F19" s="21">
        <f>IF(D$12=0,0,D19/D$12)</f>
        <v>0</v>
      </c>
      <c r="G19" s="14"/>
      <c r="H19" s="20">
        <f>H12-H16</f>
        <v>0</v>
      </c>
      <c r="I19" s="14"/>
      <c r="J19" s="21">
        <f>IF(H$12=0,0,H19/H$12)</f>
        <v>0</v>
      </c>
      <c r="K19" s="15"/>
      <c r="L19" s="20">
        <f>+D19-H19</f>
        <v>0</v>
      </c>
      <c r="M19" s="15"/>
      <c r="N19" s="21">
        <f>IF(H19=0,0,L19/H19)</f>
        <v>0</v>
      </c>
      <c r="O19" s="29"/>
      <c r="P19" s="20">
        <f>P12-P16</f>
        <v>0</v>
      </c>
      <c r="Q19" s="14"/>
      <c r="R19" s="21">
        <f>IF(P$12=0,0,P19/P$12)</f>
        <v>0</v>
      </c>
      <c r="S19" s="14"/>
      <c r="T19" s="20">
        <f>T12-T16</f>
        <v>0</v>
      </c>
      <c r="U19" s="14"/>
      <c r="V19" s="21">
        <f>IF(T$12=0,0,T19/T$12)</f>
        <v>0</v>
      </c>
      <c r="W19" s="15"/>
      <c r="X19" s="20">
        <f>+P19-T19</f>
        <v>0</v>
      </c>
      <c r="Y19" s="15"/>
      <c r="Z19" s="21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295</v>
      </c>
      <c r="C21" s="10"/>
      <c r="D21" s="22">
        <f>SUM(OSRRefD22x_0)</f>
        <v>58.03</v>
      </c>
      <c r="E21" s="22"/>
      <c r="F21" s="31">
        <f t="shared" ref="F21:F31" si="14">IF(D$12=0,0,D21/D$12)</f>
        <v>0</v>
      </c>
      <c r="G21" s="22"/>
      <c r="H21" s="22">
        <f>SUM(OSRRefH22x_0)</f>
        <v>630</v>
      </c>
      <c r="I21" s="22"/>
      <c r="J21" s="31">
        <f t="shared" ref="J21:J31" si="15">IF(H$12=0,0,H21/H$12)</f>
        <v>0</v>
      </c>
      <c r="K21" s="4"/>
      <c r="L21" s="22">
        <f t="shared" ref="L21:L31" si="16">+D21-H21</f>
        <v>-571.97</v>
      </c>
      <c r="M21" s="4"/>
      <c r="N21" s="31">
        <f t="shared" ref="N21:N31" si="17">IF(H21=0,0,L21/H21)</f>
        <v>-0.90788888888888897</v>
      </c>
      <c r="O21" s="10"/>
      <c r="P21" s="22">
        <f>SUM(OSRRefP22x_0)</f>
        <v>5303.41</v>
      </c>
      <c r="Q21" s="22"/>
      <c r="R21" s="31">
        <f t="shared" ref="R21:R31" si="18">IF(P$12=0,0,P21/P$12)</f>
        <v>0</v>
      </c>
      <c r="S21" s="22"/>
      <c r="T21" s="22">
        <f>SUM(OSRRefT22x_0)</f>
        <v>6930</v>
      </c>
      <c r="U21" s="22"/>
      <c r="V21" s="31">
        <f t="shared" ref="V21:V31" si="19">IF(T$12=0,0,T21/T$12)</f>
        <v>0</v>
      </c>
      <c r="W21" s="4"/>
      <c r="X21" s="22">
        <f t="shared" ref="X21:X31" si="20">+P21-T21</f>
        <v>-1626.5900000000001</v>
      </c>
      <c r="Y21" s="4"/>
      <c r="Z21" s="31">
        <f t="shared" ref="Z21:Z31" si="21">IF(T21=0,0,X21/T21)</f>
        <v>-0.23471717171717174</v>
      </c>
    </row>
    <row r="22" spans="1:26" s="27" customFormat="1" outlineLevel="1" collapsed="1" x14ac:dyDescent="0.25">
      <c r="A22" s="26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3"/>
      <c r="P22" s="1">
        <f>SUM(OSRRefP22_0x_0)</f>
        <v>1493.43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1493.43</v>
      </c>
      <c r="Y22" s="1"/>
      <c r="Z22" s="5">
        <f t="shared" si="21"/>
        <v>0</v>
      </c>
    </row>
    <row r="23" spans="1:26" s="24" customFormat="1" hidden="1" outlineLevel="2" x14ac:dyDescent="0.25">
      <c r="A23" s="25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0</v>
      </c>
      <c r="I23" s="2"/>
      <c r="J23" s="6">
        <f t="shared" si="15"/>
        <v>0</v>
      </c>
      <c r="K23" s="2"/>
      <c r="L23" s="7">
        <f t="shared" si="16"/>
        <v>0</v>
      </c>
      <c r="M23" s="2"/>
      <c r="N23" s="6">
        <f t="shared" si="17"/>
        <v>0</v>
      </c>
      <c r="O23" s="11"/>
      <c r="P23" s="7">
        <v>191.51</v>
      </c>
      <c r="Q23" s="2"/>
      <c r="R23" s="6">
        <f t="shared" si="18"/>
        <v>0</v>
      </c>
      <c r="S23" s="2"/>
      <c r="T23" s="7">
        <v>0</v>
      </c>
      <c r="U23" s="2"/>
      <c r="V23" s="6">
        <f t="shared" si="19"/>
        <v>0</v>
      </c>
      <c r="W23" s="2"/>
      <c r="X23" s="7">
        <f t="shared" si="20"/>
        <v>191.51</v>
      </c>
      <c r="Y23" s="2"/>
      <c r="Z23" s="6">
        <f t="shared" si="21"/>
        <v>0</v>
      </c>
    </row>
    <row r="24" spans="1:26" s="24" customFormat="1" hidden="1" outlineLevel="2" x14ac:dyDescent="0.25">
      <c r="A24" s="25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/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</v>
      </c>
      <c r="Y24" s="2"/>
      <c r="Z24" s="6">
        <f t="shared" si="21"/>
        <v>0</v>
      </c>
    </row>
    <row r="25" spans="1:26" s="24" customFormat="1" hidden="1" outlineLevel="2" x14ac:dyDescent="0.25">
      <c r="A25" s="25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>
        <v>718.51</v>
      </c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718.51</v>
      </c>
      <c r="Y25" s="2"/>
      <c r="Z25" s="6">
        <f t="shared" si="21"/>
        <v>0</v>
      </c>
    </row>
    <row r="26" spans="1:26" s="24" customFormat="1" hidden="1" outlineLevel="2" x14ac:dyDescent="0.25">
      <c r="A26" s="25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25">
      <c r="A27" s="25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>
        <v>377.03</v>
      </c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377.03</v>
      </c>
      <c r="Y27" s="2"/>
      <c r="Z27" s="6">
        <f t="shared" si="21"/>
        <v>0</v>
      </c>
    </row>
    <row r="28" spans="1:26" s="24" customFormat="1" hidden="1" outlineLevel="2" x14ac:dyDescent="0.25">
      <c r="A28" s="25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>
        <v>93.89</v>
      </c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93.89</v>
      </c>
      <c r="Y29" s="2"/>
      <c r="Z29" s="6">
        <f t="shared" si="21"/>
        <v>0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>
        <v>112.49</v>
      </c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112.49</v>
      </c>
      <c r="Y30" s="2"/>
      <c r="Z30" s="6">
        <f t="shared" si="21"/>
        <v>0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0</v>
      </c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/>
      <c r="Q31" s="2"/>
      <c r="R31" s="6">
        <f t="shared" si="18"/>
        <v>0</v>
      </c>
      <c r="S31" s="2"/>
      <c r="T31" s="7">
        <v>0</v>
      </c>
      <c r="U31" s="2"/>
      <c r="V31" s="6">
        <f t="shared" si="19"/>
        <v>0</v>
      </c>
      <c r="W31" s="2"/>
      <c r="X31" s="7">
        <f t="shared" si="20"/>
        <v>0</v>
      </c>
      <c r="Y31" s="2"/>
      <c r="Z31" s="6">
        <f t="shared" si="21"/>
        <v>0</v>
      </c>
    </row>
    <row r="32" spans="1:26" s="27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3"/>
      <c r="P32" s="1">
        <f>SUM(OSRRefP22_1x_0)</f>
        <v>2259.48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2259.48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5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5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>
        <v>2259.48</v>
      </c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2259.48</v>
      </c>
      <c r="Y34" s="2"/>
      <c r="Z34" s="6">
        <f t="shared" si="29"/>
        <v>0</v>
      </c>
    </row>
    <row r="35" spans="1:26" s="24" customFormat="1" hidden="1" outlineLevel="2" x14ac:dyDescent="0.25">
      <c r="A35" s="25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5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5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25">
      <c r="A42" s="25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7" customFormat="1" outlineLevel="1" collapsed="1" x14ac:dyDescent="0.25">
      <c r="A43" s="26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0</v>
      </c>
      <c r="E43" s="1"/>
      <c r="F43" s="5">
        <f t="shared" ref="F43:F59" si="30">IF(D$12=0,0,D43/D$12)</f>
        <v>0</v>
      </c>
      <c r="G43" s="1"/>
      <c r="H43" s="1">
        <f>SUM(OSRRefH22_2x_0)</f>
        <v>0</v>
      </c>
      <c r="I43" s="1"/>
      <c r="J43" s="5">
        <f t="shared" ref="J43:J59" si="31">IF(H$12=0,0,H43/H$12)</f>
        <v>0</v>
      </c>
      <c r="K43" s="1"/>
      <c r="L43" s="1">
        <f t="shared" ref="L43:L59" si="32">+D43-H43</f>
        <v>0</v>
      </c>
      <c r="M43" s="1"/>
      <c r="N43" s="5">
        <f t="shared" ref="N43:N59" si="33">IF(H43=0,0,L43/H43)</f>
        <v>0</v>
      </c>
      <c r="O43" s="13"/>
      <c r="P43" s="1">
        <f>SUM(OSRRefP22_2x_0)</f>
        <v>0</v>
      </c>
      <c r="Q43" s="1"/>
      <c r="R43" s="5">
        <f t="shared" ref="R43:R59" si="34">IF(P$12=0,0,P43/P$12)</f>
        <v>0</v>
      </c>
      <c r="S43" s="1"/>
      <c r="T43" s="1">
        <f>SUM(OSRRefT22_2x_0)</f>
        <v>0</v>
      </c>
      <c r="U43" s="1"/>
      <c r="V43" s="5">
        <f t="shared" ref="V43:V59" si="35">IF(T$12=0,0,T43/T$12)</f>
        <v>0</v>
      </c>
      <c r="W43" s="1"/>
      <c r="X43" s="1">
        <f t="shared" ref="X43:X59" si="36">+P43-T43</f>
        <v>0</v>
      </c>
      <c r="Y43" s="1"/>
      <c r="Z43" s="5">
        <f t="shared" ref="Z43:Z59" si="37">IF(T43=0,0,X43/T43)</f>
        <v>0</v>
      </c>
    </row>
    <row r="44" spans="1:26" s="24" customFormat="1" hidden="1" outlineLevel="2" x14ac:dyDescent="0.25">
      <c r="A44" s="25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30"/>
        <v>0</v>
      </c>
      <c r="G44" s="2"/>
      <c r="H44" s="7">
        <v>0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/>
      <c r="Q44" s="2"/>
      <c r="R44" s="6">
        <f t="shared" si="34"/>
        <v>0</v>
      </c>
      <c r="S44" s="2"/>
      <c r="T44" s="7">
        <v>0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7" customFormat="1" outlineLevel="1" collapsed="1" x14ac:dyDescent="0.25">
      <c r="A45" s="26"/>
      <c r="B45" s="13" t="str">
        <f>CONCATENATE("     ","Bad Debts/Over/Short                              ")</f>
        <v xml:space="preserve">     Bad Debts/Over/Short                              </v>
      </c>
      <c r="C45" s="13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3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5"/>
      <c r="B46" s="11" t="str">
        <f>CONCATENATE("          ", "6272", " - ", "CASH (OVER/SHORT)")</f>
        <v xml:space="preserve">          6272 - CASH (OVER/SHORT)</v>
      </c>
      <c r="C46" s="11"/>
      <c r="D46" s="7"/>
      <c r="E46" s="2"/>
      <c r="F46" s="6">
        <f t="shared" si="30"/>
        <v>0</v>
      </c>
      <c r="G46" s="2"/>
      <c r="H46" s="7">
        <v>0</v>
      </c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0</v>
      </c>
      <c r="U46" s="2"/>
      <c r="V46" s="6">
        <f t="shared" si="35"/>
        <v>0</v>
      </c>
      <c r="W46" s="2"/>
      <c r="X46" s="7">
        <f t="shared" si="36"/>
        <v>0</v>
      </c>
      <c r="Y46" s="2"/>
      <c r="Z46" s="6">
        <f t="shared" si="37"/>
        <v>0</v>
      </c>
    </row>
    <row r="47" spans="1:26" s="27" customFormat="1" outlineLevel="1" collapsed="1" x14ac:dyDescent="0.25">
      <c r="A47" s="26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3"/>
      <c r="P47" s="1">
        <f>SUM(OSRRefP22_4x_0)</f>
        <v>0</v>
      </c>
      <c r="Q47" s="1"/>
      <c r="R47" s="5">
        <f t="shared" si="34"/>
        <v>0</v>
      </c>
      <c r="S47" s="1"/>
      <c r="T47" s="1">
        <f>SUM(OSRRefT22_4x_0)</f>
        <v>0</v>
      </c>
      <c r="U47" s="1"/>
      <c r="V47" s="5">
        <f t="shared" si="35"/>
        <v>0</v>
      </c>
      <c r="W47" s="1"/>
      <c r="X47" s="1">
        <f t="shared" si="36"/>
        <v>0</v>
      </c>
      <c r="Y47" s="1"/>
      <c r="Z47" s="5">
        <f t="shared" si="37"/>
        <v>0</v>
      </c>
    </row>
    <row r="48" spans="1:26" s="24" customFormat="1" hidden="1" outlineLevel="2" x14ac:dyDescent="0.25">
      <c r="A48" s="25"/>
      <c r="B48" s="11" t="str">
        <f>CONCATENATE("          ", "6381", " - ", "BANK/CREDIT CARD FEES")</f>
        <v xml:space="preserve">          6381 - BANK/CREDIT CARD FEES</v>
      </c>
      <c r="C48" s="11"/>
      <c r="D48" s="7"/>
      <c r="E48" s="2"/>
      <c r="F48" s="6">
        <f t="shared" si="30"/>
        <v>0</v>
      </c>
      <c r="G48" s="2"/>
      <c r="H48" s="7">
        <v>0</v>
      </c>
      <c r="I48" s="2"/>
      <c r="J48" s="6">
        <f t="shared" si="31"/>
        <v>0</v>
      </c>
      <c r="K48" s="2"/>
      <c r="L48" s="7">
        <f t="shared" si="32"/>
        <v>0</v>
      </c>
      <c r="M48" s="2"/>
      <c r="N48" s="6">
        <f t="shared" si="33"/>
        <v>0</v>
      </c>
      <c r="O48" s="11"/>
      <c r="P48" s="7"/>
      <c r="Q48" s="2"/>
      <c r="R48" s="6">
        <f t="shared" si="34"/>
        <v>0</v>
      </c>
      <c r="S48" s="2"/>
      <c r="T48" s="7">
        <v>0</v>
      </c>
      <c r="U48" s="2"/>
      <c r="V48" s="6">
        <f t="shared" si="35"/>
        <v>0</v>
      </c>
      <c r="W48" s="2"/>
      <c r="X48" s="7">
        <f t="shared" si="36"/>
        <v>0</v>
      </c>
      <c r="Y48" s="2"/>
      <c r="Z48" s="6">
        <f t="shared" si="37"/>
        <v>0</v>
      </c>
    </row>
    <row r="49" spans="1:26" s="27" customFormat="1" outlineLevel="1" collapsed="1" x14ac:dyDescent="0.25">
      <c r="A49" s="26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58.03</v>
      </c>
      <c r="E49" s="1"/>
      <c r="F49" s="5">
        <f t="shared" si="30"/>
        <v>0</v>
      </c>
      <c r="G49" s="1"/>
      <c r="H49" s="1">
        <f>SUM(OSRRefH22_5x_0)</f>
        <v>630</v>
      </c>
      <c r="I49" s="1"/>
      <c r="J49" s="5">
        <f t="shared" si="31"/>
        <v>0</v>
      </c>
      <c r="K49" s="1"/>
      <c r="L49" s="1">
        <f t="shared" si="32"/>
        <v>-571.97</v>
      </c>
      <c r="M49" s="1"/>
      <c r="N49" s="5">
        <f t="shared" si="33"/>
        <v>-0.90788888888888897</v>
      </c>
      <c r="O49" s="13"/>
      <c r="P49" s="1">
        <f>SUM(OSRRefP22_5x_0)</f>
        <v>638.33000000000004</v>
      </c>
      <c r="Q49" s="1"/>
      <c r="R49" s="5">
        <f t="shared" si="34"/>
        <v>0</v>
      </c>
      <c r="S49" s="1"/>
      <c r="T49" s="1">
        <f>SUM(OSRRefT22_5x_0)</f>
        <v>6930</v>
      </c>
      <c r="U49" s="1"/>
      <c r="V49" s="5">
        <f t="shared" si="35"/>
        <v>0</v>
      </c>
      <c r="W49" s="1"/>
      <c r="X49" s="1">
        <f t="shared" si="36"/>
        <v>-6291.67</v>
      </c>
      <c r="Y49" s="1"/>
      <c r="Z49" s="5">
        <f t="shared" si="37"/>
        <v>-0.90788888888888886</v>
      </c>
    </row>
    <row r="50" spans="1:26" s="24" customFormat="1" hidden="1" outlineLevel="2" x14ac:dyDescent="0.25">
      <c r="A50" s="25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58.03</v>
      </c>
      <c r="E50" s="2"/>
      <c r="F50" s="6">
        <f t="shared" si="30"/>
        <v>0</v>
      </c>
      <c r="G50" s="2"/>
      <c r="H50" s="7">
        <v>630</v>
      </c>
      <c r="I50" s="2"/>
      <c r="J50" s="6">
        <f t="shared" si="31"/>
        <v>0</v>
      </c>
      <c r="K50" s="2"/>
      <c r="L50" s="7">
        <f t="shared" si="32"/>
        <v>-571.97</v>
      </c>
      <c r="M50" s="2"/>
      <c r="N50" s="6">
        <f t="shared" si="33"/>
        <v>-0.90788888888888897</v>
      </c>
      <c r="O50" s="11"/>
      <c r="P50" s="7">
        <v>638.33000000000004</v>
      </c>
      <c r="Q50" s="2"/>
      <c r="R50" s="6">
        <f t="shared" si="34"/>
        <v>0</v>
      </c>
      <c r="S50" s="2"/>
      <c r="T50" s="7">
        <v>6930</v>
      </c>
      <c r="U50" s="2"/>
      <c r="V50" s="6">
        <f t="shared" si="35"/>
        <v>0</v>
      </c>
      <c r="W50" s="2"/>
      <c r="X50" s="7">
        <f t="shared" si="36"/>
        <v>-6291.67</v>
      </c>
      <c r="Y50" s="2"/>
      <c r="Z50" s="6">
        <f t="shared" si="37"/>
        <v>-0.90788888888888886</v>
      </c>
    </row>
    <row r="51" spans="1:26" s="27" customFormat="1" outlineLevel="1" collapsed="1" x14ac:dyDescent="0.25">
      <c r="A51" s="26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3"/>
      <c r="P51" s="1">
        <f>SUM(OSRRefP22_6x_0)</f>
        <v>0</v>
      </c>
      <c r="Q51" s="1"/>
      <c r="R51" s="5">
        <f t="shared" si="34"/>
        <v>0</v>
      </c>
      <c r="S51" s="1"/>
      <c r="T51" s="1">
        <f>SUM(OSRRefT22_6x_0)</f>
        <v>0</v>
      </c>
      <c r="U51" s="1"/>
      <c r="V51" s="5">
        <f t="shared" si="35"/>
        <v>0</v>
      </c>
      <c r="W51" s="1"/>
      <c r="X51" s="1">
        <f t="shared" si="36"/>
        <v>0</v>
      </c>
      <c r="Y51" s="1"/>
      <c r="Z51" s="5">
        <f t="shared" si="37"/>
        <v>0</v>
      </c>
    </row>
    <row r="52" spans="1:26" s="24" customFormat="1" hidden="1" outlineLevel="2" x14ac:dyDescent="0.25">
      <c r="A52" s="25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30"/>
        <v>0</v>
      </c>
      <c r="G52" s="2"/>
      <c r="H52" s="7"/>
      <c r="I52" s="2"/>
      <c r="J52" s="6">
        <f t="shared" si="31"/>
        <v>0</v>
      </c>
      <c r="K52" s="2"/>
      <c r="L52" s="7">
        <f t="shared" si="32"/>
        <v>0</v>
      </c>
      <c r="M52" s="2"/>
      <c r="N52" s="6">
        <f t="shared" si="33"/>
        <v>0</v>
      </c>
      <c r="O52" s="11"/>
      <c r="P52" s="7"/>
      <c r="Q52" s="2"/>
      <c r="R52" s="6">
        <f t="shared" si="34"/>
        <v>0</v>
      </c>
      <c r="S52" s="2"/>
      <c r="T52" s="7">
        <v>0</v>
      </c>
      <c r="U52" s="2"/>
      <c r="V52" s="6">
        <f t="shared" si="35"/>
        <v>0</v>
      </c>
      <c r="W52" s="2"/>
      <c r="X52" s="7">
        <f t="shared" si="36"/>
        <v>0</v>
      </c>
      <c r="Y52" s="2"/>
      <c r="Z52" s="6">
        <f t="shared" si="37"/>
        <v>0</v>
      </c>
    </row>
    <row r="53" spans="1:26" s="27" customFormat="1" outlineLevel="1" collapsed="1" x14ac:dyDescent="0.25">
      <c r="A53" s="26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SUM(OSRRefD22_7x_0)</f>
        <v>0</v>
      </c>
      <c r="E53" s="1"/>
      <c r="F53" s="5">
        <f t="shared" si="30"/>
        <v>0</v>
      </c>
      <c r="G53" s="1"/>
      <c r="H53" s="1">
        <f>SUM(OSRRefH22_7x_0)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3"/>
      <c r="P53" s="1">
        <f>SUM(OSRRefP22_7x_0)</f>
        <v>0</v>
      </c>
      <c r="Q53" s="1"/>
      <c r="R53" s="5">
        <f t="shared" si="34"/>
        <v>0</v>
      </c>
      <c r="S53" s="1"/>
      <c r="T53" s="1">
        <f>SUM(OSRRefT22_7x_0)</f>
        <v>0</v>
      </c>
      <c r="U53" s="1"/>
      <c r="V53" s="5">
        <f t="shared" si="35"/>
        <v>0</v>
      </c>
      <c r="W53" s="1"/>
      <c r="X53" s="1">
        <f t="shared" si="36"/>
        <v>0</v>
      </c>
      <c r="Y53" s="1"/>
      <c r="Z53" s="5">
        <f t="shared" si="37"/>
        <v>0</v>
      </c>
    </row>
    <row r="54" spans="1:26" s="24" customFormat="1" hidden="1" outlineLevel="2" x14ac:dyDescent="0.25">
      <c r="A54" s="25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0"/>
        <v>0</v>
      </c>
      <c r="G54" s="2"/>
      <c r="H54" s="7"/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/>
      <c r="Q54" s="2"/>
      <c r="R54" s="6">
        <f t="shared" si="34"/>
        <v>0</v>
      </c>
      <c r="S54" s="2"/>
      <c r="T54" s="7">
        <v>0</v>
      </c>
      <c r="U54" s="2"/>
      <c r="V54" s="6">
        <f t="shared" si="35"/>
        <v>0</v>
      </c>
      <c r="W54" s="2"/>
      <c r="X54" s="7">
        <f t="shared" si="36"/>
        <v>0</v>
      </c>
      <c r="Y54" s="2"/>
      <c r="Z54" s="6">
        <f t="shared" si="37"/>
        <v>0</v>
      </c>
    </row>
    <row r="55" spans="1:26" s="27" customFormat="1" outlineLevel="1" collapsed="1" x14ac:dyDescent="0.25">
      <c r="A55" s="26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SUM(OSRRefD22_8x_0)</f>
        <v>0</v>
      </c>
      <c r="E55" s="1"/>
      <c r="F55" s="5">
        <f t="shared" si="30"/>
        <v>0</v>
      </c>
      <c r="G55" s="1"/>
      <c r="H55" s="1">
        <f>SUM(OSRRefH22_8x_0)</f>
        <v>0</v>
      </c>
      <c r="I55" s="1"/>
      <c r="J55" s="5">
        <f t="shared" si="31"/>
        <v>0</v>
      </c>
      <c r="K55" s="1"/>
      <c r="L55" s="1">
        <f t="shared" si="32"/>
        <v>0</v>
      </c>
      <c r="M55" s="1"/>
      <c r="N55" s="5">
        <f t="shared" si="33"/>
        <v>0</v>
      </c>
      <c r="O55" s="13"/>
      <c r="P55" s="1">
        <f>SUM(OSRRefP22_8x_0)</f>
        <v>575.85</v>
      </c>
      <c r="Q55" s="1"/>
      <c r="R55" s="5">
        <f t="shared" si="34"/>
        <v>0</v>
      </c>
      <c r="S55" s="1"/>
      <c r="T55" s="1">
        <f>SUM(OSRRefT22_8x_0)</f>
        <v>0</v>
      </c>
      <c r="U55" s="1"/>
      <c r="V55" s="5">
        <f t="shared" si="35"/>
        <v>0</v>
      </c>
      <c r="W55" s="1"/>
      <c r="X55" s="1">
        <f t="shared" si="36"/>
        <v>575.85</v>
      </c>
      <c r="Y55" s="1"/>
      <c r="Z55" s="5">
        <f t="shared" si="37"/>
        <v>0</v>
      </c>
    </row>
    <row r="56" spans="1:26" s="24" customFormat="1" hidden="1" outlineLevel="2" x14ac:dyDescent="0.25">
      <c r="A56" s="25"/>
      <c r="B56" s="11" t="str">
        <f>CONCATENATE("          ", "6371", " - ", "COMPUTER SOFTWARE MAINTENANCE")</f>
        <v xml:space="preserve">          6371 - COMPUTER SOFTWARE MAINTENANCE</v>
      </c>
      <c r="C56" s="11"/>
      <c r="D56" s="7"/>
      <c r="E56" s="2"/>
      <c r="F56" s="6">
        <f t="shared" si="30"/>
        <v>0</v>
      </c>
      <c r="G56" s="2"/>
      <c r="H56" s="7"/>
      <c r="I56" s="2"/>
      <c r="J56" s="6">
        <f t="shared" si="31"/>
        <v>0</v>
      </c>
      <c r="K56" s="2"/>
      <c r="L56" s="7">
        <f t="shared" si="32"/>
        <v>0</v>
      </c>
      <c r="M56" s="2"/>
      <c r="N56" s="6">
        <f t="shared" si="33"/>
        <v>0</v>
      </c>
      <c r="O56" s="11"/>
      <c r="P56" s="7"/>
      <c r="Q56" s="2"/>
      <c r="R56" s="6">
        <f t="shared" si="34"/>
        <v>0</v>
      </c>
      <c r="S56" s="2"/>
      <c r="T56" s="7">
        <v>0</v>
      </c>
      <c r="U56" s="2"/>
      <c r="V56" s="6">
        <f t="shared" si="35"/>
        <v>0</v>
      </c>
      <c r="W56" s="2"/>
      <c r="X56" s="7">
        <f t="shared" si="36"/>
        <v>0</v>
      </c>
      <c r="Y56" s="2"/>
      <c r="Z56" s="6">
        <f t="shared" si="37"/>
        <v>0</v>
      </c>
    </row>
    <row r="57" spans="1:26" s="24" customFormat="1" hidden="1" outlineLevel="2" x14ac:dyDescent="0.25">
      <c r="A57" s="25"/>
      <c r="B57" s="11" t="str">
        <f>CONCATENATE("          ", "6372", " - ", "COMPUTER HARDWARE MAINTENANCE")</f>
        <v xml:space="preserve">          6372 - COMPUTER HARDWARE MAINTENANCE</v>
      </c>
      <c r="C57" s="11"/>
      <c r="D57" s="7"/>
      <c r="E57" s="2"/>
      <c r="F57" s="6">
        <f t="shared" si="30"/>
        <v>0</v>
      </c>
      <c r="G57" s="2"/>
      <c r="H57" s="7"/>
      <c r="I57" s="2"/>
      <c r="J57" s="6">
        <f t="shared" si="31"/>
        <v>0</v>
      </c>
      <c r="K57" s="2"/>
      <c r="L57" s="7">
        <f t="shared" si="32"/>
        <v>0</v>
      </c>
      <c r="M57" s="2"/>
      <c r="N57" s="6">
        <f t="shared" si="33"/>
        <v>0</v>
      </c>
      <c r="O57" s="11"/>
      <c r="P57" s="7"/>
      <c r="Q57" s="2"/>
      <c r="R57" s="6">
        <f t="shared" si="34"/>
        <v>0</v>
      </c>
      <c r="S57" s="2"/>
      <c r="T57" s="7">
        <v>0</v>
      </c>
      <c r="U57" s="2"/>
      <c r="V57" s="6">
        <f t="shared" si="35"/>
        <v>0</v>
      </c>
      <c r="W57" s="2"/>
      <c r="X57" s="7">
        <f t="shared" si="36"/>
        <v>0</v>
      </c>
      <c r="Y57" s="2"/>
      <c r="Z57" s="6">
        <f t="shared" si="37"/>
        <v>0</v>
      </c>
    </row>
    <row r="58" spans="1:26" s="24" customFormat="1" hidden="1" outlineLevel="2" x14ac:dyDescent="0.25">
      <c r="A58" s="25"/>
      <c r="B58" s="11" t="str">
        <f>CONCATENATE("          ", "6373", " - ", "MAINTENANCE CONTRACTS")</f>
        <v xml:space="preserve">          6373 - MAINTENANCE CONTRACTS</v>
      </c>
      <c r="C58" s="11"/>
      <c r="D58" s="7"/>
      <c r="E58" s="2"/>
      <c r="F58" s="6">
        <f t="shared" si="30"/>
        <v>0</v>
      </c>
      <c r="G58" s="2"/>
      <c r="H58" s="7">
        <v>0</v>
      </c>
      <c r="I58" s="2"/>
      <c r="J58" s="6">
        <f t="shared" si="31"/>
        <v>0</v>
      </c>
      <c r="K58" s="2"/>
      <c r="L58" s="7">
        <f t="shared" si="32"/>
        <v>0</v>
      </c>
      <c r="M58" s="2"/>
      <c r="N58" s="6">
        <f t="shared" si="33"/>
        <v>0</v>
      </c>
      <c r="O58" s="11"/>
      <c r="P58" s="7">
        <v>575.85</v>
      </c>
      <c r="Q58" s="2"/>
      <c r="R58" s="6">
        <f t="shared" si="34"/>
        <v>0</v>
      </c>
      <c r="S58" s="2"/>
      <c r="T58" s="7">
        <v>0</v>
      </c>
      <c r="U58" s="2"/>
      <c r="V58" s="6">
        <f t="shared" si="35"/>
        <v>0</v>
      </c>
      <c r="W58" s="2"/>
      <c r="X58" s="7">
        <f t="shared" si="36"/>
        <v>575.85</v>
      </c>
      <c r="Y58" s="2"/>
      <c r="Z58" s="6">
        <f t="shared" si="37"/>
        <v>0</v>
      </c>
    </row>
    <row r="59" spans="1:26" s="24" customFormat="1" hidden="1" outlineLevel="2" x14ac:dyDescent="0.25">
      <c r="A59" s="25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30"/>
        <v>0</v>
      </c>
      <c r="G59" s="2"/>
      <c r="H59" s="7">
        <v>0</v>
      </c>
      <c r="I59" s="2"/>
      <c r="J59" s="6">
        <f t="shared" si="31"/>
        <v>0</v>
      </c>
      <c r="K59" s="2"/>
      <c r="L59" s="7">
        <f t="shared" si="32"/>
        <v>0</v>
      </c>
      <c r="M59" s="2"/>
      <c r="N59" s="6">
        <f t="shared" si="33"/>
        <v>0</v>
      </c>
      <c r="O59" s="11"/>
      <c r="P59" s="7"/>
      <c r="Q59" s="2"/>
      <c r="R59" s="6">
        <f t="shared" si="34"/>
        <v>0</v>
      </c>
      <c r="S59" s="2"/>
      <c r="T59" s="7">
        <v>0</v>
      </c>
      <c r="U59" s="2"/>
      <c r="V59" s="6">
        <f t="shared" si="35"/>
        <v>0</v>
      </c>
      <c r="W59" s="2"/>
      <c r="X59" s="7">
        <f t="shared" si="36"/>
        <v>0</v>
      </c>
      <c r="Y59" s="2"/>
      <c r="Z59" s="6">
        <f t="shared" si="37"/>
        <v>0</v>
      </c>
    </row>
    <row r="60" spans="1:26" s="27" customFormat="1" outlineLevel="1" collapsed="1" x14ac:dyDescent="0.25">
      <c r="A60" s="26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SUM(OSRRefD22_9x_0)</f>
        <v>0</v>
      </c>
      <c r="E60" s="1"/>
      <c r="F60" s="5">
        <f t="shared" ref="F60:F62" si="38">IF(D$12=0,0,D60/D$12)</f>
        <v>0</v>
      </c>
      <c r="G60" s="1"/>
      <c r="H60" s="1">
        <f>SUM(OSRRefH22_9x_0)</f>
        <v>0</v>
      </c>
      <c r="I60" s="1"/>
      <c r="J60" s="5">
        <f t="shared" ref="J60:J62" si="39">IF(H$12=0,0,H60/H$12)</f>
        <v>0</v>
      </c>
      <c r="K60" s="1"/>
      <c r="L60" s="1">
        <f t="shared" ref="L60:L62" si="40">+D60-H60</f>
        <v>0</v>
      </c>
      <c r="M60" s="1"/>
      <c r="N60" s="5">
        <f t="shared" ref="N60:N62" si="41">IF(H60=0,0,L60/H60)</f>
        <v>0</v>
      </c>
      <c r="O60" s="13"/>
      <c r="P60" s="1">
        <f>SUM(OSRRefP22_9x_0)</f>
        <v>286.62</v>
      </c>
      <c r="Q60" s="1"/>
      <c r="R60" s="5">
        <f t="shared" ref="R60:R62" si="42">IF(P$12=0,0,P60/P$12)</f>
        <v>0</v>
      </c>
      <c r="S60" s="1"/>
      <c r="T60" s="1">
        <f>SUM(OSRRefT22_9x_0)</f>
        <v>0</v>
      </c>
      <c r="U60" s="1"/>
      <c r="V60" s="5">
        <f t="shared" ref="V60:V62" si="43">IF(T$12=0,0,T60/T$12)</f>
        <v>0</v>
      </c>
      <c r="W60" s="1"/>
      <c r="X60" s="1">
        <f t="shared" ref="X60:X62" si="44">+P60-T60</f>
        <v>286.62</v>
      </c>
      <c r="Y60" s="1"/>
      <c r="Z60" s="5">
        <f t="shared" ref="Z60:Z62" si="45">IF(T60=0,0,X60/T60)</f>
        <v>0</v>
      </c>
    </row>
    <row r="61" spans="1:26" s="24" customFormat="1" hidden="1" outlineLevel="2" x14ac:dyDescent="0.25">
      <c r="A61" s="25"/>
      <c r="B61" s="11" t="str">
        <f>CONCATENATE("          ", "6282", " - ", "JANITORIAL/EXTERMINATOR EXPENS")</f>
        <v xml:space="preserve">          6282 - JANITORIAL/EXTERMINATOR EXPENS</v>
      </c>
      <c r="C61" s="11"/>
      <c r="D61" s="7"/>
      <c r="E61" s="2"/>
      <c r="F61" s="6">
        <f t="shared" si="38"/>
        <v>0</v>
      </c>
      <c r="G61" s="2"/>
      <c r="H61" s="7"/>
      <c r="I61" s="2"/>
      <c r="J61" s="6">
        <f t="shared" si="39"/>
        <v>0</v>
      </c>
      <c r="K61" s="2"/>
      <c r="L61" s="7">
        <f t="shared" si="40"/>
        <v>0</v>
      </c>
      <c r="M61" s="2"/>
      <c r="N61" s="6">
        <f t="shared" si="41"/>
        <v>0</v>
      </c>
      <c r="O61" s="11"/>
      <c r="P61" s="7">
        <v>286.62</v>
      </c>
      <c r="Q61" s="2"/>
      <c r="R61" s="6">
        <f t="shared" si="42"/>
        <v>0</v>
      </c>
      <c r="S61" s="2"/>
      <c r="T61" s="7"/>
      <c r="U61" s="2"/>
      <c r="V61" s="6">
        <f t="shared" si="43"/>
        <v>0</v>
      </c>
      <c r="W61" s="2"/>
      <c r="X61" s="7">
        <f t="shared" si="44"/>
        <v>286.62</v>
      </c>
      <c r="Y61" s="2"/>
      <c r="Z61" s="6">
        <f t="shared" si="45"/>
        <v>0</v>
      </c>
    </row>
    <row r="62" spans="1:26" s="24" customFormat="1" hidden="1" outlineLevel="2" x14ac:dyDescent="0.25">
      <c r="A62" s="25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38"/>
        <v>0</v>
      </c>
      <c r="G62" s="2"/>
      <c r="H62" s="7">
        <v>0</v>
      </c>
      <c r="I62" s="2"/>
      <c r="J62" s="6">
        <f t="shared" si="39"/>
        <v>0</v>
      </c>
      <c r="K62" s="2"/>
      <c r="L62" s="7">
        <f t="shared" si="40"/>
        <v>0</v>
      </c>
      <c r="M62" s="2"/>
      <c r="N62" s="6">
        <f t="shared" si="41"/>
        <v>0</v>
      </c>
      <c r="O62" s="11"/>
      <c r="P62" s="7"/>
      <c r="Q62" s="2"/>
      <c r="R62" s="6">
        <f t="shared" si="42"/>
        <v>0</v>
      </c>
      <c r="S62" s="2"/>
      <c r="T62" s="7">
        <v>0</v>
      </c>
      <c r="U62" s="2"/>
      <c r="V62" s="6">
        <f t="shared" si="43"/>
        <v>0</v>
      </c>
      <c r="W62" s="2"/>
      <c r="X62" s="7">
        <f t="shared" si="44"/>
        <v>0</v>
      </c>
      <c r="Y62" s="2"/>
      <c r="Z62" s="6">
        <f t="shared" si="45"/>
        <v>0</v>
      </c>
    </row>
    <row r="63" spans="1:26" s="27" customFormat="1" outlineLevel="1" collapsed="1" x14ac:dyDescent="0.25">
      <c r="A63" s="26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SUM(OSRRefD22_10x_0)</f>
        <v>0</v>
      </c>
      <c r="E63" s="1"/>
      <c r="F63" s="5">
        <f t="shared" ref="F63:F71" si="46">IF(D$12=0,0,D63/D$12)</f>
        <v>0</v>
      </c>
      <c r="G63" s="1"/>
      <c r="H63" s="1">
        <f>SUM(OSRRefH22_10x_0)</f>
        <v>0</v>
      </c>
      <c r="I63" s="1"/>
      <c r="J63" s="5">
        <f t="shared" ref="J63:J71" si="47">IF(H$12=0,0,H63/H$12)</f>
        <v>0</v>
      </c>
      <c r="K63" s="1"/>
      <c r="L63" s="1">
        <f t="shared" ref="L63:L71" si="48">+D63-H63</f>
        <v>0</v>
      </c>
      <c r="M63" s="1"/>
      <c r="N63" s="5">
        <f t="shared" ref="N63:N71" si="49">IF(H63=0,0,L63/H63)</f>
        <v>0</v>
      </c>
      <c r="O63" s="13"/>
      <c r="P63" s="1">
        <f>SUM(OSRRefP22_10x_0)</f>
        <v>0</v>
      </c>
      <c r="Q63" s="1"/>
      <c r="R63" s="5">
        <f t="shared" ref="R63:R71" si="50">IF(P$12=0,0,P63/P$12)</f>
        <v>0</v>
      </c>
      <c r="S63" s="1"/>
      <c r="T63" s="1">
        <f>SUM(OSRRefT22_10x_0)</f>
        <v>0</v>
      </c>
      <c r="U63" s="1"/>
      <c r="V63" s="5">
        <f t="shared" ref="V63:V71" si="51">IF(T$12=0,0,T63/T$12)</f>
        <v>0</v>
      </c>
      <c r="W63" s="1"/>
      <c r="X63" s="1">
        <f t="shared" ref="X63:X71" si="52">+P63-T63</f>
        <v>0</v>
      </c>
      <c r="Y63" s="1"/>
      <c r="Z63" s="5">
        <f t="shared" ref="Z63:Z71" si="53">IF(T63=0,0,X63/T63)</f>
        <v>0</v>
      </c>
    </row>
    <row r="64" spans="1:26" s="24" customFormat="1" hidden="1" outlineLevel="2" x14ac:dyDescent="0.25">
      <c r="A64" s="25"/>
      <c r="B64" s="11" t="str">
        <f>CONCATENATE("          ", "6235", " - ", "COVID-19 EXPENSES")</f>
        <v xml:space="preserve">          6235 - COVID-19 EXPENSES</v>
      </c>
      <c r="C64" s="11"/>
      <c r="D64" s="7"/>
      <c r="E64" s="2"/>
      <c r="F64" s="6">
        <f t="shared" si="46"/>
        <v>0</v>
      </c>
      <c r="G64" s="2"/>
      <c r="H64" s="7">
        <v>0</v>
      </c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/>
      <c r="Q64" s="2"/>
      <c r="R64" s="6">
        <f t="shared" si="50"/>
        <v>0</v>
      </c>
      <c r="S64" s="2"/>
      <c r="T64" s="7">
        <v>0</v>
      </c>
      <c r="U64" s="2"/>
      <c r="V64" s="6">
        <f t="shared" si="51"/>
        <v>0</v>
      </c>
      <c r="W64" s="2"/>
      <c r="X64" s="7">
        <f t="shared" si="52"/>
        <v>0</v>
      </c>
      <c r="Y64" s="2"/>
      <c r="Z64" s="6">
        <f t="shared" si="53"/>
        <v>0</v>
      </c>
    </row>
    <row r="65" spans="1:26" s="24" customFormat="1" hidden="1" outlineLevel="2" x14ac:dyDescent="0.25">
      <c r="A65" s="25"/>
      <c r="B65" s="11" t="str">
        <f>CONCATENATE("          ", "6239", " - ", "KITCHEN SUPPLIES")</f>
        <v xml:space="preserve">          6239 - KITCHEN SUPPLIES</v>
      </c>
      <c r="C65" s="11"/>
      <c r="D65" s="7"/>
      <c r="E65" s="2"/>
      <c r="F65" s="6">
        <f t="shared" si="46"/>
        <v>0</v>
      </c>
      <c r="G65" s="2"/>
      <c r="H65" s="7"/>
      <c r="I65" s="2"/>
      <c r="J65" s="6">
        <f t="shared" si="47"/>
        <v>0</v>
      </c>
      <c r="K65" s="2"/>
      <c r="L65" s="7">
        <f t="shared" si="48"/>
        <v>0</v>
      </c>
      <c r="M65" s="2"/>
      <c r="N65" s="6">
        <f t="shared" si="49"/>
        <v>0</v>
      </c>
      <c r="O65" s="11"/>
      <c r="P65" s="7"/>
      <c r="Q65" s="2"/>
      <c r="R65" s="6">
        <f t="shared" si="50"/>
        <v>0</v>
      </c>
      <c r="S65" s="2"/>
      <c r="T65" s="7">
        <v>0</v>
      </c>
      <c r="U65" s="2"/>
      <c r="V65" s="6">
        <f t="shared" si="51"/>
        <v>0</v>
      </c>
      <c r="W65" s="2"/>
      <c r="X65" s="7">
        <f t="shared" si="52"/>
        <v>0</v>
      </c>
      <c r="Y65" s="2"/>
      <c r="Z65" s="6">
        <f t="shared" si="53"/>
        <v>0</v>
      </c>
    </row>
    <row r="66" spans="1:26" s="24" customFormat="1" hidden="1" outlineLevel="2" x14ac:dyDescent="0.25">
      <c r="A66" s="25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46"/>
        <v>0</v>
      </c>
      <c r="G66" s="2"/>
      <c r="H66" s="7"/>
      <c r="I66" s="2"/>
      <c r="J66" s="6">
        <f t="shared" si="47"/>
        <v>0</v>
      </c>
      <c r="K66" s="2"/>
      <c r="L66" s="7">
        <f t="shared" si="48"/>
        <v>0</v>
      </c>
      <c r="M66" s="2"/>
      <c r="N66" s="6">
        <f t="shared" si="49"/>
        <v>0</v>
      </c>
      <c r="O66" s="11"/>
      <c r="P66" s="7"/>
      <c r="Q66" s="2"/>
      <c r="R66" s="6">
        <f t="shared" si="50"/>
        <v>0</v>
      </c>
      <c r="S66" s="2"/>
      <c r="T66" s="7">
        <v>0</v>
      </c>
      <c r="U66" s="2"/>
      <c r="V66" s="6">
        <f t="shared" si="51"/>
        <v>0</v>
      </c>
      <c r="W66" s="2"/>
      <c r="X66" s="7">
        <f t="shared" si="52"/>
        <v>0</v>
      </c>
      <c r="Y66" s="2"/>
      <c r="Z66" s="6">
        <f t="shared" si="53"/>
        <v>0</v>
      </c>
    </row>
    <row r="67" spans="1:26" s="24" customFormat="1" hidden="1" outlineLevel="2" x14ac:dyDescent="0.25">
      <c r="A67" s="25"/>
      <c r="B67" s="11" t="str">
        <f>CONCATENATE("          ", "6243", " - ", "PAPER SUPPLIES")</f>
        <v xml:space="preserve">          6243 - PAPER SUPPLIES</v>
      </c>
      <c r="C67" s="11"/>
      <c r="D67" s="7"/>
      <c r="E67" s="2"/>
      <c r="F67" s="6">
        <f t="shared" si="46"/>
        <v>0</v>
      </c>
      <c r="G67" s="2"/>
      <c r="H67" s="7">
        <v>0</v>
      </c>
      <c r="I67" s="2"/>
      <c r="J67" s="6">
        <f t="shared" si="47"/>
        <v>0</v>
      </c>
      <c r="K67" s="2"/>
      <c r="L67" s="7">
        <f t="shared" si="48"/>
        <v>0</v>
      </c>
      <c r="M67" s="2"/>
      <c r="N67" s="6">
        <f t="shared" si="49"/>
        <v>0</v>
      </c>
      <c r="O67" s="11"/>
      <c r="P67" s="7"/>
      <c r="Q67" s="2"/>
      <c r="R67" s="6">
        <f t="shared" si="50"/>
        <v>0</v>
      </c>
      <c r="S67" s="2"/>
      <c r="T67" s="7">
        <v>0</v>
      </c>
      <c r="U67" s="2"/>
      <c r="V67" s="6">
        <f t="shared" si="51"/>
        <v>0</v>
      </c>
      <c r="W67" s="2"/>
      <c r="X67" s="7">
        <f t="shared" si="52"/>
        <v>0</v>
      </c>
      <c r="Y67" s="2"/>
      <c r="Z67" s="6">
        <f t="shared" si="53"/>
        <v>0</v>
      </c>
    </row>
    <row r="68" spans="1:26" s="24" customFormat="1" hidden="1" outlineLevel="2" x14ac:dyDescent="0.25">
      <c r="A68" s="25"/>
      <c r="B68" s="11" t="str">
        <f>CONCATENATE("          ", "6244", " - ", "SAFETY SUPPLY EXPENSE")</f>
        <v xml:space="preserve">          6244 - SAFETY SUPPLY EXPENSE</v>
      </c>
      <c r="C68" s="11"/>
      <c r="D68" s="7"/>
      <c r="E68" s="2"/>
      <c r="F68" s="6">
        <f t="shared" si="46"/>
        <v>0</v>
      </c>
      <c r="G68" s="2"/>
      <c r="H68" s="7"/>
      <c r="I68" s="2"/>
      <c r="J68" s="6">
        <f t="shared" si="47"/>
        <v>0</v>
      </c>
      <c r="K68" s="2"/>
      <c r="L68" s="7">
        <f t="shared" si="48"/>
        <v>0</v>
      </c>
      <c r="M68" s="2"/>
      <c r="N68" s="6">
        <f t="shared" si="49"/>
        <v>0</v>
      </c>
      <c r="O68" s="11"/>
      <c r="P68" s="7"/>
      <c r="Q68" s="2"/>
      <c r="R68" s="6">
        <f t="shared" si="50"/>
        <v>0</v>
      </c>
      <c r="S68" s="2"/>
      <c r="T68" s="7">
        <v>0</v>
      </c>
      <c r="U68" s="2"/>
      <c r="V68" s="6">
        <f t="shared" si="51"/>
        <v>0</v>
      </c>
      <c r="W68" s="2"/>
      <c r="X68" s="7">
        <f t="shared" si="52"/>
        <v>0</v>
      </c>
      <c r="Y68" s="2"/>
      <c r="Z68" s="6">
        <f t="shared" si="53"/>
        <v>0</v>
      </c>
    </row>
    <row r="69" spans="1:26" s="24" customFormat="1" hidden="1" outlineLevel="2" x14ac:dyDescent="0.25">
      <c r="A69" s="25"/>
      <c r="B69" s="11" t="str">
        <f>CONCATENATE("          ", "6245", " - ", "PRINTING")</f>
        <v xml:space="preserve">          6245 - PRINTING</v>
      </c>
      <c r="C69" s="11"/>
      <c r="D69" s="7"/>
      <c r="E69" s="2"/>
      <c r="F69" s="6">
        <f t="shared" si="46"/>
        <v>0</v>
      </c>
      <c r="G69" s="2"/>
      <c r="H69" s="7"/>
      <c r="I69" s="2"/>
      <c r="J69" s="6">
        <f t="shared" si="47"/>
        <v>0</v>
      </c>
      <c r="K69" s="2"/>
      <c r="L69" s="7">
        <f t="shared" si="48"/>
        <v>0</v>
      </c>
      <c r="M69" s="2"/>
      <c r="N69" s="6">
        <f t="shared" si="49"/>
        <v>0</v>
      </c>
      <c r="O69" s="11"/>
      <c r="P69" s="7"/>
      <c r="Q69" s="2"/>
      <c r="R69" s="6">
        <f t="shared" si="50"/>
        <v>0</v>
      </c>
      <c r="S69" s="2"/>
      <c r="T69" s="7">
        <v>0</v>
      </c>
      <c r="U69" s="2"/>
      <c r="V69" s="6">
        <f t="shared" si="51"/>
        <v>0</v>
      </c>
      <c r="W69" s="2"/>
      <c r="X69" s="7">
        <f t="shared" si="52"/>
        <v>0</v>
      </c>
      <c r="Y69" s="2"/>
      <c r="Z69" s="6">
        <f t="shared" si="53"/>
        <v>0</v>
      </c>
    </row>
    <row r="70" spans="1:26" s="24" customFormat="1" hidden="1" outlineLevel="2" x14ac:dyDescent="0.25">
      <c r="A70" s="25"/>
      <c r="B70" s="11" t="str">
        <f>CONCATENATE("          ", "6247", " - ", "STORE SUPPLIES")</f>
        <v xml:space="preserve">          6247 - STORE SUPPLIES</v>
      </c>
      <c r="C70" s="11"/>
      <c r="D70" s="7"/>
      <c r="E70" s="2"/>
      <c r="F70" s="6">
        <f t="shared" si="46"/>
        <v>0</v>
      </c>
      <c r="G70" s="2"/>
      <c r="H70" s="7"/>
      <c r="I70" s="2"/>
      <c r="J70" s="6">
        <f t="shared" si="47"/>
        <v>0</v>
      </c>
      <c r="K70" s="2"/>
      <c r="L70" s="7">
        <f t="shared" si="48"/>
        <v>0</v>
      </c>
      <c r="M70" s="2"/>
      <c r="N70" s="6">
        <f t="shared" si="49"/>
        <v>0</v>
      </c>
      <c r="O70" s="11"/>
      <c r="P70" s="7"/>
      <c r="Q70" s="2"/>
      <c r="R70" s="6">
        <f t="shared" si="50"/>
        <v>0</v>
      </c>
      <c r="S70" s="2"/>
      <c r="T70" s="7">
        <v>0</v>
      </c>
      <c r="U70" s="2"/>
      <c r="V70" s="6">
        <f t="shared" si="51"/>
        <v>0</v>
      </c>
      <c r="W70" s="2"/>
      <c r="X70" s="7">
        <f t="shared" si="52"/>
        <v>0</v>
      </c>
      <c r="Y70" s="2"/>
      <c r="Z70" s="6">
        <f t="shared" si="53"/>
        <v>0</v>
      </c>
    </row>
    <row r="71" spans="1:26" s="24" customFormat="1" hidden="1" outlineLevel="2" x14ac:dyDescent="0.25">
      <c r="A71" s="25"/>
      <c r="B71" s="11" t="str">
        <f>CONCATENATE("          ", "6248", " - ", "UNIFORMS")</f>
        <v xml:space="preserve">          6248 - UNIFORMS</v>
      </c>
      <c r="C71" s="11"/>
      <c r="D71" s="7"/>
      <c r="E71" s="2"/>
      <c r="F71" s="6">
        <f t="shared" si="46"/>
        <v>0</v>
      </c>
      <c r="G71" s="2"/>
      <c r="H71" s="7"/>
      <c r="I71" s="2"/>
      <c r="J71" s="6">
        <f t="shared" si="47"/>
        <v>0</v>
      </c>
      <c r="K71" s="2"/>
      <c r="L71" s="7">
        <f t="shared" si="48"/>
        <v>0</v>
      </c>
      <c r="M71" s="2"/>
      <c r="N71" s="6">
        <f t="shared" si="49"/>
        <v>0</v>
      </c>
      <c r="O71" s="11"/>
      <c r="P71" s="7"/>
      <c r="Q71" s="2"/>
      <c r="R71" s="6">
        <f t="shared" si="50"/>
        <v>0</v>
      </c>
      <c r="S71" s="2"/>
      <c r="T71" s="7">
        <v>0</v>
      </c>
      <c r="U71" s="2"/>
      <c r="V71" s="6">
        <f t="shared" si="51"/>
        <v>0</v>
      </c>
      <c r="W71" s="2"/>
      <c r="X71" s="7">
        <f t="shared" si="52"/>
        <v>0</v>
      </c>
      <c r="Y71" s="2"/>
      <c r="Z71" s="6">
        <f t="shared" si="53"/>
        <v>0</v>
      </c>
    </row>
    <row r="72" spans="1:26" s="27" customFormat="1" outlineLevel="1" collapsed="1" x14ac:dyDescent="0.25">
      <c r="A72" s="26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SUM(OSRRefD22_11x_0)</f>
        <v>0</v>
      </c>
      <c r="E72" s="1"/>
      <c r="F72" s="5">
        <f t="shared" ref="F72:F74" si="54">IF(D$12=0,0,D72/D$12)</f>
        <v>0</v>
      </c>
      <c r="G72" s="1"/>
      <c r="H72" s="1">
        <f>SUM(OSRRefH22_11x_0)</f>
        <v>0</v>
      </c>
      <c r="I72" s="1"/>
      <c r="J72" s="5">
        <f t="shared" ref="J72:J74" si="55">IF(H$12=0,0,H72/H$12)</f>
        <v>0</v>
      </c>
      <c r="K72" s="1"/>
      <c r="L72" s="1">
        <f t="shared" ref="L72:L74" si="56">+D72-H72</f>
        <v>0</v>
      </c>
      <c r="M72" s="1"/>
      <c r="N72" s="5">
        <f t="shared" ref="N72:N74" si="57">IF(H72=0,0,L72/H72)</f>
        <v>0</v>
      </c>
      <c r="O72" s="13"/>
      <c r="P72" s="1">
        <f>SUM(OSRRefP22_11x_0)</f>
        <v>49.7</v>
      </c>
      <c r="Q72" s="1"/>
      <c r="R72" s="5">
        <f t="shared" ref="R72:R74" si="58">IF(P$12=0,0,P72/P$12)</f>
        <v>0</v>
      </c>
      <c r="S72" s="1"/>
      <c r="T72" s="1">
        <f>SUM(OSRRefT22_11x_0)</f>
        <v>0</v>
      </c>
      <c r="U72" s="1"/>
      <c r="V72" s="5">
        <f t="shared" ref="V72:V74" si="59">IF(T$12=0,0,T72/T$12)</f>
        <v>0</v>
      </c>
      <c r="W72" s="1"/>
      <c r="X72" s="1">
        <f t="shared" ref="X72:X74" si="60">+P72-T72</f>
        <v>49.7</v>
      </c>
      <c r="Y72" s="1"/>
      <c r="Z72" s="5">
        <f t="shared" ref="Z72:Z74" si="61">IF(T72=0,0,X72/T72)</f>
        <v>0</v>
      </c>
    </row>
    <row r="73" spans="1:26" s="24" customFormat="1" hidden="1" outlineLevel="2" x14ac:dyDescent="0.25">
      <c r="A73" s="25"/>
      <c r="B73" s="11" t="str">
        <f>CONCATENATE("          ", "6303", " - ", "DATA PHONE LINES")</f>
        <v xml:space="preserve">          6303 - DATA PHONE LINES</v>
      </c>
      <c r="C73" s="11"/>
      <c r="D73" s="7"/>
      <c r="E73" s="2"/>
      <c r="F73" s="6">
        <f t="shared" si="54"/>
        <v>0</v>
      </c>
      <c r="G73" s="2"/>
      <c r="H73" s="7">
        <v>0</v>
      </c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/>
      <c r="Q73" s="2"/>
      <c r="R73" s="6">
        <f t="shared" si="58"/>
        <v>0</v>
      </c>
      <c r="S73" s="2"/>
      <c r="T73" s="7">
        <v>0</v>
      </c>
      <c r="U73" s="2"/>
      <c r="V73" s="6">
        <f t="shared" si="59"/>
        <v>0</v>
      </c>
      <c r="W73" s="2"/>
      <c r="X73" s="7">
        <f t="shared" si="60"/>
        <v>0</v>
      </c>
      <c r="Y73" s="2"/>
      <c r="Z73" s="6">
        <f t="shared" si="61"/>
        <v>0</v>
      </c>
    </row>
    <row r="74" spans="1:26" s="24" customFormat="1" hidden="1" outlineLevel="2" x14ac:dyDescent="0.25">
      <c r="A74" s="25"/>
      <c r="B74" s="11" t="str">
        <f>CONCATENATE("          ", "6309", " - ", "TELEPHONE")</f>
        <v xml:space="preserve">          6309 - TELEPHONE</v>
      </c>
      <c r="C74" s="11"/>
      <c r="D74" s="7"/>
      <c r="E74" s="2"/>
      <c r="F74" s="6">
        <f t="shared" si="54"/>
        <v>0</v>
      </c>
      <c r="G74" s="2"/>
      <c r="H74" s="7">
        <v>0</v>
      </c>
      <c r="I74" s="2"/>
      <c r="J74" s="6">
        <f t="shared" si="55"/>
        <v>0</v>
      </c>
      <c r="K74" s="2"/>
      <c r="L74" s="7">
        <f t="shared" si="56"/>
        <v>0</v>
      </c>
      <c r="M74" s="2"/>
      <c r="N74" s="6">
        <f t="shared" si="57"/>
        <v>0</v>
      </c>
      <c r="O74" s="11"/>
      <c r="P74" s="7">
        <v>49.7</v>
      </c>
      <c r="Q74" s="2"/>
      <c r="R74" s="6">
        <f t="shared" si="58"/>
        <v>0</v>
      </c>
      <c r="S74" s="2"/>
      <c r="T74" s="7">
        <v>0</v>
      </c>
      <c r="U74" s="2"/>
      <c r="V74" s="6">
        <f t="shared" si="59"/>
        <v>0</v>
      </c>
      <c r="W74" s="2"/>
      <c r="X74" s="7">
        <f t="shared" si="60"/>
        <v>49.7</v>
      </c>
      <c r="Y74" s="2"/>
      <c r="Z74" s="6">
        <f t="shared" si="61"/>
        <v>0</v>
      </c>
    </row>
    <row r="75" spans="1:26" s="27" customFormat="1" outlineLevel="1" collapsed="1" x14ac:dyDescent="0.25">
      <c r="A75" s="26"/>
      <c r="B75" s="13" t="str">
        <f>CONCATENATE("     ","Travel                                            ")</f>
        <v xml:space="preserve">     Travel                                            </v>
      </c>
      <c r="C75" s="13"/>
      <c r="D75" s="1">
        <f>SUM(OSRRefD22_12x_0)</f>
        <v>0</v>
      </c>
      <c r="E75" s="1"/>
      <c r="F75" s="5">
        <f t="shared" ref="F75:F76" si="62">IF(D$12=0,0,D75/D$12)</f>
        <v>0</v>
      </c>
      <c r="G75" s="1"/>
      <c r="H75" s="1">
        <f>SUM(OSRRefH22_12x_0)</f>
        <v>0</v>
      </c>
      <c r="I75" s="1"/>
      <c r="J75" s="5">
        <f t="shared" ref="J75:J76" si="63">IF(H$12=0,0,H75/H$12)</f>
        <v>0</v>
      </c>
      <c r="K75" s="1"/>
      <c r="L75" s="1">
        <f t="shared" ref="L75:L76" si="64">+D75-H75</f>
        <v>0</v>
      </c>
      <c r="M75" s="1"/>
      <c r="N75" s="5">
        <f t="shared" ref="N75:N76" si="65">IF(H75=0,0,L75/H75)</f>
        <v>0</v>
      </c>
      <c r="O75" s="13"/>
      <c r="P75" s="1">
        <f>SUM(OSRRefP22_12x_0)</f>
        <v>0</v>
      </c>
      <c r="Q75" s="1"/>
      <c r="R75" s="5">
        <f t="shared" ref="R75:R76" si="66">IF(P$12=0,0,P75/P$12)</f>
        <v>0</v>
      </c>
      <c r="S75" s="1"/>
      <c r="T75" s="1">
        <f>SUM(OSRRefT22_12x_0)</f>
        <v>0</v>
      </c>
      <c r="U75" s="1"/>
      <c r="V75" s="5">
        <f t="shared" ref="V75:V76" si="67">IF(T$12=0,0,T75/T$12)</f>
        <v>0</v>
      </c>
      <c r="W75" s="1"/>
      <c r="X75" s="1">
        <f t="shared" ref="X75:X76" si="68">+P75-T75</f>
        <v>0</v>
      </c>
      <c r="Y75" s="1"/>
      <c r="Z75" s="5">
        <f t="shared" ref="Z75:Z76" si="69">IF(T75=0,0,X75/T75)</f>
        <v>0</v>
      </c>
    </row>
    <row r="76" spans="1:26" s="24" customFormat="1" hidden="1" outlineLevel="2" x14ac:dyDescent="0.25">
      <c r="A76" s="25"/>
      <c r="B76" s="11" t="str">
        <f>CONCATENATE("          ", "6292", " - ", "TRAVEL/CONFERENCE")</f>
        <v xml:space="preserve">          6292 - TRAVEL/CONFERENCE</v>
      </c>
      <c r="C76" s="11"/>
      <c r="D76" s="7"/>
      <c r="E76" s="2"/>
      <c r="F76" s="6">
        <f t="shared" si="62"/>
        <v>0</v>
      </c>
      <c r="G76" s="2"/>
      <c r="H76" s="7"/>
      <c r="I76" s="2"/>
      <c r="J76" s="6">
        <f t="shared" si="63"/>
        <v>0</v>
      </c>
      <c r="K76" s="2"/>
      <c r="L76" s="7">
        <f t="shared" si="64"/>
        <v>0</v>
      </c>
      <c r="M76" s="2"/>
      <c r="N76" s="6">
        <f t="shared" si="65"/>
        <v>0</v>
      </c>
      <c r="O76" s="11"/>
      <c r="P76" s="7"/>
      <c r="Q76" s="2"/>
      <c r="R76" s="6">
        <f t="shared" si="66"/>
        <v>0</v>
      </c>
      <c r="S76" s="2"/>
      <c r="T76" s="7">
        <v>0</v>
      </c>
      <c r="U76" s="2"/>
      <c r="V76" s="6">
        <f t="shared" si="67"/>
        <v>0</v>
      </c>
      <c r="W76" s="2"/>
      <c r="X76" s="7">
        <f t="shared" si="68"/>
        <v>0</v>
      </c>
      <c r="Y76" s="2"/>
      <c r="Z76" s="6">
        <f t="shared" si="69"/>
        <v>0</v>
      </c>
    </row>
    <row r="77" spans="1:26" s="56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9" t="s">
        <v>293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277</v>
      </c>
      <c r="C80" s="28"/>
      <c r="D80" s="20">
        <f>+D19-D21+D78</f>
        <v>-58.03</v>
      </c>
      <c r="E80" s="14"/>
      <c r="F80" s="21">
        <f>IF(D$12=0,0,D80/D$12)</f>
        <v>0</v>
      </c>
      <c r="G80" s="14"/>
      <c r="H80" s="20">
        <f>+H19-H21+H78</f>
        <v>-630</v>
      </c>
      <c r="I80" s="14"/>
      <c r="J80" s="21">
        <f>IF(H$12=0,0,H80/H$12)</f>
        <v>0</v>
      </c>
      <c r="K80" s="15"/>
      <c r="L80" s="20">
        <f>+D80-H80</f>
        <v>571.97</v>
      </c>
      <c r="M80" s="15"/>
      <c r="N80" s="21">
        <f>IF(H80=0,0,L80/H80)</f>
        <v>-0.90788888888888897</v>
      </c>
      <c r="O80" s="29"/>
      <c r="P80" s="20">
        <f>+P19-P21+P78</f>
        <v>-5303.41</v>
      </c>
      <c r="Q80" s="14"/>
      <c r="R80" s="21">
        <f>IF(P$12=0,0,P80/P$12)</f>
        <v>0</v>
      </c>
      <c r="S80" s="14"/>
      <c r="T80" s="20">
        <f>+T19-T21+T78</f>
        <v>-6930</v>
      </c>
      <c r="U80" s="14"/>
      <c r="V80" s="21">
        <f>IF(T$12=0,0,T80/T$12)</f>
        <v>0</v>
      </c>
      <c r="W80" s="15"/>
      <c r="X80" s="20">
        <f>+P80-T80</f>
        <v>1626.5900000000001</v>
      </c>
      <c r="Y80" s="15"/>
      <c r="Z80" s="21">
        <f>IF(T80=0,0,X80/T80)</f>
        <v>-0.23471717171717174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128</v>
      </c>
      <c r="C82" s="10"/>
      <c r="D82" s="4"/>
      <c r="E82" s="4"/>
      <c r="F82" s="12">
        <f>IF(D$12=0,0,D82/D$12)</f>
        <v>0</v>
      </c>
      <c r="G82" s="4"/>
      <c r="H82" s="4"/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/>
      <c r="Q82" s="4"/>
      <c r="R82" s="12">
        <f>IF(P$12=0,0,P82/P$12)</f>
        <v>0</v>
      </c>
      <c r="S82" s="4"/>
      <c r="T82" s="4"/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126</v>
      </c>
      <c r="C84" s="28"/>
      <c r="D84" s="35">
        <f>+D80-D82</f>
        <v>-58.03</v>
      </c>
      <c r="E84" s="14"/>
      <c r="F84" s="34">
        <f>IF(D$12=0,0,D84/D$12)</f>
        <v>0</v>
      </c>
      <c r="G84" s="14"/>
      <c r="H84" s="35">
        <f>+H80-H82</f>
        <v>-630</v>
      </c>
      <c r="I84" s="14"/>
      <c r="J84" s="34">
        <f>IF(H$12=0,0,H84/H$12)</f>
        <v>0</v>
      </c>
      <c r="K84" s="15"/>
      <c r="L84" s="35">
        <f>D84-H84</f>
        <v>571.97</v>
      </c>
      <c r="M84" s="15"/>
      <c r="N84" s="34">
        <f>IF(H84=0,0,L84/H84)</f>
        <v>-0.90788888888888897</v>
      </c>
      <c r="O84" s="29"/>
      <c r="P84" s="35">
        <f>+P80-P82</f>
        <v>-5303.41</v>
      </c>
      <c r="Q84" s="14"/>
      <c r="R84" s="34">
        <f>IF(P$12=0,0,P84/P$12)</f>
        <v>0</v>
      </c>
      <c r="S84" s="14"/>
      <c r="T84" s="35">
        <f>+T80-T82</f>
        <v>-6930</v>
      </c>
      <c r="U84" s="14"/>
      <c r="V84" s="34">
        <f>IF(T$12=0,0,T84/T$12)</f>
        <v>0</v>
      </c>
      <c r="W84" s="15"/>
      <c r="X84" s="35">
        <f>P84-T84</f>
        <v>1626.5900000000001</v>
      </c>
      <c r="Y84" s="15"/>
      <c r="Z84" s="34">
        <f>IF(T84=0,0,X84/T84)</f>
        <v>-0.23471717171717174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294</v>
      </c>
      <c r="C87" s="28"/>
      <c r="D87" s="33">
        <f>SUM(D84:D86)</f>
        <v>-58.03</v>
      </c>
      <c r="E87" s="14"/>
      <c r="F87" s="32">
        <f>IF(D$12=0,0,D87/D$12)</f>
        <v>0</v>
      </c>
      <c r="G87" s="14"/>
      <c r="H87" s="33">
        <f>SUM(H84:H86)</f>
        <v>-630</v>
      </c>
      <c r="I87" s="14"/>
      <c r="J87" s="32">
        <f>IF(H$12=0,0,H87/H$12)</f>
        <v>0</v>
      </c>
      <c r="K87" s="15"/>
      <c r="L87" s="33">
        <f>+D87-H87</f>
        <v>571.97</v>
      </c>
      <c r="M87" s="15"/>
      <c r="N87" s="32">
        <f>IF(H87=0,0,L87/H87)</f>
        <v>-0.90788888888888897</v>
      </c>
      <c r="O87" s="29"/>
      <c r="P87" s="33">
        <f>SUM(P84:P86)</f>
        <v>-5303.41</v>
      </c>
      <c r="Q87" s="14"/>
      <c r="R87" s="32">
        <f>IF(P$12=0,0,P87/P$12)</f>
        <v>0</v>
      </c>
      <c r="S87" s="14"/>
      <c r="T87" s="33">
        <f>SUM(T84:T86)</f>
        <v>-6930</v>
      </c>
      <c r="U87" s="14"/>
      <c r="V87" s="32">
        <f>IF(T$12=0,0,T87/T$12)</f>
        <v>0</v>
      </c>
      <c r="W87" s="15"/>
      <c r="X87" s="33">
        <f>+P87-T87</f>
        <v>1626.5900000000001</v>
      </c>
      <c r="Y87" s="15"/>
      <c r="Z87" s="32">
        <f>IF(T87=0,0,X87/T87)</f>
        <v>-0.23471717171717174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60">
        <v>44356.891834571761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5" t="s">
        <v>56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63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","414", " - ", "Starbucks UDP")</f>
        <v>Department 414 - Starbucks UDP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974.91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974.91</v>
      </c>
      <c r="Y12" s="4"/>
      <c r="Z12" s="12">
        <f t="shared" ref="Z12:Z15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"4058", " - ", "TAXABLE SALES-FOOD")</f>
        <v xml:space="preserve">          4058 -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--974.91</f>
        <v>974.91</v>
      </c>
      <c r="Q14" s="2"/>
      <c r="R14" s="19"/>
      <c r="S14" s="2"/>
      <c r="T14" s="2"/>
      <c r="U14" s="2"/>
      <c r="V14" s="19"/>
      <c r="W14" s="2"/>
      <c r="X14" s="2">
        <f t="shared" si="2"/>
        <v>974.91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257</v>
      </c>
      <c r="C17" s="10"/>
      <c r="D17" s="4">
        <f>SUM(OSRRefD16x_0)</f>
        <v>0</v>
      </c>
      <c r="E17" s="4"/>
      <c r="F17" s="12">
        <f t="shared" ref="F17:F19" si="5">IF(D$12=0,0,D17/D$12)</f>
        <v>0</v>
      </c>
      <c r="G17" s="4"/>
      <c r="H17" s="4">
        <f>SUM(OSRRefH16x_0)</f>
        <v>0</v>
      </c>
      <c r="I17" s="4"/>
      <c r="J17" s="12">
        <f t="shared" ref="J17:J19" si="6">IF(H$12=0,0,H17/H$12)</f>
        <v>0</v>
      </c>
      <c r="K17" s="4"/>
      <c r="L17" s="4">
        <f t="shared" ref="L17:L19" si="7">+D17-H17</f>
        <v>0</v>
      </c>
      <c r="M17" s="4"/>
      <c r="N17" s="12">
        <f t="shared" ref="N17:N19" si="8">IF(H17=0,0,L17/H17)</f>
        <v>0</v>
      </c>
      <c r="O17" s="10"/>
      <c r="P17" s="4">
        <f>SUM(OSRRefP16x_0)</f>
        <v>-2369.56</v>
      </c>
      <c r="Q17" s="4"/>
      <c r="R17" s="12">
        <f t="shared" ref="R17:R19" si="9">IF(P$12=0,0,P17/P$12)</f>
        <v>-2.4305423064693152</v>
      </c>
      <c r="S17" s="4"/>
      <c r="T17" s="4">
        <f>SUM(OSRRefT16x_0)</f>
        <v>0</v>
      </c>
      <c r="U17" s="4"/>
      <c r="V17" s="12">
        <f t="shared" ref="V17:V19" si="10">IF(T$12=0,0,T17/T$12)</f>
        <v>0</v>
      </c>
      <c r="W17" s="4"/>
      <c r="X17" s="4">
        <f t="shared" ref="X17:X19" si="11">+P17-T17</f>
        <v>-2369.56</v>
      </c>
      <c r="Y17" s="4"/>
      <c r="Z17" s="12">
        <f t="shared" ref="Z17:Z19" si="12">IF(T17=0,0,X17/T17)</f>
        <v>0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0</v>
      </c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/>
      <c r="Q18" s="2"/>
      <c r="R18" s="19">
        <f t="shared" si="9"/>
        <v>0</v>
      </c>
      <c r="S18" s="2"/>
      <c r="T18" s="2">
        <v>0</v>
      </c>
      <c r="U18" s="2"/>
      <c r="V18" s="19">
        <f t="shared" si="10"/>
        <v>0</v>
      </c>
      <c r="W18" s="2"/>
      <c r="X18" s="2">
        <f t="shared" si="11"/>
        <v>0</v>
      </c>
      <c r="Y18" s="2"/>
      <c r="Z18" s="19">
        <f t="shared" si="12"/>
        <v>0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-2369.56</v>
      </c>
      <c r="Q19" s="2"/>
      <c r="R19" s="19">
        <f t="shared" si="9"/>
        <v>-2.4305423064693152</v>
      </c>
      <c r="S19" s="2"/>
      <c r="T19" s="2"/>
      <c r="U19" s="2"/>
      <c r="V19" s="19">
        <f t="shared" si="10"/>
        <v>0</v>
      </c>
      <c r="W19" s="2"/>
      <c r="X19" s="2">
        <f t="shared" si="11"/>
        <v>-2369.56</v>
      </c>
      <c r="Y19" s="2"/>
      <c r="Z19" s="19">
        <f t="shared" si="12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108</v>
      </c>
      <c r="C21" s="28"/>
      <c r="D21" s="20">
        <f>D12-D17</f>
        <v>0</v>
      </c>
      <c r="E21" s="14"/>
      <c r="F21" s="21">
        <f>IF(D$12=0,0,D21/D$12)</f>
        <v>0</v>
      </c>
      <c r="G21" s="14"/>
      <c r="H21" s="20">
        <f>H12-H17</f>
        <v>0</v>
      </c>
      <c r="I21" s="14"/>
      <c r="J21" s="21">
        <f>IF(H$12=0,0,H21/H$12)</f>
        <v>0</v>
      </c>
      <c r="K21" s="15"/>
      <c r="L21" s="20">
        <f>+D21-H21</f>
        <v>0</v>
      </c>
      <c r="M21" s="15"/>
      <c r="N21" s="21">
        <f>IF(H21=0,0,L21/H21)</f>
        <v>0</v>
      </c>
      <c r="O21" s="29"/>
      <c r="P21" s="20">
        <f>P12-P17</f>
        <v>3344.47</v>
      </c>
      <c r="Q21" s="14"/>
      <c r="R21" s="21">
        <f>IF(P$12=0,0,P21/P$12)</f>
        <v>3.4305423064693152</v>
      </c>
      <c r="S21" s="14"/>
      <c r="T21" s="20">
        <f>T12-T17</f>
        <v>0</v>
      </c>
      <c r="U21" s="14"/>
      <c r="V21" s="21">
        <f>IF(T$12=0,0,T21/T$12)</f>
        <v>0</v>
      </c>
      <c r="W21" s="15"/>
      <c r="X21" s="20">
        <f>+P21-T21</f>
        <v>3344.47</v>
      </c>
      <c r="Y21" s="15"/>
      <c r="Z21" s="21">
        <f>IF(T21=0,0,X21/T21)</f>
        <v>0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295</v>
      </c>
      <c r="C23" s="10"/>
      <c r="D23" s="22">
        <f>SUM(OSRRefD22x_0)</f>
        <v>1825.23</v>
      </c>
      <c r="E23" s="22"/>
      <c r="F23" s="31">
        <f t="shared" ref="F23:F33" si="13">IF(D$12=0,0,D23/D$12)</f>
        <v>0</v>
      </c>
      <c r="G23" s="22"/>
      <c r="H23" s="22">
        <f>SUM(OSRRefH22x_0)</f>
        <v>1972</v>
      </c>
      <c r="I23" s="22"/>
      <c r="J23" s="31">
        <f t="shared" ref="J23:J33" si="14">IF(H$12=0,0,H23/H$12)</f>
        <v>0</v>
      </c>
      <c r="K23" s="4"/>
      <c r="L23" s="22">
        <f t="shared" ref="L23:L33" si="15">+D23-H23</f>
        <v>-146.76999999999998</v>
      </c>
      <c r="M23" s="4"/>
      <c r="N23" s="31">
        <f t="shared" ref="N23:N33" si="16">IF(H23=0,0,L23/H23)</f>
        <v>-7.4426977687626766E-2</v>
      </c>
      <c r="O23" s="10"/>
      <c r="P23" s="22">
        <f>SUM(OSRRefP22x_0)</f>
        <v>21742.579999999998</v>
      </c>
      <c r="Q23" s="22"/>
      <c r="R23" s="31">
        <f t="shared" ref="R23:R33" si="17">IF(P$12=0,0,P23/P$12)</f>
        <v>22.302140710424549</v>
      </c>
      <c r="S23" s="22"/>
      <c r="T23" s="22">
        <f>SUM(OSRRefT22x_0)</f>
        <v>21692</v>
      </c>
      <c r="U23" s="22"/>
      <c r="V23" s="31">
        <f t="shared" ref="V23:V33" si="18">IF(T$12=0,0,T23/T$12)</f>
        <v>0</v>
      </c>
      <c r="W23" s="4"/>
      <c r="X23" s="22">
        <f t="shared" ref="X23:X33" si="19">+P23-T23</f>
        <v>50.579999999998108</v>
      </c>
      <c r="Y23" s="4"/>
      <c r="Z23" s="31">
        <f t="shared" ref="Z23:Z33" si="20">IF(T23=0,0,X23/T23)</f>
        <v>2.3317352019176707E-3</v>
      </c>
    </row>
    <row r="24" spans="1:26" s="27" customFormat="1" outlineLevel="1" collapsed="1" x14ac:dyDescent="0.25">
      <c r="A24" s="26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3"/>
        <v>0</v>
      </c>
      <c r="G24" s="1"/>
      <c r="H24" s="1">
        <f>SUM(OSRRefH22_0x_0)</f>
        <v>0</v>
      </c>
      <c r="I24" s="1"/>
      <c r="J24" s="5">
        <f t="shared" si="14"/>
        <v>0</v>
      </c>
      <c r="K24" s="1"/>
      <c r="L24" s="1">
        <f t="shared" si="15"/>
        <v>0</v>
      </c>
      <c r="M24" s="1"/>
      <c r="N24" s="5">
        <f t="shared" si="16"/>
        <v>0</v>
      </c>
      <c r="O24" s="13"/>
      <c r="P24" s="1">
        <f>SUM(OSRRefP22_0x_0)</f>
        <v>702.51</v>
      </c>
      <c r="Q24" s="1"/>
      <c r="R24" s="5">
        <f t="shared" si="17"/>
        <v>0.72058959288549718</v>
      </c>
      <c r="S24" s="1"/>
      <c r="T24" s="1">
        <f>SUM(OSRRefT22_0x_0)</f>
        <v>0</v>
      </c>
      <c r="U24" s="1"/>
      <c r="V24" s="5">
        <f t="shared" si="18"/>
        <v>0</v>
      </c>
      <c r="W24" s="1"/>
      <c r="X24" s="1">
        <f t="shared" si="19"/>
        <v>702.51</v>
      </c>
      <c r="Y24" s="1"/>
      <c r="Z24" s="5">
        <f t="shared" si="20"/>
        <v>0</v>
      </c>
    </row>
    <row r="25" spans="1:26" s="24" customFormat="1" hidden="1" outlineLevel="2" x14ac:dyDescent="0.25">
      <c r="A25" s="25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3"/>
        <v>0</v>
      </c>
      <c r="G25" s="2"/>
      <c r="H25" s="7">
        <v>0</v>
      </c>
      <c r="I25" s="2"/>
      <c r="J25" s="6">
        <f t="shared" si="14"/>
        <v>0</v>
      </c>
      <c r="K25" s="2"/>
      <c r="L25" s="7">
        <f t="shared" si="15"/>
        <v>0</v>
      </c>
      <c r="M25" s="2"/>
      <c r="N25" s="6">
        <f t="shared" si="16"/>
        <v>0</v>
      </c>
      <c r="O25" s="11"/>
      <c r="P25" s="7"/>
      <c r="Q25" s="2"/>
      <c r="R25" s="6">
        <f t="shared" si="17"/>
        <v>0</v>
      </c>
      <c r="S25" s="2"/>
      <c r="T25" s="7">
        <v>0</v>
      </c>
      <c r="U25" s="2"/>
      <c r="V25" s="6">
        <f t="shared" si="18"/>
        <v>0</v>
      </c>
      <c r="W25" s="2"/>
      <c r="X25" s="7">
        <f t="shared" si="19"/>
        <v>0</v>
      </c>
      <c r="Y25" s="2"/>
      <c r="Z25" s="6">
        <f t="shared" si="20"/>
        <v>0</v>
      </c>
    </row>
    <row r="26" spans="1:26" s="24" customFormat="1" hidden="1" outlineLevel="2" x14ac:dyDescent="0.25">
      <c r="A26" s="25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3"/>
        <v>0</v>
      </c>
      <c r="G26" s="2"/>
      <c r="H26" s="7">
        <v>0</v>
      </c>
      <c r="I26" s="2"/>
      <c r="J26" s="6">
        <f t="shared" si="14"/>
        <v>0</v>
      </c>
      <c r="K26" s="2"/>
      <c r="L26" s="7">
        <f t="shared" si="15"/>
        <v>0</v>
      </c>
      <c r="M26" s="2"/>
      <c r="N26" s="6">
        <f t="shared" si="16"/>
        <v>0</v>
      </c>
      <c r="O26" s="11"/>
      <c r="P26" s="7"/>
      <c r="Q26" s="2"/>
      <c r="R26" s="6">
        <f t="shared" si="17"/>
        <v>0</v>
      </c>
      <c r="S26" s="2"/>
      <c r="T26" s="7">
        <v>0</v>
      </c>
      <c r="U26" s="2"/>
      <c r="V26" s="6">
        <f t="shared" si="18"/>
        <v>0</v>
      </c>
      <c r="W26" s="2"/>
      <c r="X26" s="7">
        <f t="shared" si="19"/>
        <v>0</v>
      </c>
      <c r="Y26" s="2"/>
      <c r="Z26" s="6">
        <f t="shared" si="20"/>
        <v>0</v>
      </c>
    </row>
    <row r="27" spans="1:26" s="24" customFormat="1" hidden="1" outlineLevel="2" x14ac:dyDescent="0.25">
      <c r="A27" s="25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3"/>
        <v>0</v>
      </c>
      <c r="G27" s="2"/>
      <c r="H27" s="7">
        <v>0</v>
      </c>
      <c r="I27" s="2"/>
      <c r="J27" s="6">
        <f t="shared" si="14"/>
        <v>0</v>
      </c>
      <c r="K27" s="2"/>
      <c r="L27" s="7">
        <f t="shared" si="15"/>
        <v>0</v>
      </c>
      <c r="M27" s="2"/>
      <c r="N27" s="6">
        <f t="shared" si="16"/>
        <v>0</v>
      </c>
      <c r="O27" s="11"/>
      <c r="P27" s="7">
        <v>702.51</v>
      </c>
      <c r="Q27" s="2"/>
      <c r="R27" s="6">
        <f t="shared" si="17"/>
        <v>0.72058959288549718</v>
      </c>
      <c r="S27" s="2"/>
      <c r="T27" s="7">
        <v>0</v>
      </c>
      <c r="U27" s="2"/>
      <c r="V27" s="6">
        <f t="shared" si="18"/>
        <v>0</v>
      </c>
      <c r="W27" s="2"/>
      <c r="X27" s="7">
        <f t="shared" si="19"/>
        <v>702.51</v>
      </c>
      <c r="Y27" s="2"/>
      <c r="Z27" s="6">
        <f t="shared" si="20"/>
        <v>0</v>
      </c>
    </row>
    <row r="28" spans="1:26" s="24" customFormat="1" hidden="1" outlineLevel="2" x14ac:dyDescent="0.25">
      <c r="A28" s="25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3"/>
        <v>0</v>
      </c>
      <c r="G28" s="2"/>
      <c r="H28" s="7">
        <v>0</v>
      </c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/>
      <c r="Q28" s="2"/>
      <c r="R28" s="6">
        <f t="shared" si="17"/>
        <v>0</v>
      </c>
      <c r="S28" s="2"/>
      <c r="T28" s="7">
        <v>0</v>
      </c>
      <c r="U28" s="2"/>
      <c r="V28" s="6">
        <f t="shared" si="18"/>
        <v>0</v>
      </c>
      <c r="W28" s="2"/>
      <c r="X28" s="7">
        <f t="shared" si="19"/>
        <v>0</v>
      </c>
      <c r="Y28" s="2"/>
      <c r="Z28" s="6">
        <f t="shared" si="20"/>
        <v>0</v>
      </c>
    </row>
    <row r="29" spans="1:26" s="24" customFormat="1" hidden="1" outlineLevel="2" x14ac:dyDescent="0.25">
      <c r="A29" s="25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3"/>
        <v>0</v>
      </c>
      <c r="G29" s="2"/>
      <c r="H29" s="7">
        <v>0</v>
      </c>
      <c r="I29" s="2"/>
      <c r="J29" s="6">
        <f t="shared" si="14"/>
        <v>0</v>
      </c>
      <c r="K29" s="2"/>
      <c r="L29" s="7">
        <f t="shared" si="15"/>
        <v>0</v>
      </c>
      <c r="M29" s="2"/>
      <c r="N29" s="6">
        <f t="shared" si="16"/>
        <v>0</v>
      </c>
      <c r="O29" s="11"/>
      <c r="P29" s="7"/>
      <c r="Q29" s="2"/>
      <c r="R29" s="6">
        <f t="shared" si="17"/>
        <v>0</v>
      </c>
      <c r="S29" s="2"/>
      <c r="T29" s="7">
        <v>0</v>
      </c>
      <c r="U29" s="2"/>
      <c r="V29" s="6">
        <f t="shared" si="18"/>
        <v>0</v>
      </c>
      <c r="W29" s="2"/>
      <c r="X29" s="7">
        <f t="shared" si="19"/>
        <v>0</v>
      </c>
      <c r="Y29" s="2"/>
      <c r="Z29" s="6">
        <f t="shared" si="20"/>
        <v>0</v>
      </c>
    </row>
    <row r="30" spans="1:26" s="24" customFormat="1" hidden="1" outlineLevel="2" x14ac:dyDescent="0.25">
      <c r="A30" s="25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3"/>
        <v>0</v>
      </c>
      <c r="G30" s="2"/>
      <c r="H30" s="7">
        <v>0</v>
      </c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/>
      <c r="Q30" s="2"/>
      <c r="R30" s="6">
        <f t="shared" si="17"/>
        <v>0</v>
      </c>
      <c r="S30" s="2"/>
      <c r="T30" s="7">
        <v>0</v>
      </c>
      <c r="U30" s="2"/>
      <c r="V30" s="6">
        <f t="shared" si="18"/>
        <v>0</v>
      </c>
      <c r="W30" s="2"/>
      <c r="X30" s="7">
        <f t="shared" si="19"/>
        <v>0</v>
      </c>
      <c r="Y30" s="2"/>
      <c r="Z30" s="6">
        <f t="shared" si="20"/>
        <v>0</v>
      </c>
    </row>
    <row r="31" spans="1:26" s="24" customFormat="1" hidden="1" outlineLevel="2" x14ac:dyDescent="0.25">
      <c r="A31" s="25"/>
      <c r="B31" s="11" t="str">
        <f>CONCATENATE("          ", "6118", " - ", "VACATION")</f>
        <v xml:space="preserve">          6118 - VACATION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5"/>
      <c r="B32" s="11" t="str">
        <f>CONCATENATE("          ", "6119", " - ", "SICK LEAVE")</f>
        <v xml:space="preserve">          6119 - SICK LEAVE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5"/>
      <c r="B33" s="11" t="str">
        <f>CONCATENATE("          ", "6156", " - ", "EMPLOYEE MEALS")</f>
        <v xml:space="preserve">          6156 - EMPLOYEE MEALS</v>
      </c>
      <c r="C33" s="11"/>
      <c r="D33" s="7"/>
      <c r="E33" s="2"/>
      <c r="F33" s="6">
        <f t="shared" si="13"/>
        <v>0</v>
      </c>
      <c r="G33" s="2"/>
      <c r="H33" s="7">
        <v>0</v>
      </c>
      <c r="I33" s="2"/>
      <c r="J33" s="6">
        <f t="shared" si="14"/>
        <v>0</v>
      </c>
      <c r="K33" s="2"/>
      <c r="L33" s="7">
        <f t="shared" si="15"/>
        <v>0</v>
      </c>
      <c r="M33" s="2"/>
      <c r="N33" s="6">
        <f t="shared" si="16"/>
        <v>0</v>
      </c>
      <c r="O33" s="11"/>
      <c r="P33" s="7"/>
      <c r="Q33" s="2"/>
      <c r="R33" s="6">
        <f t="shared" si="17"/>
        <v>0</v>
      </c>
      <c r="S33" s="2"/>
      <c r="T33" s="7">
        <v>0</v>
      </c>
      <c r="U33" s="2"/>
      <c r="V33" s="6">
        <f t="shared" si="18"/>
        <v>0</v>
      </c>
      <c r="W33" s="2"/>
      <c r="X33" s="7">
        <f t="shared" si="19"/>
        <v>0</v>
      </c>
      <c r="Y33" s="2"/>
      <c r="Z33" s="6">
        <f t="shared" si="20"/>
        <v>0</v>
      </c>
    </row>
    <row r="34" spans="1:26" s="27" customFormat="1" outlineLevel="1" collapsed="1" x14ac:dyDescent="0.25">
      <c r="A34" s="26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0</v>
      </c>
      <c r="E34" s="1"/>
      <c r="F34" s="5">
        <f t="shared" ref="F34:F44" si="21">IF(D$12=0,0,D34/D$12)</f>
        <v>0</v>
      </c>
      <c r="G34" s="1"/>
      <c r="H34" s="1">
        <f>SUM(OSRRefH22_1x_0)</f>
        <v>0</v>
      </c>
      <c r="I34" s="1"/>
      <c r="J34" s="5">
        <f t="shared" ref="J34:J44" si="22">IF(H$12=0,0,H34/H$12)</f>
        <v>0</v>
      </c>
      <c r="K34" s="1"/>
      <c r="L34" s="1">
        <f t="shared" ref="L34:L44" si="23">+D34-H34</f>
        <v>0</v>
      </c>
      <c r="M34" s="1"/>
      <c r="N34" s="5">
        <f t="shared" ref="N34:N44" si="24">IF(H34=0,0,L34/H34)</f>
        <v>0</v>
      </c>
      <c r="O34" s="13"/>
      <c r="P34" s="1">
        <f>SUM(OSRRefP22_1x_0)</f>
        <v>0</v>
      </c>
      <c r="Q34" s="1"/>
      <c r="R34" s="5">
        <f t="shared" ref="R34:R44" si="25">IF(P$12=0,0,P34/P$12)</f>
        <v>0</v>
      </c>
      <c r="S34" s="1"/>
      <c r="T34" s="1">
        <f>SUM(OSRRefT22_1x_0)</f>
        <v>0</v>
      </c>
      <c r="U34" s="1"/>
      <c r="V34" s="5">
        <f t="shared" ref="V34:V44" si="26">IF(T$12=0,0,T34/T$12)</f>
        <v>0</v>
      </c>
      <c r="W34" s="1"/>
      <c r="X34" s="1">
        <f t="shared" ref="X34:X44" si="27">+P34-T34</f>
        <v>0</v>
      </c>
      <c r="Y34" s="1"/>
      <c r="Z34" s="5">
        <f t="shared" ref="Z34:Z44" si="28">IF(T34=0,0,X34/T34)</f>
        <v>0</v>
      </c>
    </row>
    <row r="35" spans="1:26" s="24" customFormat="1" hidden="1" outlineLevel="2" x14ac:dyDescent="0.25">
      <c r="A35" s="25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1"/>
        <v>0</v>
      </c>
      <c r="G35" s="2"/>
      <c r="H35" s="7">
        <v>0</v>
      </c>
      <c r="I35" s="2"/>
      <c r="J35" s="6">
        <f t="shared" si="22"/>
        <v>0</v>
      </c>
      <c r="K35" s="2"/>
      <c r="L35" s="7">
        <f t="shared" si="23"/>
        <v>0</v>
      </c>
      <c r="M35" s="2"/>
      <c r="N35" s="6">
        <f t="shared" si="24"/>
        <v>0</v>
      </c>
      <c r="O35" s="11"/>
      <c r="P35" s="7"/>
      <c r="Q35" s="2"/>
      <c r="R35" s="6">
        <f t="shared" si="25"/>
        <v>0</v>
      </c>
      <c r="S35" s="2"/>
      <c r="T35" s="7">
        <v>0</v>
      </c>
      <c r="U35" s="2"/>
      <c r="V35" s="6">
        <f t="shared" si="26"/>
        <v>0</v>
      </c>
      <c r="W35" s="2"/>
      <c r="X35" s="7">
        <f t="shared" si="27"/>
        <v>0</v>
      </c>
      <c r="Y35" s="2"/>
      <c r="Z35" s="6">
        <f t="shared" si="28"/>
        <v>0</v>
      </c>
    </row>
    <row r="36" spans="1:26" s="24" customFormat="1" hidden="1" outlineLevel="2" x14ac:dyDescent="0.25">
      <c r="A36" s="25"/>
      <c r="B36" s="11" t="str">
        <f>CONCATENATE("          ", "6002", " - ", "STAFF SALARIES")</f>
        <v xml:space="preserve">          6002 - STAFF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5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5"/>
      <c r="B38" s="11" t="str">
        <f>CONCATENATE("          ", "6004", " - ", "STAFF HOURLY")</f>
        <v xml:space="preserve">          6004 - STAFF HOURLY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5"/>
      <c r="B39" s="11" t="str">
        <f>CONCATENATE("          ", "6005", " - ", "TEMPORARY WAGES-HOURLY")</f>
        <v xml:space="preserve">          6005 - TEMPORARY WAGES-HOURLY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5"/>
      <c r="B40" s="11" t="str">
        <f>CONCATENATE("          ", "6006", " - ", "TEMPORARY PART TIME")</f>
        <v xml:space="preserve">          6006 - TEMPORARY PART TIME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5"/>
      <c r="B41" s="11" t="str">
        <f>CONCATENATE("          ", "6007", " - ", "STUDENT HOURLY")</f>
        <v xml:space="preserve">          6007 - STUDENT HOURLY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5"/>
      <c r="B42" s="11" t="str">
        <f>CONCATENATE("          ", "6008", " - ", "STUDENT HOURLY-FICA EXEMPT")</f>
        <v xml:space="preserve">          6008 - STUDENT HOURLY-FICA EXEMPT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5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5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7" customFormat="1" outlineLevel="1" collapsed="1" x14ac:dyDescent="0.25">
      <c r="A45" s="26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59" si="29">IF(D$12=0,0,D45/D$12)</f>
        <v>0</v>
      </c>
      <c r="G45" s="1"/>
      <c r="H45" s="1">
        <f>SUM(OSRRefH22_2x_0)</f>
        <v>0</v>
      </c>
      <c r="I45" s="1"/>
      <c r="J45" s="5">
        <f t="shared" ref="J45:J59" si="30">IF(H$12=0,0,H45/H$12)</f>
        <v>0</v>
      </c>
      <c r="K45" s="1"/>
      <c r="L45" s="1">
        <f t="shared" ref="L45:L59" si="31">+D45-H45</f>
        <v>0</v>
      </c>
      <c r="M45" s="1"/>
      <c r="N45" s="5">
        <f t="shared" ref="N45:N59" si="32">IF(H45=0,0,L45/H45)</f>
        <v>0</v>
      </c>
      <c r="O45" s="13"/>
      <c r="P45" s="1">
        <f>SUM(OSRRefP22_2x_0)</f>
        <v>83.83</v>
      </c>
      <c r="Q45" s="1"/>
      <c r="R45" s="5">
        <f t="shared" ref="R45:R59" si="33">IF(P$12=0,0,P45/P$12)</f>
        <v>8.5987424480208435E-2</v>
      </c>
      <c r="S45" s="1"/>
      <c r="T45" s="1">
        <f>SUM(OSRRefT22_2x_0)</f>
        <v>0</v>
      </c>
      <c r="U45" s="1"/>
      <c r="V45" s="5">
        <f t="shared" ref="V45:V59" si="34">IF(T$12=0,0,T45/T$12)</f>
        <v>0</v>
      </c>
      <c r="W45" s="1"/>
      <c r="X45" s="1">
        <f t="shared" ref="X45:X59" si="35">+P45-T45</f>
        <v>83.83</v>
      </c>
      <c r="Y45" s="1"/>
      <c r="Z45" s="5">
        <f t="shared" ref="Z45:Z59" si="36">IF(T45=0,0,X45/T45)</f>
        <v>0</v>
      </c>
    </row>
    <row r="46" spans="1:26" s="24" customFormat="1" hidden="1" outlineLevel="2" x14ac:dyDescent="0.25">
      <c r="A46" s="25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29"/>
        <v>0</v>
      </c>
      <c r="G46" s="2"/>
      <c r="H46" s="7">
        <v>0</v>
      </c>
      <c r="I46" s="2"/>
      <c r="J46" s="6">
        <f t="shared" si="30"/>
        <v>0</v>
      </c>
      <c r="K46" s="2"/>
      <c r="L46" s="7">
        <f t="shared" si="31"/>
        <v>0</v>
      </c>
      <c r="M46" s="2"/>
      <c r="N46" s="6">
        <f t="shared" si="32"/>
        <v>0</v>
      </c>
      <c r="O46" s="11"/>
      <c r="P46" s="7">
        <v>83.83</v>
      </c>
      <c r="Q46" s="2"/>
      <c r="R46" s="6">
        <f t="shared" si="33"/>
        <v>8.5987424480208435E-2</v>
      </c>
      <c r="S46" s="2"/>
      <c r="T46" s="7">
        <v>0</v>
      </c>
      <c r="U46" s="2"/>
      <c r="V46" s="6">
        <f t="shared" si="34"/>
        <v>0</v>
      </c>
      <c r="W46" s="2"/>
      <c r="X46" s="7">
        <f t="shared" si="35"/>
        <v>83.83</v>
      </c>
      <c r="Y46" s="2"/>
      <c r="Z46" s="6">
        <f t="shared" si="36"/>
        <v>0</v>
      </c>
    </row>
    <row r="47" spans="1:26" s="27" customFormat="1" outlineLevel="1" collapsed="1" x14ac:dyDescent="0.25">
      <c r="A47" s="26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SUM(OSRRefP22_3x_0)</f>
        <v>0</v>
      </c>
      <c r="Q47" s="1"/>
      <c r="R47" s="5">
        <f t="shared" si="33"/>
        <v>0</v>
      </c>
      <c r="S47" s="1"/>
      <c r="T47" s="1">
        <f>SUM(OSRRefT22_3x_0)</f>
        <v>0</v>
      </c>
      <c r="U47" s="1"/>
      <c r="V47" s="5">
        <f t="shared" si="34"/>
        <v>0</v>
      </c>
      <c r="W47" s="1"/>
      <c r="X47" s="1">
        <f t="shared" si="35"/>
        <v>0</v>
      </c>
      <c r="Y47" s="1"/>
      <c r="Z47" s="5">
        <f t="shared" si="36"/>
        <v>0</v>
      </c>
    </row>
    <row r="48" spans="1:26" s="24" customFormat="1" hidden="1" outlineLevel="2" x14ac:dyDescent="0.25">
      <c r="A48" s="25"/>
      <c r="B48" s="11" t="str">
        <f>CONCATENATE("          ", "6381", " - ", "BANK/CREDIT CARD FEES")</f>
        <v xml:space="preserve">          6381 - BANK/CREDIT CARD FEES</v>
      </c>
      <c r="C48" s="11"/>
      <c r="D48" s="7"/>
      <c r="E48" s="2"/>
      <c r="F48" s="6">
        <f t="shared" si="29"/>
        <v>0</v>
      </c>
      <c r="G48" s="2"/>
      <c r="H48" s="7">
        <v>0</v>
      </c>
      <c r="I48" s="2"/>
      <c r="J48" s="6">
        <f t="shared" si="30"/>
        <v>0</v>
      </c>
      <c r="K48" s="2"/>
      <c r="L48" s="7">
        <f t="shared" si="31"/>
        <v>0</v>
      </c>
      <c r="M48" s="2"/>
      <c r="N48" s="6">
        <f t="shared" si="32"/>
        <v>0</v>
      </c>
      <c r="O48" s="11"/>
      <c r="P48" s="7"/>
      <c r="Q48" s="2"/>
      <c r="R48" s="6">
        <f t="shared" si="33"/>
        <v>0</v>
      </c>
      <c r="S48" s="2"/>
      <c r="T48" s="7">
        <v>0</v>
      </c>
      <c r="U48" s="2"/>
      <c r="V48" s="6">
        <f t="shared" si="34"/>
        <v>0</v>
      </c>
      <c r="W48" s="2"/>
      <c r="X48" s="7">
        <f t="shared" si="35"/>
        <v>0</v>
      </c>
      <c r="Y48" s="2"/>
      <c r="Z48" s="6">
        <f t="shared" si="36"/>
        <v>0</v>
      </c>
    </row>
    <row r="49" spans="1:26" s="27" customFormat="1" outlineLevel="1" collapsed="1" x14ac:dyDescent="0.25">
      <c r="A49" s="26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SUM(OSRRefD22_4x_0)</f>
        <v>1825.23</v>
      </c>
      <c r="E49" s="1"/>
      <c r="F49" s="5">
        <f t="shared" si="29"/>
        <v>0</v>
      </c>
      <c r="G49" s="1"/>
      <c r="H49" s="1">
        <f>SUM(OSRRefH22_4x_0)</f>
        <v>1972</v>
      </c>
      <c r="I49" s="1"/>
      <c r="J49" s="5">
        <f t="shared" si="30"/>
        <v>0</v>
      </c>
      <c r="K49" s="1"/>
      <c r="L49" s="1">
        <f t="shared" si="31"/>
        <v>-146.76999999999998</v>
      </c>
      <c r="M49" s="1"/>
      <c r="N49" s="5">
        <f t="shared" si="32"/>
        <v>-7.4426977687626766E-2</v>
      </c>
      <c r="O49" s="13"/>
      <c r="P49" s="1">
        <f>SUM(OSRRefP22_4x_0)</f>
        <v>20224.62</v>
      </c>
      <c r="Q49" s="1"/>
      <c r="R49" s="5">
        <f t="shared" si="33"/>
        <v>20.745114933686185</v>
      </c>
      <c r="S49" s="1"/>
      <c r="T49" s="1">
        <f>SUM(OSRRefT22_4x_0)</f>
        <v>21692</v>
      </c>
      <c r="U49" s="1"/>
      <c r="V49" s="5">
        <f t="shared" si="34"/>
        <v>0</v>
      </c>
      <c r="W49" s="1"/>
      <c r="X49" s="1">
        <f t="shared" si="35"/>
        <v>-1467.380000000001</v>
      </c>
      <c r="Y49" s="1"/>
      <c r="Z49" s="5">
        <f t="shared" si="36"/>
        <v>-6.7646136824635855E-2</v>
      </c>
    </row>
    <row r="50" spans="1:26" s="24" customFormat="1" hidden="1" outlineLevel="2" x14ac:dyDescent="0.25">
      <c r="A50" s="25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1825.23</v>
      </c>
      <c r="E50" s="2"/>
      <c r="F50" s="6">
        <f t="shared" si="29"/>
        <v>0</v>
      </c>
      <c r="G50" s="2"/>
      <c r="H50" s="7">
        <v>1972</v>
      </c>
      <c r="I50" s="2"/>
      <c r="J50" s="6">
        <f t="shared" si="30"/>
        <v>0</v>
      </c>
      <c r="K50" s="2"/>
      <c r="L50" s="7">
        <f t="shared" si="31"/>
        <v>-146.76999999999998</v>
      </c>
      <c r="M50" s="2"/>
      <c r="N50" s="6">
        <f t="shared" si="32"/>
        <v>-7.4426977687626766E-2</v>
      </c>
      <c r="O50" s="11"/>
      <c r="P50" s="7">
        <v>20224.62</v>
      </c>
      <c r="Q50" s="2"/>
      <c r="R50" s="6">
        <f t="shared" si="33"/>
        <v>20.745114933686185</v>
      </c>
      <c r="S50" s="2"/>
      <c r="T50" s="7">
        <v>21692</v>
      </c>
      <c r="U50" s="2"/>
      <c r="V50" s="6">
        <f t="shared" si="34"/>
        <v>0</v>
      </c>
      <c r="W50" s="2"/>
      <c r="X50" s="7">
        <f t="shared" si="35"/>
        <v>-1467.380000000001</v>
      </c>
      <c r="Y50" s="2"/>
      <c r="Z50" s="6">
        <f t="shared" si="36"/>
        <v>-6.7646136824635855E-2</v>
      </c>
    </row>
    <row r="51" spans="1:26" s="27" customFormat="1" outlineLevel="1" collapsed="1" x14ac:dyDescent="0.25">
      <c r="A51" s="26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SUM(OSRRefD22_5x_0)</f>
        <v>0</v>
      </c>
      <c r="E51" s="1"/>
      <c r="F51" s="5">
        <f t="shared" si="29"/>
        <v>0</v>
      </c>
      <c r="G51" s="1"/>
      <c r="H51" s="1">
        <f>SUM(OSRRefH22_5x_0)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3"/>
      <c r="P51" s="1">
        <f>SUM(OSRRefP22_5x_0)</f>
        <v>0</v>
      </c>
      <c r="Q51" s="1"/>
      <c r="R51" s="5">
        <f t="shared" si="33"/>
        <v>0</v>
      </c>
      <c r="S51" s="1"/>
      <c r="T51" s="1">
        <f>SUM(OSRRefT22_5x_0)</f>
        <v>0</v>
      </c>
      <c r="U51" s="1"/>
      <c r="V51" s="5">
        <f t="shared" si="34"/>
        <v>0</v>
      </c>
      <c r="W51" s="1"/>
      <c r="X51" s="1">
        <f t="shared" si="35"/>
        <v>0</v>
      </c>
      <c r="Y51" s="1"/>
      <c r="Z51" s="5">
        <f t="shared" si="36"/>
        <v>0</v>
      </c>
    </row>
    <row r="52" spans="1:26" s="24" customFormat="1" hidden="1" outlineLevel="2" x14ac:dyDescent="0.25">
      <c r="A52" s="25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29"/>
        <v>0</v>
      </c>
      <c r="G52" s="2"/>
      <c r="H52" s="7">
        <v>0</v>
      </c>
      <c r="I52" s="2"/>
      <c r="J52" s="6">
        <f t="shared" si="30"/>
        <v>0</v>
      </c>
      <c r="K52" s="2"/>
      <c r="L52" s="7">
        <f t="shared" si="31"/>
        <v>0</v>
      </c>
      <c r="M52" s="2"/>
      <c r="N52" s="6">
        <f t="shared" si="32"/>
        <v>0</v>
      </c>
      <c r="O52" s="11"/>
      <c r="P52" s="7"/>
      <c r="Q52" s="2"/>
      <c r="R52" s="6">
        <f t="shared" si="33"/>
        <v>0</v>
      </c>
      <c r="S52" s="2"/>
      <c r="T52" s="7">
        <v>0</v>
      </c>
      <c r="U52" s="2"/>
      <c r="V52" s="6">
        <f t="shared" si="34"/>
        <v>0</v>
      </c>
      <c r="W52" s="2"/>
      <c r="X52" s="7">
        <f t="shared" si="35"/>
        <v>0</v>
      </c>
      <c r="Y52" s="2"/>
      <c r="Z52" s="6">
        <f t="shared" si="36"/>
        <v>0</v>
      </c>
    </row>
    <row r="53" spans="1:26" s="27" customFormat="1" outlineLevel="1" collapsed="1" x14ac:dyDescent="0.25">
      <c r="A53" s="26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SUM(OSRRefD22_6x_0)</f>
        <v>0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3"/>
      <c r="P53" s="1">
        <f>SUM(OSRRefP22_6x_0)</f>
        <v>96.3</v>
      </c>
      <c r="Q53" s="1"/>
      <c r="R53" s="5">
        <f t="shared" si="33"/>
        <v>9.8778348770655749E-2</v>
      </c>
      <c r="S53" s="1"/>
      <c r="T53" s="1">
        <f>SUM(OSRRefT22_6x_0)</f>
        <v>0</v>
      </c>
      <c r="U53" s="1"/>
      <c r="V53" s="5">
        <f t="shared" si="34"/>
        <v>0</v>
      </c>
      <c r="W53" s="1"/>
      <c r="X53" s="1">
        <f t="shared" si="35"/>
        <v>96.3</v>
      </c>
      <c r="Y53" s="1"/>
      <c r="Z53" s="5">
        <f t="shared" si="36"/>
        <v>0</v>
      </c>
    </row>
    <row r="54" spans="1:26" s="24" customFormat="1" hidden="1" outlineLevel="2" x14ac:dyDescent="0.25">
      <c r="A54" s="25"/>
      <c r="B54" s="11" t="str">
        <f>CONCATENATE("          ", "6351", " - ", "EQUIPMENT RENTAL")</f>
        <v xml:space="preserve">          6351 - EQUIPMENT RENTAL</v>
      </c>
      <c r="C54" s="11"/>
      <c r="D54" s="7"/>
      <c r="E54" s="2"/>
      <c r="F54" s="6">
        <f t="shared" si="29"/>
        <v>0</v>
      </c>
      <c r="G54" s="2"/>
      <c r="H54" s="7"/>
      <c r="I54" s="2"/>
      <c r="J54" s="6">
        <f t="shared" si="30"/>
        <v>0</v>
      </c>
      <c r="K54" s="2"/>
      <c r="L54" s="7">
        <f t="shared" si="31"/>
        <v>0</v>
      </c>
      <c r="M54" s="2"/>
      <c r="N54" s="6">
        <f t="shared" si="32"/>
        <v>0</v>
      </c>
      <c r="O54" s="11"/>
      <c r="P54" s="7">
        <v>96.3</v>
      </c>
      <c r="Q54" s="2"/>
      <c r="R54" s="6">
        <f t="shared" si="33"/>
        <v>9.8778348770655749E-2</v>
      </c>
      <c r="S54" s="2"/>
      <c r="T54" s="7"/>
      <c r="U54" s="2"/>
      <c r="V54" s="6">
        <f t="shared" si="34"/>
        <v>0</v>
      </c>
      <c r="W54" s="2"/>
      <c r="X54" s="7">
        <f t="shared" si="35"/>
        <v>96.3</v>
      </c>
      <c r="Y54" s="2"/>
      <c r="Z54" s="6">
        <f t="shared" si="36"/>
        <v>0</v>
      </c>
    </row>
    <row r="55" spans="1:26" s="27" customFormat="1" outlineLevel="1" collapsed="1" x14ac:dyDescent="0.25">
      <c r="A55" s="26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0</v>
      </c>
      <c r="I55" s="1"/>
      <c r="J55" s="5">
        <f t="shared" si="30"/>
        <v>0</v>
      </c>
      <c r="K55" s="1"/>
      <c r="L55" s="1">
        <f t="shared" si="31"/>
        <v>0</v>
      </c>
      <c r="M55" s="1"/>
      <c r="N55" s="5">
        <f t="shared" si="32"/>
        <v>0</v>
      </c>
      <c r="O55" s="13"/>
      <c r="P55" s="1">
        <f>SUM(OSRRefP22_7x_0)</f>
        <v>7.28</v>
      </c>
      <c r="Q55" s="1"/>
      <c r="R55" s="5">
        <f t="shared" si="33"/>
        <v>7.467355961063073E-3</v>
      </c>
      <c r="S55" s="1"/>
      <c r="T55" s="1">
        <f>SUM(OSRRefT22_7x_0)</f>
        <v>0</v>
      </c>
      <c r="U55" s="1"/>
      <c r="V55" s="5">
        <f t="shared" si="34"/>
        <v>0</v>
      </c>
      <c r="W55" s="1"/>
      <c r="X55" s="1">
        <f t="shared" si="35"/>
        <v>7.28</v>
      </c>
      <c r="Y55" s="1"/>
      <c r="Z55" s="5">
        <f t="shared" si="36"/>
        <v>0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29"/>
        <v>0</v>
      </c>
      <c r="G56" s="2"/>
      <c r="H56" s="7"/>
      <c r="I56" s="2"/>
      <c r="J56" s="6">
        <f t="shared" si="30"/>
        <v>0</v>
      </c>
      <c r="K56" s="2"/>
      <c r="L56" s="7">
        <f t="shared" si="31"/>
        <v>0</v>
      </c>
      <c r="M56" s="2"/>
      <c r="N56" s="6">
        <f t="shared" si="32"/>
        <v>0</v>
      </c>
      <c r="O56" s="11"/>
      <c r="P56" s="7">
        <v>7.28</v>
      </c>
      <c r="Q56" s="2"/>
      <c r="R56" s="6">
        <f t="shared" si="33"/>
        <v>7.467355961063073E-3</v>
      </c>
      <c r="S56" s="2"/>
      <c r="T56" s="7">
        <v>0</v>
      </c>
      <c r="U56" s="2"/>
      <c r="V56" s="6">
        <f t="shared" si="34"/>
        <v>0</v>
      </c>
      <c r="W56" s="2"/>
      <c r="X56" s="7">
        <f t="shared" si="35"/>
        <v>7.28</v>
      </c>
      <c r="Y56" s="2"/>
      <c r="Z56" s="6">
        <f t="shared" si="36"/>
        <v>0</v>
      </c>
    </row>
    <row r="57" spans="1:26" s="27" customFormat="1" outlineLevel="1" collapsed="1" x14ac:dyDescent="0.25">
      <c r="A57" s="26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SUM(OSRRefD22_8x_0)</f>
        <v>0</v>
      </c>
      <c r="E57" s="1"/>
      <c r="F57" s="5">
        <f t="shared" si="29"/>
        <v>0</v>
      </c>
      <c r="G57" s="1"/>
      <c r="H57" s="1">
        <f>SUM(OSRRefH22_8x_0)</f>
        <v>0</v>
      </c>
      <c r="I57" s="1"/>
      <c r="J57" s="5">
        <f t="shared" si="30"/>
        <v>0</v>
      </c>
      <c r="K57" s="1"/>
      <c r="L57" s="1">
        <f t="shared" si="31"/>
        <v>0</v>
      </c>
      <c r="M57" s="1"/>
      <c r="N57" s="5">
        <f t="shared" si="32"/>
        <v>0</v>
      </c>
      <c r="O57" s="13"/>
      <c r="P57" s="1">
        <f>SUM(OSRRefP22_8x_0)</f>
        <v>628.04</v>
      </c>
      <c r="Q57" s="1"/>
      <c r="R57" s="5">
        <f t="shared" si="33"/>
        <v>0.64420305464094119</v>
      </c>
      <c r="S57" s="1"/>
      <c r="T57" s="1">
        <f>SUM(OSRRefT22_8x_0)</f>
        <v>0</v>
      </c>
      <c r="U57" s="1"/>
      <c r="V57" s="5">
        <f t="shared" si="34"/>
        <v>0</v>
      </c>
      <c r="W57" s="1"/>
      <c r="X57" s="1">
        <f t="shared" si="35"/>
        <v>628.04</v>
      </c>
      <c r="Y57" s="1"/>
      <c r="Z57" s="5">
        <f t="shared" si="36"/>
        <v>0</v>
      </c>
    </row>
    <row r="58" spans="1:26" s="24" customFormat="1" hidden="1" outlineLevel="2" x14ac:dyDescent="0.25">
      <c r="A58" s="25"/>
      <c r="B58" s="11" t="str">
        <f>CONCATENATE("          ", "6373", " - ", "MAINTENANCE CONTRACTS")</f>
        <v xml:space="preserve">          6373 - MAINTENANCE CONTRACTS</v>
      </c>
      <c r="C58" s="11"/>
      <c r="D58" s="7"/>
      <c r="E58" s="2"/>
      <c r="F58" s="6">
        <f t="shared" si="29"/>
        <v>0</v>
      </c>
      <c r="G58" s="2"/>
      <c r="H58" s="7"/>
      <c r="I58" s="2"/>
      <c r="J58" s="6">
        <f t="shared" si="30"/>
        <v>0</v>
      </c>
      <c r="K58" s="2"/>
      <c r="L58" s="7">
        <f t="shared" si="31"/>
        <v>0</v>
      </c>
      <c r="M58" s="2"/>
      <c r="N58" s="6">
        <f t="shared" si="32"/>
        <v>0</v>
      </c>
      <c r="O58" s="11"/>
      <c r="P58" s="7">
        <v>428.04</v>
      </c>
      <c r="Q58" s="2"/>
      <c r="R58" s="6">
        <f t="shared" si="33"/>
        <v>0.43905591285349421</v>
      </c>
      <c r="S58" s="2"/>
      <c r="T58" s="7"/>
      <c r="U58" s="2"/>
      <c r="V58" s="6">
        <f t="shared" si="34"/>
        <v>0</v>
      </c>
      <c r="W58" s="2"/>
      <c r="X58" s="7">
        <f t="shared" si="35"/>
        <v>428.04</v>
      </c>
      <c r="Y58" s="2"/>
      <c r="Z58" s="6">
        <f t="shared" si="36"/>
        <v>0</v>
      </c>
    </row>
    <row r="59" spans="1:26" s="24" customFormat="1" hidden="1" outlineLevel="2" x14ac:dyDescent="0.25">
      <c r="A59" s="25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29"/>
        <v>0</v>
      </c>
      <c r="G59" s="2"/>
      <c r="H59" s="7"/>
      <c r="I59" s="2"/>
      <c r="J59" s="6">
        <f t="shared" si="30"/>
        <v>0</v>
      </c>
      <c r="K59" s="2"/>
      <c r="L59" s="7">
        <f t="shared" si="31"/>
        <v>0</v>
      </c>
      <c r="M59" s="2"/>
      <c r="N59" s="6">
        <f t="shared" si="32"/>
        <v>0</v>
      </c>
      <c r="O59" s="11"/>
      <c r="P59" s="7">
        <v>200</v>
      </c>
      <c r="Q59" s="2"/>
      <c r="R59" s="6">
        <f t="shared" si="33"/>
        <v>0.20514714178744706</v>
      </c>
      <c r="S59" s="2"/>
      <c r="T59" s="7"/>
      <c r="U59" s="2"/>
      <c r="V59" s="6">
        <f t="shared" si="34"/>
        <v>0</v>
      </c>
      <c r="W59" s="2"/>
      <c r="X59" s="7">
        <f t="shared" si="35"/>
        <v>200</v>
      </c>
      <c r="Y59" s="2"/>
      <c r="Z59" s="6">
        <f t="shared" si="36"/>
        <v>0</v>
      </c>
    </row>
    <row r="60" spans="1:26" s="27" customFormat="1" outlineLevel="1" collapsed="1" x14ac:dyDescent="0.25">
      <c r="A60" s="26"/>
      <c r="B60" s="13" t="str">
        <f>CONCATENATE("     ","Royalty &amp; Commissions                             ")</f>
        <v xml:space="preserve">     Royalty &amp; Commissions                             </v>
      </c>
      <c r="C60" s="13"/>
      <c r="D60" s="1">
        <f>SUM(OSRRefD22_9x_0)</f>
        <v>0</v>
      </c>
      <c r="E60" s="1"/>
      <c r="F60" s="5">
        <f t="shared" ref="F60:F69" si="37">IF(D$12=0,0,D60/D$12)</f>
        <v>0</v>
      </c>
      <c r="G60" s="1"/>
      <c r="H60" s="1">
        <f>SUM(OSRRefH22_9x_0)</f>
        <v>0</v>
      </c>
      <c r="I60" s="1"/>
      <c r="J60" s="5">
        <f t="shared" ref="J60:J69" si="38">IF(H$12=0,0,H60/H$12)</f>
        <v>0</v>
      </c>
      <c r="K60" s="1"/>
      <c r="L60" s="1">
        <f t="shared" ref="L60:L69" si="39">+D60-H60</f>
        <v>0</v>
      </c>
      <c r="M60" s="1"/>
      <c r="N60" s="5">
        <f t="shared" ref="N60:N69" si="40">IF(H60=0,0,L60/H60)</f>
        <v>0</v>
      </c>
      <c r="O60" s="13"/>
      <c r="P60" s="1">
        <f>SUM(OSRRefP22_9x_0)</f>
        <v>0</v>
      </c>
      <c r="Q60" s="1"/>
      <c r="R60" s="5">
        <f t="shared" ref="R60:R69" si="41">IF(P$12=0,0,P60/P$12)</f>
        <v>0</v>
      </c>
      <c r="S60" s="1"/>
      <c r="T60" s="1">
        <f>SUM(OSRRefT22_9x_0)</f>
        <v>0</v>
      </c>
      <c r="U60" s="1"/>
      <c r="V60" s="5">
        <f t="shared" ref="V60:V69" si="42">IF(T$12=0,0,T60/T$12)</f>
        <v>0</v>
      </c>
      <c r="W60" s="1"/>
      <c r="X60" s="1">
        <f t="shared" ref="X60:X69" si="43">+P60-T60</f>
        <v>0</v>
      </c>
      <c r="Y60" s="1"/>
      <c r="Z60" s="5">
        <f t="shared" ref="Z60:Z69" si="44">IF(T60=0,0,X60/T60)</f>
        <v>0</v>
      </c>
    </row>
    <row r="61" spans="1:26" s="24" customFormat="1" hidden="1" outlineLevel="2" x14ac:dyDescent="0.25">
      <c r="A61" s="25"/>
      <c r="B61" s="11" t="str">
        <f>CONCATENATE("          ", "6259", " - ", "ROYALTY &amp; COMMISSIONS")</f>
        <v xml:space="preserve">          6259 - ROYALTY &amp; COMMISSIONS</v>
      </c>
      <c r="C61" s="11"/>
      <c r="D61" s="7"/>
      <c r="E61" s="2"/>
      <c r="F61" s="6">
        <f t="shared" si="37"/>
        <v>0</v>
      </c>
      <c r="G61" s="2"/>
      <c r="H61" s="7">
        <v>0</v>
      </c>
      <c r="I61" s="2"/>
      <c r="J61" s="6">
        <f t="shared" si="38"/>
        <v>0</v>
      </c>
      <c r="K61" s="2"/>
      <c r="L61" s="7">
        <f t="shared" si="39"/>
        <v>0</v>
      </c>
      <c r="M61" s="2"/>
      <c r="N61" s="6">
        <f t="shared" si="40"/>
        <v>0</v>
      </c>
      <c r="O61" s="11"/>
      <c r="P61" s="7"/>
      <c r="Q61" s="2"/>
      <c r="R61" s="6">
        <f t="shared" si="41"/>
        <v>0</v>
      </c>
      <c r="S61" s="2"/>
      <c r="T61" s="7">
        <v>0</v>
      </c>
      <c r="U61" s="2"/>
      <c r="V61" s="6">
        <f t="shared" si="42"/>
        <v>0</v>
      </c>
      <c r="W61" s="2"/>
      <c r="X61" s="7">
        <f t="shared" si="43"/>
        <v>0</v>
      </c>
      <c r="Y61" s="2"/>
      <c r="Z61" s="6">
        <f t="shared" si="44"/>
        <v>0</v>
      </c>
    </row>
    <row r="62" spans="1:26" s="27" customFormat="1" outlineLevel="1" collapsed="1" x14ac:dyDescent="0.25">
      <c r="A62" s="26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SUM(OSRRefD22_10x_0)</f>
        <v>0</v>
      </c>
      <c r="E62" s="1"/>
      <c r="F62" s="5">
        <f t="shared" si="37"/>
        <v>0</v>
      </c>
      <c r="G62" s="1"/>
      <c r="H62" s="1">
        <f>SUM(OSRRefH22_10x_0)</f>
        <v>0</v>
      </c>
      <c r="I62" s="1"/>
      <c r="J62" s="5">
        <f t="shared" si="38"/>
        <v>0</v>
      </c>
      <c r="K62" s="1"/>
      <c r="L62" s="1">
        <f t="shared" si="39"/>
        <v>0</v>
      </c>
      <c r="M62" s="1"/>
      <c r="N62" s="5">
        <f t="shared" si="40"/>
        <v>0</v>
      </c>
      <c r="O62" s="13"/>
      <c r="P62" s="1">
        <f>SUM(OSRRefP22_10x_0)</f>
        <v>0</v>
      </c>
      <c r="Q62" s="1"/>
      <c r="R62" s="5">
        <f t="shared" si="41"/>
        <v>0</v>
      </c>
      <c r="S62" s="1"/>
      <c r="T62" s="1">
        <f>SUM(OSRRefT22_10x_0)</f>
        <v>0</v>
      </c>
      <c r="U62" s="1"/>
      <c r="V62" s="5">
        <f t="shared" si="42"/>
        <v>0</v>
      </c>
      <c r="W62" s="1"/>
      <c r="X62" s="1">
        <f t="shared" si="43"/>
        <v>0</v>
      </c>
      <c r="Y62" s="1"/>
      <c r="Z62" s="5">
        <f t="shared" si="44"/>
        <v>0</v>
      </c>
    </row>
    <row r="63" spans="1:26" s="24" customFormat="1" hidden="1" outlineLevel="2" x14ac:dyDescent="0.25">
      <c r="A63" s="25"/>
      <c r="B63" s="11" t="str">
        <f>CONCATENATE("          ", "6286", " - ", "LAUNDRY EXPENSE")</f>
        <v xml:space="preserve">          6286 - LAUNDRY EXPENSE</v>
      </c>
      <c r="C63" s="11"/>
      <c r="D63" s="7"/>
      <c r="E63" s="2"/>
      <c r="F63" s="6">
        <f t="shared" si="37"/>
        <v>0</v>
      </c>
      <c r="G63" s="2"/>
      <c r="H63" s="7">
        <v>0</v>
      </c>
      <c r="I63" s="2"/>
      <c r="J63" s="6">
        <f t="shared" si="38"/>
        <v>0</v>
      </c>
      <c r="K63" s="2"/>
      <c r="L63" s="7">
        <f t="shared" si="39"/>
        <v>0</v>
      </c>
      <c r="M63" s="2"/>
      <c r="N63" s="6">
        <f t="shared" si="40"/>
        <v>0</v>
      </c>
      <c r="O63" s="11"/>
      <c r="P63" s="7"/>
      <c r="Q63" s="2"/>
      <c r="R63" s="6">
        <f t="shared" si="41"/>
        <v>0</v>
      </c>
      <c r="S63" s="2"/>
      <c r="T63" s="7">
        <v>0</v>
      </c>
      <c r="U63" s="2"/>
      <c r="V63" s="6">
        <f t="shared" si="42"/>
        <v>0</v>
      </c>
      <c r="W63" s="2"/>
      <c r="X63" s="7">
        <f t="shared" si="43"/>
        <v>0</v>
      </c>
      <c r="Y63" s="2"/>
      <c r="Z63" s="6">
        <f t="shared" si="44"/>
        <v>0</v>
      </c>
    </row>
    <row r="64" spans="1:26" s="27" customFormat="1" outlineLevel="1" collapsed="1" x14ac:dyDescent="0.25">
      <c r="A64" s="26"/>
      <c r="B64" s="13" t="str">
        <f>CONCATENATE("     ","Subscriptions &amp; Dues                              ")</f>
        <v xml:space="preserve">     Subscriptions &amp; Dues                              </v>
      </c>
      <c r="C64" s="13"/>
      <c r="D64" s="1">
        <f>SUM(OSRRefD22_11x_0)</f>
        <v>0</v>
      </c>
      <c r="E64" s="1"/>
      <c r="F64" s="5">
        <f t="shared" si="37"/>
        <v>0</v>
      </c>
      <c r="G64" s="1"/>
      <c r="H64" s="1">
        <f>SUM(OSRRefH22_11x_0)</f>
        <v>0</v>
      </c>
      <c r="I64" s="1"/>
      <c r="J64" s="5">
        <f t="shared" si="38"/>
        <v>0</v>
      </c>
      <c r="K64" s="1"/>
      <c r="L64" s="1">
        <f t="shared" si="39"/>
        <v>0</v>
      </c>
      <c r="M64" s="1"/>
      <c r="N64" s="5">
        <f t="shared" si="40"/>
        <v>0</v>
      </c>
      <c r="O64" s="13"/>
      <c r="P64" s="1">
        <f>SUM(OSRRefP22_11x_0)</f>
        <v>0</v>
      </c>
      <c r="Q64" s="1"/>
      <c r="R64" s="5">
        <f t="shared" si="41"/>
        <v>0</v>
      </c>
      <c r="S64" s="1"/>
      <c r="T64" s="1">
        <f>SUM(OSRRefT22_11x_0)</f>
        <v>0</v>
      </c>
      <c r="U64" s="1"/>
      <c r="V64" s="5">
        <f t="shared" si="42"/>
        <v>0</v>
      </c>
      <c r="W64" s="1"/>
      <c r="X64" s="1">
        <f t="shared" si="43"/>
        <v>0</v>
      </c>
      <c r="Y64" s="1"/>
      <c r="Z64" s="5">
        <f t="shared" si="44"/>
        <v>0</v>
      </c>
    </row>
    <row r="65" spans="1:26" s="24" customFormat="1" hidden="1" outlineLevel="2" x14ac:dyDescent="0.25">
      <c r="A65" s="25"/>
      <c r="B65" s="11" t="str">
        <f>CONCATENATE("          ", "6275", " - ", "SUBSCRIPTIONS")</f>
        <v xml:space="preserve">          6275 - SUBSCRIPTIONS</v>
      </c>
      <c r="C65" s="11"/>
      <c r="D65" s="7"/>
      <c r="E65" s="2"/>
      <c r="F65" s="6">
        <f t="shared" si="37"/>
        <v>0</v>
      </c>
      <c r="G65" s="2"/>
      <c r="H65" s="7">
        <v>0</v>
      </c>
      <c r="I65" s="2"/>
      <c r="J65" s="6">
        <f t="shared" si="38"/>
        <v>0</v>
      </c>
      <c r="K65" s="2"/>
      <c r="L65" s="7">
        <f t="shared" si="39"/>
        <v>0</v>
      </c>
      <c r="M65" s="2"/>
      <c r="N65" s="6">
        <f t="shared" si="40"/>
        <v>0</v>
      </c>
      <c r="O65" s="11"/>
      <c r="P65" s="7"/>
      <c r="Q65" s="2"/>
      <c r="R65" s="6">
        <f t="shared" si="41"/>
        <v>0</v>
      </c>
      <c r="S65" s="2"/>
      <c r="T65" s="7">
        <v>0</v>
      </c>
      <c r="U65" s="2"/>
      <c r="V65" s="6">
        <f t="shared" si="42"/>
        <v>0</v>
      </c>
      <c r="W65" s="2"/>
      <c r="X65" s="7">
        <f t="shared" si="43"/>
        <v>0</v>
      </c>
      <c r="Y65" s="2"/>
      <c r="Z65" s="6">
        <f t="shared" si="44"/>
        <v>0</v>
      </c>
    </row>
    <row r="66" spans="1:26" s="27" customFormat="1" outlineLevel="1" collapsed="1" x14ac:dyDescent="0.25">
      <c r="A66" s="26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SUM(OSRRefD22_12x_0)</f>
        <v>0</v>
      </c>
      <c r="E66" s="1"/>
      <c r="F66" s="5">
        <f t="shared" si="37"/>
        <v>0</v>
      </c>
      <c r="G66" s="1"/>
      <c r="H66" s="1">
        <f>SUM(OSRRefH22_12x_0)</f>
        <v>0</v>
      </c>
      <c r="I66" s="1"/>
      <c r="J66" s="5">
        <f t="shared" si="38"/>
        <v>0</v>
      </c>
      <c r="K66" s="1"/>
      <c r="L66" s="1">
        <f t="shared" si="39"/>
        <v>0</v>
      </c>
      <c r="M66" s="1"/>
      <c r="N66" s="5">
        <f t="shared" si="40"/>
        <v>0</v>
      </c>
      <c r="O66" s="13"/>
      <c r="P66" s="1">
        <f>SUM(OSRRefP22_12x_0)</f>
        <v>0</v>
      </c>
      <c r="Q66" s="1"/>
      <c r="R66" s="5">
        <f t="shared" si="41"/>
        <v>0</v>
      </c>
      <c r="S66" s="1"/>
      <c r="T66" s="1">
        <f>SUM(OSRRefT22_12x_0)</f>
        <v>0</v>
      </c>
      <c r="U66" s="1"/>
      <c r="V66" s="5">
        <f t="shared" si="42"/>
        <v>0</v>
      </c>
      <c r="W66" s="1"/>
      <c r="X66" s="1">
        <f t="shared" si="43"/>
        <v>0</v>
      </c>
      <c r="Y66" s="1"/>
      <c r="Z66" s="5">
        <f t="shared" si="44"/>
        <v>0</v>
      </c>
    </row>
    <row r="67" spans="1:26" s="24" customFormat="1" hidden="1" outlineLevel="2" x14ac:dyDescent="0.25">
      <c r="A67" s="25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6">
        <f t="shared" si="37"/>
        <v>0</v>
      </c>
      <c r="G67" s="2"/>
      <c r="H67" s="7">
        <v>0</v>
      </c>
      <c r="I67" s="2"/>
      <c r="J67" s="6">
        <f t="shared" si="38"/>
        <v>0</v>
      </c>
      <c r="K67" s="2"/>
      <c r="L67" s="7">
        <f t="shared" si="39"/>
        <v>0</v>
      </c>
      <c r="M67" s="2"/>
      <c r="N67" s="6">
        <f t="shared" si="40"/>
        <v>0</v>
      </c>
      <c r="O67" s="11"/>
      <c r="P67" s="7"/>
      <c r="Q67" s="2"/>
      <c r="R67" s="6">
        <f t="shared" si="41"/>
        <v>0</v>
      </c>
      <c r="S67" s="2"/>
      <c r="T67" s="7">
        <v>0</v>
      </c>
      <c r="U67" s="2"/>
      <c r="V67" s="6">
        <f t="shared" si="42"/>
        <v>0</v>
      </c>
      <c r="W67" s="2"/>
      <c r="X67" s="7">
        <f t="shared" si="43"/>
        <v>0</v>
      </c>
      <c r="Y67" s="2"/>
      <c r="Z67" s="6">
        <f t="shared" si="44"/>
        <v>0</v>
      </c>
    </row>
    <row r="68" spans="1:26" s="24" customFormat="1" hidden="1" outlineLevel="2" x14ac:dyDescent="0.25">
      <c r="A68" s="25"/>
      <c r="B68" s="11" t="str">
        <f>CONCATENATE("          ", "6241", " - ", "OFFICE EXPENSE")</f>
        <v xml:space="preserve">          6241 - OFFICE EXPENSE</v>
      </c>
      <c r="C68" s="11"/>
      <c r="D68" s="7"/>
      <c r="E68" s="2"/>
      <c r="F68" s="6">
        <f t="shared" si="37"/>
        <v>0</v>
      </c>
      <c r="G68" s="2"/>
      <c r="H68" s="7">
        <v>0</v>
      </c>
      <c r="I68" s="2"/>
      <c r="J68" s="6">
        <f t="shared" si="38"/>
        <v>0</v>
      </c>
      <c r="K68" s="2"/>
      <c r="L68" s="7">
        <f t="shared" si="39"/>
        <v>0</v>
      </c>
      <c r="M68" s="2"/>
      <c r="N68" s="6">
        <f t="shared" si="40"/>
        <v>0</v>
      </c>
      <c r="O68" s="11"/>
      <c r="P68" s="7"/>
      <c r="Q68" s="2"/>
      <c r="R68" s="6">
        <f t="shared" si="41"/>
        <v>0</v>
      </c>
      <c r="S68" s="2"/>
      <c r="T68" s="7">
        <v>0</v>
      </c>
      <c r="U68" s="2"/>
      <c r="V68" s="6">
        <f t="shared" si="42"/>
        <v>0</v>
      </c>
      <c r="W68" s="2"/>
      <c r="X68" s="7">
        <f t="shared" si="43"/>
        <v>0</v>
      </c>
      <c r="Y68" s="2"/>
      <c r="Z68" s="6">
        <f t="shared" si="44"/>
        <v>0</v>
      </c>
    </row>
    <row r="69" spans="1:26" s="24" customFormat="1" hidden="1" outlineLevel="2" x14ac:dyDescent="0.25">
      <c r="A69" s="25"/>
      <c r="B69" s="11" t="str">
        <f>CONCATENATE("          ", "6247", " - ", "STORE SUPPLIES")</f>
        <v xml:space="preserve">          6247 - STORE SUPPLIES</v>
      </c>
      <c r="C69" s="11"/>
      <c r="D69" s="7"/>
      <c r="E69" s="2"/>
      <c r="F69" s="6">
        <f t="shared" si="37"/>
        <v>0</v>
      </c>
      <c r="G69" s="2"/>
      <c r="H69" s="7">
        <v>0</v>
      </c>
      <c r="I69" s="2"/>
      <c r="J69" s="6">
        <f t="shared" si="38"/>
        <v>0</v>
      </c>
      <c r="K69" s="2"/>
      <c r="L69" s="7">
        <f t="shared" si="39"/>
        <v>0</v>
      </c>
      <c r="M69" s="2"/>
      <c r="N69" s="6">
        <f t="shared" si="40"/>
        <v>0</v>
      </c>
      <c r="O69" s="11"/>
      <c r="P69" s="7"/>
      <c r="Q69" s="2"/>
      <c r="R69" s="6">
        <f t="shared" si="41"/>
        <v>0</v>
      </c>
      <c r="S69" s="2"/>
      <c r="T69" s="7">
        <v>0</v>
      </c>
      <c r="U69" s="2"/>
      <c r="V69" s="6">
        <f t="shared" si="42"/>
        <v>0</v>
      </c>
      <c r="W69" s="2"/>
      <c r="X69" s="7">
        <f t="shared" si="43"/>
        <v>0</v>
      </c>
      <c r="Y69" s="2"/>
      <c r="Z69" s="6">
        <f t="shared" si="44"/>
        <v>0</v>
      </c>
    </row>
    <row r="70" spans="1:26" s="27" customFormat="1" outlineLevel="1" collapsed="1" x14ac:dyDescent="0.25">
      <c r="A70" s="26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SUM(OSRRefD22_13x_0)</f>
        <v>0</v>
      </c>
      <c r="E70" s="1"/>
      <c r="F70" s="5">
        <f t="shared" ref="F70:F75" si="45">IF(D$12=0,0,D70/D$12)</f>
        <v>0</v>
      </c>
      <c r="G70" s="1"/>
      <c r="H70" s="1">
        <f>SUM(OSRRefH22_13x_0)</f>
        <v>0</v>
      </c>
      <c r="I70" s="1"/>
      <c r="J70" s="5">
        <f t="shared" ref="J70:J75" si="46">IF(H$12=0,0,H70/H$12)</f>
        <v>0</v>
      </c>
      <c r="K70" s="1"/>
      <c r="L70" s="1">
        <f t="shared" ref="L70:L75" si="47">+D70-H70</f>
        <v>0</v>
      </c>
      <c r="M70" s="1"/>
      <c r="N70" s="5">
        <f t="shared" ref="N70:N75" si="48">IF(H70=0,0,L70/H70)</f>
        <v>0</v>
      </c>
      <c r="O70" s="13"/>
      <c r="P70" s="1">
        <f>SUM(OSRRefP22_13x_0)</f>
        <v>0</v>
      </c>
      <c r="Q70" s="1"/>
      <c r="R70" s="5">
        <f t="shared" ref="R70:R75" si="49">IF(P$12=0,0,P70/P$12)</f>
        <v>0</v>
      </c>
      <c r="S70" s="1"/>
      <c r="T70" s="1">
        <f>SUM(OSRRefT22_13x_0)</f>
        <v>0</v>
      </c>
      <c r="U70" s="1"/>
      <c r="V70" s="5">
        <f t="shared" ref="V70:V75" si="50">IF(T$12=0,0,T70/T$12)</f>
        <v>0</v>
      </c>
      <c r="W70" s="1"/>
      <c r="X70" s="1">
        <f t="shared" ref="X70:X75" si="51">+P70-T70</f>
        <v>0</v>
      </c>
      <c r="Y70" s="1"/>
      <c r="Z70" s="5">
        <f t="shared" ref="Z70:Z75" si="52">IF(T70=0,0,X70/T70)</f>
        <v>0</v>
      </c>
    </row>
    <row r="71" spans="1:26" s="24" customFormat="1" hidden="1" outlineLevel="2" x14ac:dyDescent="0.25">
      <c r="A71" s="25"/>
      <c r="B71" s="11" t="str">
        <f>CONCATENATE("          ", "6309", " - ", "TELEPHONE")</f>
        <v xml:space="preserve">          6309 - TELEPHONE</v>
      </c>
      <c r="C71" s="11"/>
      <c r="D71" s="7"/>
      <c r="E71" s="2"/>
      <c r="F71" s="6">
        <f t="shared" si="45"/>
        <v>0</v>
      </c>
      <c r="G71" s="2"/>
      <c r="H71" s="7">
        <v>0</v>
      </c>
      <c r="I71" s="2"/>
      <c r="J71" s="6">
        <f t="shared" si="46"/>
        <v>0</v>
      </c>
      <c r="K71" s="2"/>
      <c r="L71" s="7">
        <f t="shared" si="47"/>
        <v>0</v>
      </c>
      <c r="M71" s="2"/>
      <c r="N71" s="6">
        <f t="shared" si="48"/>
        <v>0</v>
      </c>
      <c r="O71" s="11"/>
      <c r="P71" s="7"/>
      <c r="Q71" s="2"/>
      <c r="R71" s="6">
        <f t="shared" si="49"/>
        <v>0</v>
      </c>
      <c r="S71" s="2"/>
      <c r="T71" s="7">
        <v>0</v>
      </c>
      <c r="U71" s="2"/>
      <c r="V71" s="6">
        <f t="shared" si="50"/>
        <v>0</v>
      </c>
      <c r="W71" s="2"/>
      <c r="X71" s="7">
        <f t="shared" si="51"/>
        <v>0</v>
      </c>
      <c r="Y71" s="2"/>
      <c r="Z71" s="6">
        <f t="shared" si="52"/>
        <v>0</v>
      </c>
    </row>
    <row r="72" spans="1:26" s="27" customFormat="1" outlineLevel="1" collapsed="1" x14ac:dyDescent="0.25">
      <c r="A72" s="26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SUM(OSRRefD22_14x_0)</f>
        <v>0</v>
      </c>
      <c r="E72" s="1"/>
      <c r="F72" s="5">
        <f t="shared" si="45"/>
        <v>0</v>
      </c>
      <c r="G72" s="1"/>
      <c r="H72" s="1">
        <f>SUM(OSRRefH22_14x_0)</f>
        <v>0</v>
      </c>
      <c r="I72" s="1"/>
      <c r="J72" s="5">
        <f t="shared" si="46"/>
        <v>0</v>
      </c>
      <c r="K72" s="1"/>
      <c r="L72" s="1">
        <f t="shared" si="47"/>
        <v>0</v>
      </c>
      <c r="M72" s="1"/>
      <c r="N72" s="5">
        <f t="shared" si="48"/>
        <v>0</v>
      </c>
      <c r="O72" s="13"/>
      <c r="P72" s="1">
        <f>SUM(OSRRefP22_14x_0)</f>
        <v>0</v>
      </c>
      <c r="Q72" s="1"/>
      <c r="R72" s="5">
        <f t="shared" si="49"/>
        <v>0</v>
      </c>
      <c r="S72" s="1"/>
      <c r="T72" s="1">
        <f>SUM(OSRRefT22_14x_0)</f>
        <v>0</v>
      </c>
      <c r="U72" s="1"/>
      <c r="V72" s="5">
        <f t="shared" si="50"/>
        <v>0</v>
      </c>
      <c r="W72" s="1"/>
      <c r="X72" s="1">
        <f t="shared" si="51"/>
        <v>0</v>
      </c>
      <c r="Y72" s="1"/>
      <c r="Z72" s="5">
        <f t="shared" si="52"/>
        <v>0</v>
      </c>
    </row>
    <row r="73" spans="1:26" s="24" customFormat="1" hidden="1" outlineLevel="2" x14ac:dyDescent="0.25">
      <c r="A73" s="25"/>
      <c r="B73" s="11" t="str">
        <f>CONCATENATE("          ", "6376", " - ", "TRAINING")</f>
        <v xml:space="preserve">          6376 - TRAINING</v>
      </c>
      <c r="C73" s="11"/>
      <c r="D73" s="7"/>
      <c r="E73" s="2"/>
      <c r="F73" s="6">
        <f t="shared" si="45"/>
        <v>0</v>
      </c>
      <c r="G73" s="2"/>
      <c r="H73" s="7"/>
      <c r="I73" s="2"/>
      <c r="J73" s="6">
        <f t="shared" si="46"/>
        <v>0</v>
      </c>
      <c r="K73" s="2"/>
      <c r="L73" s="7">
        <f t="shared" si="47"/>
        <v>0</v>
      </c>
      <c r="M73" s="2"/>
      <c r="N73" s="6">
        <f t="shared" si="48"/>
        <v>0</v>
      </c>
      <c r="O73" s="11"/>
      <c r="P73" s="7"/>
      <c r="Q73" s="2"/>
      <c r="R73" s="6">
        <f t="shared" si="49"/>
        <v>0</v>
      </c>
      <c r="S73" s="2"/>
      <c r="T73" s="7">
        <v>0</v>
      </c>
      <c r="U73" s="2"/>
      <c r="V73" s="6">
        <f t="shared" si="50"/>
        <v>0</v>
      </c>
      <c r="W73" s="2"/>
      <c r="X73" s="7">
        <f t="shared" si="51"/>
        <v>0</v>
      </c>
      <c r="Y73" s="2"/>
      <c r="Z73" s="6">
        <f t="shared" si="52"/>
        <v>0</v>
      </c>
    </row>
    <row r="74" spans="1:26" s="27" customFormat="1" outlineLevel="1" collapsed="1" x14ac:dyDescent="0.25">
      <c r="A74" s="26"/>
      <c r="B74" s="13" t="str">
        <f>CONCATENATE("     ","Travel                                            ")</f>
        <v xml:space="preserve">     Travel                                            </v>
      </c>
      <c r="C74" s="13"/>
      <c r="D74" s="1">
        <f>SUM(OSRRefD22_15x_0)</f>
        <v>0</v>
      </c>
      <c r="E74" s="1"/>
      <c r="F74" s="5">
        <f t="shared" si="45"/>
        <v>0</v>
      </c>
      <c r="G74" s="1"/>
      <c r="H74" s="1">
        <f>SUM(OSRRefH22_15x_0)</f>
        <v>0</v>
      </c>
      <c r="I74" s="1"/>
      <c r="J74" s="5">
        <f t="shared" si="46"/>
        <v>0</v>
      </c>
      <c r="K74" s="1"/>
      <c r="L74" s="1">
        <f t="shared" si="47"/>
        <v>0</v>
      </c>
      <c r="M74" s="1"/>
      <c r="N74" s="5">
        <f t="shared" si="48"/>
        <v>0</v>
      </c>
      <c r="O74" s="13"/>
      <c r="P74" s="1">
        <f>SUM(OSRRefP22_15x_0)</f>
        <v>0</v>
      </c>
      <c r="Q74" s="1"/>
      <c r="R74" s="5">
        <f t="shared" si="49"/>
        <v>0</v>
      </c>
      <c r="S74" s="1"/>
      <c r="T74" s="1">
        <f>SUM(OSRRefT22_15x_0)</f>
        <v>0</v>
      </c>
      <c r="U74" s="1"/>
      <c r="V74" s="5">
        <f t="shared" si="50"/>
        <v>0</v>
      </c>
      <c r="W74" s="1"/>
      <c r="X74" s="1">
        <f t="shared" si="51"/>
        <v>0</v>
      </c>
      <c r="Y74" s="1"/>
      <c r="Z74" s="5">
        <f t="shared" si="52"/>
        <v>0</v>
      </c>
    </row>
    <row r="75" spans="1:26" s="24" customFormat="1" hidden="1" outlineLevel="2" x14ac:dyDescent="0.25">
      <c r="A75" s="25"/>
      <c r="B75" s="11" t="str">
        <f>CONCATENATE("          ", "6292", " - ", "TRAVEL/CONFERENCE")</f>
        <v xml:space="preserve">          6292 - TRAVEL/CONFERENCE</v>
      </c>
      <c r="C75" s="11"/>
      <c r="D75" s="7"/>
      <c r="E75" s="2"/>
      <c r="F75" s="6">
        <f t="shared" si="45"/>
        <v>0</v>
      </c>
      <c r="G75" s="2"/>
      <c r="H75" s="7"/>
      <c r="I75" s="2"/>
      <c r="J75" s="6">
        <f t="shared" si="46"/>
        <v>0</v>
      </c>
      <c r="K75" s="2"/>
      <c r="L75" s="7">
        <f t="shared" si="47"/>
        <v>0</v>
      </c>
      <c r="M75" s="2"/>
      <c r="N75" s="6">
        <f t="shared" si="48"/>
        <v>0</v>
      </c>
      <c r="O75" s="11"/>
      <c r="P75" s="7"/>
      <c r="Q75" s="2"/>
      <c r="R75" s="6">
        <f t="shared" si="49"/>
        <v>0</v>
      </c>
      <c r="S75" s="2"/>
      <c r="T75" s="7">
        <v>0</v>
      </c>
      <c r="U75" s="2"/>
      <c r="V75" s="6">
        <f t="shared" si="50"/>
        <v>0</v>
      </c>
      <c r="W75" s="2"/>
      <c r="X75" s="7">
        <f t="shared" si="51"/>
        <v>0</v>
      </c>
      <c r="Y75" s="2"/>
      <c r="Z75" s="6">
        <f t="shared" si="52"/>
        <v>0</v>
      </c>
    </row>
    <row r="76" spans="1:26" s="56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9" t="s">
        <v>293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8" t="s">
        <v>277</v>
      </c>
      <c r="C79" s="28"/>
      <c r="D79" s="20">
        <f>+D21-D23+D77</f>
        <v>-1825.23</v>
      </c>
      <c r="E79" s="14"/>
      <c r="F79" s="21">
        <f>IF(D$12=0,0,D79/D$12)</f>
        <v>0</v>
      </c>
      <c r="G79" s="14"/>
      <c r="H79" s="20">
        <f>+H21-H23+H77</f>
        <v>-1972</v>
      </c>
      <c r="I79" s="14"/>
      <c r="J79" s="21">
        <f>IF(H$12=0,0,H79/H$12)</f>
        <v>0</v>
      </c>
      <c r="K79" s="15"/>
      <c r="L79" s="20">
        <f>+D79-H79</f>
        <v>146.76999999999998</v>
      </c>
      <c r="M79" s="15"/>
      <c r="N79" s="21">
        <f>IF(H79=0,0,L79/H79)</f>
        <v>-7.4426977687626766E-2</v>
      </c>
      <c r="O79" s="29"/>
      <c r="P79" s="20">
        <f>+P21-P23+P77</f>
        <v>-18398.109999999997</v>
      </c>
      <c r="Q79" s="14"/>
      <c r="R79" s="21">
        <f>IF(P$12=0,0,P79/P$12)</f>
        <v>-18.871598403955236</v>
      </c>
      <c r="S79" s="14"/>
      <c r="T79" s="20">
        <f>+T21-T23+T77</f>
        <v>-21692</v>
      </c>
      <c r="U79" s="14"/>
      <c r="V79" s="21">
        <f>IF(T$12=0,0,T79/T$12)</f>
        <v>0</v>
      </c>
      <c r="W79" s="15"/>
      <c r="X79" s="20">
        <f>+P79-T79</f>
        <v>3293.8900000000031</v>
      </c>
      <c r="Y79" s="15"/>
      <c r="Z79" s="21">
        <f>IF(T79=0,0,X79/T79)</f>
        <v>-0.151848146782224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128</v>
      </c>
      <c r="C81" s="10"/>
      <c r="D81" s="4">
        <v>4.37</v>
      </c>
      <c r="E81" s="4"/>
      <c r="F81" s="12">
        <f>IF(D$12=0,0,D81/D$12)</f>
        <v>0</v>
      </c>
      <c r="G81" s="4"/>
      <c r="H81" s="4"/>
      <c r="I81" s="4"/>
      <c r="J81" s="12">
        <f>IF(H$12=0,0,H81/H$12)</f>
        <v>0</v>
      </c>
      <c r="K81" s="4"/>
      <c r="L81" s="4">
        <f>+D81-H81</f>
        <v>4.37</v>
      </c>
      <c r="M81" s="4"/>
      <c r="N81" s="12">
        <f>IF(H81=0,0,L81/H81)</f>
        <v>0</v>
      </c>
      <c r="O81" s="10"/>
      <c r="P81" s="4">
        <v>208.33</v>
      </c>
      <c r="Q81" s="4"/>
      <c r="R81" s="12">
        <f>IF(P$12=0,0,P81/P$12)</f>
        <v>0.21369152024289423</v>
      </c>
      <c r="S81" s="4"/>
      <c r="T81" s="4"/>
      <c r="U81" s="4"/>
      <c r="V81" s="12">
        <f>IF(T$12=0,0,T81/T$12)</f>
        <v>0</v>
      </c>
      <c r="W81" s="4"/>
      <c r="X81" s="4">
        <f>+P81-T81</f>
        <v>208.33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126</v>
      </c>
      <c r="C83" s="28"/>
      <c r="D83" s="35">
        <f>+D79-D81</f>
        <v>-1829.6</v>
      </c>
      <c r="E83" s="14"/>
      <c r="F83" s="34">
        <f>IF(D$12=0,0,D83/D$12)</f>
        <v>0</v>
      </c>
      <c r="G83" s="14"/>
      <c r="H83" s="35">
        <f>+H79-H81</f>
        <v>-1972</v>
      </c>
      <c r="I83" s="14"/>
      <c r="J83" s="34">
        <f>IF(H$12=0,0,H83/H$12)</f>
        <v>0</v>
      </c>
      <c r="K83" s="15"/>
      <c r="L83" s="35">
        <f>D83-H83</f>
        <v>142.40000000000009</v>
      </c>
      <c r="M83" s="15"/>
      <c r="N83" s="34">
        <f>IF(H83=0,0,L83/H83)</f>
        <v>-7.2210953346856024E-2</v>
      </c>
      <c r="O83" s="29"/>
      <c r="P83" s="35">
        <f>+P79-P81</f>
        <v>-18606.439999999999</v>
      </c>
      <c r="Q83" s="14"/>
      <c r="R83" s="34">
        <f>IF(P$12=0,0,P83/P$12)</f>
        <v>-19.085289924198129</v>
      </c>
      <c r="S83" s="14"/>
      <c r="T83" s="35">
        <f>+T79-T81</f>
        <v>-21692</v>
      </c>
      <c r="U83" s="14"/>
      <c r="V83" s="34">
        <f>IF(T$12=0,0,T83/T$12)</f>
        <v>0</v>
      </c>
      <c r="W83" s="15"/>
      <c r="X83" s="35">
        <f>P83-T83</f>
        <v>3085.5600000000013</v>
      </c>
      <c r="Y83" s="15"/>
      <c r="Z83" s="34">
        <f>IF(T83=0,0,X83/T83)</f>
        <v>-0.1422441453070257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294</v>
      </c>
      <c r="C86" s="28"/>
      <c r="D86" s="33">
        <f>SUM(D83:D85)</f>
        <v>-1829.6</v>
      </c>
      <c r="E86" s="14"/>
      <c r="F86" s="32">
        <f>IF(D$12=0,0,D86/D$12)</f>
        <v>0</v>
      </c>
      <c r="G86" s="14"/>
      <c r="H86" s="33">
        <f>SUM(H83:H85)</f>
        <v>-1972</v>
      </c>
      <c r="I86" s="14"/>
      <c r="J86" s="32">
        <f>IF(H$12=0,0,H86/H$12)</f>
        <v>0</v>
      </c>
      <c r="K86" s="15"/>
      <c r="L86" s="33">
        <f>+D86-H86</f>
        <v>142.40000000000009</v>
      </c>
      <c r="M86" s="15"/>
      <c r="N86" s="32">
        <f>IF(H86=0,0,L86/H86)</f>
        <v>-7.2210953346856024E-2</v>
      </c>
      <c r="O86" s="29"/>
      <c r="P86" s="33">
        <f>SUM(P83:P85)</f>
        <v>-18606.439999999999</v>
      </c>
      <c r="Q86" s="14"/>
      <c r="R86" s="32">
        <f>IF(P$12=0,0,P86/P$12)</f>
        <v>-19.085289924198129</v>
      </c>
      <c r="S86" s="14"/>
      <c r="T86" s="33">
        <f>SUM(T83:T85)</f>
        <v>-21692</v>
      </c>
      <c r="U86" s="14"/>
      <c r="V86" s="32">
        <f>IF(T$12=0,0,T86/T$12)</f>
        <v>0</v>
      </c>
      <c r="W86" s="15"/>
      <c r="X86" s="33">
        <f>+P86-T86</f>
        <v>3085.5600000000013</v>
      </c>
      <c r="Y86" s="15"/>
      <c r="Z86" s="32">
        <f>IF(T86=0,0,X86/T86)</f>
        <v>-0.1422441453070257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60">
        <v>44356.891834571761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5" t="s">
        <v>56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63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139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1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","415", " - ", "Outpost")</f>
        <v>Department 415 - Outpost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13776.529999999999</v>
      </c>
      <c r="E12" s="4"/>
      <c r="F12" s="12"/>
      <c r="G12" s="4"/>
      <c r="H12" s="4">
        <f>SUM(OSRRefH13x_0)</f>
        <v>13095</v>
      </c>
      <c r="I12" s="4"/>
      <c r="J12" s="12"/>
      <c r="K12" s="4"/>
      <c r="L12" s="4">
        <f t="shared" ref="L12:L16" si="0">+D12-H12</f>
        <v>681.52999999999884</v>
      </c>
      <c r="M12" s="4"/>
      <c r="N12" s="12">
        <f t="shared" ref="N12:N16" si="1">IF(H12=0,0,L12/H12)</f>
        <v>5.2045055364642906E-2</v>
      </c>
      <c r="O12" s="10"/>
      <c r="P12" s="4">
        <f>SUM(OSRRefP13x_0)</f>
        <v>77166.19</v>
      </c>
      <c r="Q12" s="4"/>
      <c r="R12" s="12"/>
      <c r="S12" s="4"/>
      <c r="T12" s="4">
        <f>SUM(OSRRefT13x_0)</f>
        <v>222795</v>
      </c>
      <c r="U12" s="4"/>
      <c r="V12" s="12"/>
      <c r="W12" s="4"/>
      <c r="X12" s="4">
        <f t="shared" ref="X12:X16" si="2">+P12-T12</f>
        <v>-145628.81</v>
      </c>
      <c r="Y12" s="4"/>
      <c r="Z12" s="12">
        <f t="shared" ref="Z12:Z16" si="3">IF(T12=0,0,X12/T12)</f>
        <v>-0.65364487533382709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4070</v>
      </c>
      <c r="I13" s="2"/>
      <c r="J13" s="19"/>
      <c r="K13" s="2"/>
      <c r="L13" s="2">
        <f t="shared" si="0"/>
        <v>-4070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69292</v>
      </c>
      <c r="U13" s="2"/>
      <c r="V13" s="19"/>
      <c r="W13" s="2"/>
      <c r="X13" s="2">
        <f t="shared" si="2"/>
        <v>-69292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--7161.66</f>
        <v>7161.66</v>
      </c>
      <c r="E14" s="2"/>
      <c r="F14" s="19"/>
      <c r="G14" s="2"/>
      <c r="H14" s="2"/>
      <c r="I14" s="2"/>
      <c r="J14" s="19"/>
      <c r="K14" s="2"/>
      <c r="L14" s="2">
        <f t="shared" si="0"/>
        <v>7161.66</v>
      </c>
      <c r="M14" s="2"/>
      <c r="N14" s="19">
        <f t="shared" si="1"/>
        <v>0</v>
      </c>
      <c r="O14" s="11"/>
      <c r="P14" s="2">
        <f>--39282.92</f>
        <v>39282.92</v>
      </c>
      <c r="Q14" s="2"/>
      <c r="R14" s="19"/>
      <c r="S14" s="2"/>
      <c r="T14" s="2"/>
      <c r="U14" s="2"/>
      <c r="V14" s="19"/>
      <c r="W14" s="2"/>
      <c r="X14" s="2">
        <f t="shared" si="2"/>
        <v>39282.92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9025</v>
      </c>
      <c r="I15" s="2"/>
      <c r="J15" s="19"/>
      <c r="K15" s="2"/>
      <c r="L15" s="2">
        <f t="shared" si="0"/>
        <v>-9025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153503</v>
      </c>
      <c r="U15" s="2"/>
      <c r="V15" s="19"/>
      <c r="W15" s="2"/>
      <c r="X15" s="2">
        <f t="shared" si="2"/>
        <v>-153503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--6614.87</f>
        <v>6614.87</v>
      </c>
      <c r="E16" s="2"/>
      <c r="F16" s="19"/>
      <c r="G16" s="2"/>
      <c r="H16" s="2"/>
      <c r="I16" s="2"/>
      <c r="J16" s="19"/>
      <c r="K16" s="2"/>
      <c r="L16" s="2">
        <f t="shared" si="0"/>
        <v>6614.87</v>
      </c>
      <c r="M16" s="2"/>
      <c r="N16" s="19">
        <f t="shared" si="1"/>
        <v>0</v>
      </c>
      <c r="O16" s="11"/>
      <c r="P16" s="2">
        <f>--37883.27</f>
        <v>37883.269999999997</v>
      </c>
      <c r="Q16" s="2"/>
      <c r="R16" s="19"/>
      <c r="S16" s="2"/>
      <c r="T16" s="2"/>
      <c r="U16" s="2"/>
      <c r="V16" s="19"/>
      <c r="W16" s="2"/>
      <c r="X16" s="2">
        <f t="shared" si="2"/>
        <v>37883.269999999997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257</v>
      </c>
      <c r="C18" s="10"/>
      <c r="D18" s="4">
        <f>SUM(OSRRefD16x_0)</f>
        <v>4243.1399999999994</v>
      </c>
      <c r="E18" s="4"/>
      <c r="F18" s="12">
        <f t="shared" ref="F18:F21" si="4">IF(D$12=0,0,D18/D$12)</f>
        <v>0.30799773237527883</v>
      </c>
      <c r="G18" s="4"/>
      <c r="H18" s="4">
        <f>SUM(OSRRefH16x_0)</f>
        <v>4323</v>
      </c>
      <c r="I18" s="4"/>
      <c r="J18" s="12">
        <f t="shared" ref="J18:J21" si="5">IF(H$12=0,0,H18/H$12)</f>
        <v>0.33012600229095074</v>
      </c>
      <c r="K18" s="4"/>
      <c r="L18" s="4">
        <f t="shared" ref="L18:L21" si="6">+D18-H18</f>
        <v>-79.860000000000582</v>
      </c>
      <c r="M18" s="4"/>
      <c r="N18" s="12">
        <f t="shared" ref="N18:N21" si="7">IF(H18=0,0,L18/H18)</f>
        <v>-1.8473282442748228E-2</v>
      </c>
      <c r="O18" s="10"/>
      <c r="P18" s="4">
        <f>SUM(OSRRefP16x_0)</f>
        <v>29397.629999999997</v>
      </c>
      <c r="Q18" s="4"/>
      <c r="R18" s="12">
        <f t="shared" ref="R18:R21" si="8">IF(P$12=0,0,P18/P$12)</f>
        <v>0.38096516103749578</v>
      </c>
      <c r="S18" s="4"/>
      <c r="T18" s="4">
        <f>SUM(OSRRefT16x_0)</f>
        <v>70617</v>
      </c>
      <c r="U18" s="4"/>
      <c r="V18" s="12">
        <f t="shared" ref="V18:V21" si="9">IF(T$12=0,0,T18/T$12)</f>
        <v>0.3169595367939137</v>
      </c>
      <c r="W18" s="4"/>
      <c r="X18" s="4">
        <f t="shared" ref="X18:X21" si="10">+P18-T18</f>
        <v>-41219.370000000003</v>
      </c>
      <c r="Y18" s="4"/>
      <c r="Z18" s="12">
        <f t="shared" ref="Z18:Z21" si="11">IF(T18=0,0,X18/T18)</f>
        <v>-0.58370321593950469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4323</v>
      </c>
      <c r="I19" s="2"/>
      <c r="J19" s="19">
        <f t="shared" si="5"/>
        <v>0.33012600229095074</v>
      </c>
      <c r="K19" s="2"/>
      <c r="L19" s="2">
        <f t="shared" si="6"/>
        <v>-4323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70617</v>
      </c>
      <c r="U19" s="2"/>
      <c r="V19" s="19">
        <f t="shared" si="9"/>
        <v>0.3169595367939137</v>
      </c>
      <c r="W19" s="2"/>
      <c r="X19" s="2">
        <f t="shared" si="10"/>
        <v>-70617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3991.14</v>
      </c>
      <c r="E20" s="2"/>
      <c r="F20" s="19">
        <f t="shared" si="4"/>
        <v>0.28970575319038977</v>
      </c>
      <c r="G20" s="2"/>
      <c r="H20" s="2"/>
      <c r="I20" s="2"/>
      <c r="J20" s="19">
        <f t="shared" si="5"/>
        <v>0</v>
      </c>
      <c r="K20" s="2"/>
      <c r="L20" s="2">
        <f t="shared" si="6"/>
        <v>3991.14</v>
      </c>
      <c r="M20" s="2"/>
      <c r="N20" s="19">
        <f t="shared" si="7"/>
        <v>0</v>
      </c>
      <c r="O20" s="11"/>
      <c r="P20" s="2">
        <v>23761.62</v>
      </c>
      <c r="Q20" s="2"/>
      <c r="R20" s="19">
        <f t="shared" si="8"/>
        <v>0.30792786322610977</v>
      </c>
      <c r="S20" s="2"/>
      <c r="T20" s="2"/>
      <c r="U20" s="2"/>
      <c r="V20" s="19">
        <f t="shared" si="9"/>
        <v>0</v>
      </c>
      <c r="W20" s="2"/>
      <c r="X20" s="2">
        <f t="shared" si="10"/>
        <v>23761.62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252</v>
      </c>
      <c r="E21" s="2"/>
      <c r="F21" s="19">
        <f t="shared" si="4"/>
        <v>1.8291979184889083E-2</v>
      </c>
      <c r="G21" s="2"/>
      <c r="H21" s="2"/>
      <c r="I21" s="2"/>
      <c r="J21" s="19">
        <f t="shared" si="5"/>
        <v>0</v>
      </c>
      <c r="K21" s="2"/>
      <c r="L21" s="2">
        <f t="shared" si="6"/>
        <v>252</v>
      </c>
      <c r="M21" s="2"/>
      <c r="N21" s="19">
        <f t="shared" si="7"/>
        <v>0</v>
      </c>
      <c r="O21" s="11"/>
      <c r="P21" s="2">
        <v>5636.01</v>
      </c>
      <c r="Q21" s="2"/>
      <c r="R21" s="19">
        <f t="shared" si="8"/>
        <v>7.3037297811386043E-2</v>
      </c>
      <c r="S21" s="2"/>
      <c r="T21" s="2"/>
      <c r="U21" s="2"/>
      <c r="V21" s="19">
        <f t="shared" si="9"/>
        <v>0</v>
      </c>
      <c r="W21" s="2"/>
      <c r="X21" s="2">
        <f t="shared" si="10"/>
        <v>5636.01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0">
        <f>D12-D18</f>
        <v>9533.39</v>
      </c>
      <c r="E23" s="14"/>
      <c r="F23" s="21">
        <f>IF(D$12=0,0,D23/D$12)</f>
        <v>0.69200226762472117</v>
      </c>
      <c r="G23" s="14"/>
      <c r="H23" s="20">
        <f>H12-H18</f>
        <v>8772</v>
      </c>
      <c r="I23" s="14"/>
      <c r="J23" s="21">
        <f>IF(H$12=0,0,H23/H$12)</f>
        <v>0.66987399770904921</v>
      </c>
      <c r="K23" s="15"/>
      <c r="L23" s="20">
        <f>+D23-H23</f>
        <v>761.38999999999942</v>
      </c>
      <c r="M23" s="15"/>
      <c r="N23" s="21">
        <f>IF(H23=0,0,L23/H23)</f>
        <v>8.6797765617874986E-2</v>
      </c>
      <c r="O23" s="29"/>
      <c r="P23" s="20">
        <f>P12-P18</f>
        <v>47768.560000000005</v>
      </c>
      <c r="Q23" s="14"/>
      <c r="R23" s="21">
        <f>IF(P$12=0,0,P23/P$12)</f>
        <v>0.61903483896250422</v>
      </c>
      <c r="S23" s="14"/>
      <c r="T23" s="20">
        <f>T12-T18</f>
        <v>152178</v>
      </c>
      <c r="U23" s="14"/>
      <c r="V23" s="21">
        <f>IF(T$12=0,0,T23/T$12)</f>
        <v>0.68304046320608636</v>
      </c>
      <c r="W23" s="15"/>
      <c r="X23" s="20">
        <f>+P23-T23</f>
        <v>-104409.44</v>
      </c>
      <c r="Y23" s="15"/>
      <c r="Z23" s="21">
        <f>IF(T23=0,0,X23/T23)</f>
        <v>-0.68610075043698826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2">
        <f>SUM(OSRRefD22x_0)</f>
        <v>61557.009999999987</v>
      </c>
      <c r="E25" s="22"/>
      <c r="F25" s="31">
        <f t="shared" ref="F25:F35" si="12">IF(D$12=0,0,D25/D$12)</f>
        <v>4.468252165095274</v>
      </c>
      <c r="G25" s="22"/>
      <c r="H25" s="22">
        <f>SUM(OSRRefH22x_0)</f>
        <v>52625.581453892315</v>
      </c>
      <c r="I25" s="22"/>
      <c r="J25" s="31">
        <f t="shared" ref="J25:J35" si="13">IF(H$12=0,0,H25/H$12)</f>
        <v>4.0187538338214823</v>
      </c>
      <c r="K25" s="4"/>
      <c r="L25" s="22">
        <f t="shared" ref="L25:L35" si="14">+D25-H25</f>
        <v>8931.4285461076724</v>
      </c>
      <c r="M25" s="4"/>
      <c r="N25" s="31">
        <f t="shared" ref="N25:N35" si="15">IF(H25=0,0,L25/H25)</f>
        <v>0.1697164819724207</v>
      </c>
      <c r="O25" s="10"/>
      <c r="P25" s="22">
        <f>SUM(OSRRefP22x_0)</f>
        <v>669077.43000000017</v>
      </c>
      <c r="Q25" s="22"/>
      <c r="R25" s="31">
        <f t="shared" ref="R25:R35" si="16">IF(P$12=0,0,P25/P$12)</f>
        <v>8.670603408046972</v>
      </c>
      <c r="S25" s="22"/>
      <c r="T25" s="22">
        <f>SUM(OSRRefT22x_0)</f>
        <v>623238.26558329235</v>
      </c>
      <c r="U25" s="22"/>
      <c r="V25" s="31">
        <f t="shared" ref="V25:V35" si="17">IF(T$12=0,0,T25/T$12)</f>
        <v>2.7973619945837758</v>
      </c>
      <c r="W25" s="4"/>
      <c r="X25" s="22">
        <f t="shared" ref="X25:X35" si="18">+P25-T25</f>
        <v>45839.164416707819</v>
      </c>
      <c r="Y25" s="4"/>
      <c r="Z25" s="31">
        <f t="shared" ref="Z25:Z35" si="19">IF(T25=0,0,X25/T25)</f>
        <v>7.3549983927586146E-2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13574.920000000002</v>
      </c>
      <c r="E26" s="1"/>
      <c r="F26" s="5">
        <f t="shared" si="12"/>
        <v>0.98536569077989911</v>
      </c>
      <c r="G26" s="1"/>
      <c r="H26" s="1">
        <f>SUM(OSRRefH22_0x_0)</f>
        <v>6176.5090538923105</v>
      </c>
      <c r="I26" s="1"/>
      <c r="J26" s="5">
        <f t="shared" si="13"/>
        <v>0.47166926719299812</v>
      </c>
      <c r="K26" s="1"/>
      <c r="L26" s="1">
        <f t="shared" si="14"/>
        <v>7398.4109461076914</v>
      </c>
      <c r="M26" s="1"/>
      <c r="N26" s="5">
        <f t="shared" si="15"/>
        <v>1.1978305028866367</v>
      </c>
      <c r="O26" s="13"/>
      <c r="P26" s="1">
        <f>SUM(OSRRefP22_0x_0)</f>
        <v>149043.84000000003</v>
      </c>
      <c r="Q26" s="1"/>
      <c r="R26" s="5">
        <f t="shared" si="16"/>
        <v>1.9314655809752952</v>
      </c>
      <c r="S26" s="1"/>
      <c r="T26" s="1">
        <f>SUM(OSRRefT22_0x_0)</f>
        <v>68277.771983292303</v>
      </c>
      <c r="U26" s="1"/>
      <c r="V26" s="5">
        <f t="shared" si="17"/>
        <v>0.30646007308643508</v>
      </c>
      <c r="W26" s="1"/>
      <c r="X26" s="1">
        <f t="shared" si="18"/>
        <v>80766.068016707723</v>
      </c>
      <c r="Y26" s="1"/>
      <c r="Z26" s="5">
        <f t="shared" si="19"/>
        <v>1.1829042698767518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1543.68</v>
      </c>
      <c r="E27" s="2"/>
      <c r="F27" s="6">
        <f t="shared" si="12"/>
        <v>0.11205143820686343</v>
      </c>
      <c r="G27" s="2"/>
      <c r="H27" s="7">
        <v>718.1223162</v>
      </c>
      <c r="I27" s="2"/>
      <c r="J27" s="6">
        <f t="shared" si="13"/>
        <v>5.4839428499427259E-2</v>
      </c>
      <c r="K27" s="2"/>
      <c r="L27" s="7">
        <f t="shared" si="14"/>
        <v>825.55768380000006</v>
      </c>
      <c r="M27" s="2"/>
      <c r="N27" s="6">
        <f t="shared" si="15"/>
        <v>1.1496059448040867</v>
      </c>
      <c r="O27" s="11"/>
      <c r="P27" s="7">
        <v>17344.330000000002</v>
      </c>
      <c r="Q27" s="2"/>
      <c r="R27" s="6">
        <f t="shared" si="16"/>
        <v>0.22476592404004916</v>
      </c>
      <c r="S27" s="2"/>
      <c r="T27" s="7">
        <v>7764.0082955999997</v>
      </c>
      <c r="U27" s="2"/>
      <c r="V27" s="6">
        <f t="shared" si="17"/>
        <v>3.4848216053322563E-2</v>
      </c>
      <c r="W27" s="2"/>
      <c r="X27" s="7">
        <f t="shared" si="18"/>
        <v>9580.3217044000012</v>
      </c>
      <c r="Y27" s="2"/>
      <c r="Z27" s="6">
        <f t="shared" si="19"/>
        <v>1.233940168486082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865.26</v>
      </c>
      <c r="E28" s="2"/>
      <c r="F28" s="6">
        <f t="shared" si="12"/>
        <v>6.2806817101258447E-2</v>
      </c>
      <c r="G28" s="2"/>
      <c r="H28" s="7">
        <v>697.42101000000002</v>
      </c>
      <c r="I28" s="2"/>
      <c r="J28" s="6">
        <f t="shared" si="13"/>
        <v>5.3258572737686138E-2</v>
      </c>
      <c r="K28" s="2"/>
      <c r="L28" s="7">
        <f t="shared" si="14"/>
        <v>167.83898999999997</v>
      </c>
      <c r="M28" s="2"/>
      <c r="N28" s="6">
        <f t="shared" si="15"/>
        <v>0.24065663006051388</v>
      </c>
      <c r="O28" s="11"/>
      <c r="P28" s="7">
        <v>7365.94</v>
      </c>
      <c r="Q28" s="2"/>
      <c r="R28" s="6">
        <f t="shared" si="16"/>
        <v>9.5455535643265518E-2</v>
      </c>
      <c r="S28" s="2"/>
      <c r="T28" s="7">
        <v>7119.2223960000001</v>
      </c>
      <c r="U28" s="2"/>
      <c r="V28" s="6">
        <f t="shared" si="17"/>
        <v>3.1954138988756479E-2</v>
      </c>
      <c r="W28" s="2"/>
      <c r="X28" s="7">
        <f t="shared" si="18"/>
        <v>246.71760399999948</v>
      </c>
      <c r="Y28" s="2"/>
      <c r="Z28" s="6">
        <f t="shared" si="19"/>
        <v>3.4655133703734277E-2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6634.06</v>
      </c>
      <c r="E29" s="2"/>
      <c r="F29" s="6">
        <f t="shared" si="12"/>
        <v>0.4815479659972432</v>
      </c>
      <c r="G29" s="2"/>
      <c r="H29" s="7">
        <v>3212.6923076923099</v>
      </c>
      <c r="I29" s="2"/>
      <c r="J29" s="6">
        <f t="shared" si="13"/>
        <v>0.24533732781155479</v>
      </c>
      <c r="K29" s="2"/>
      <c r="L29" s="7">
        <f t="shared" si="14"/>
        <v>3421.3676923076905</v>
      </c>
      <c r="M29" s="2"/>
      <c r="N29" s="6">
        <f t="shared" si="15"/>
        <v>1.064953429905422</v>
      </c>
      <c r="O29" s="11"/>
      <c r="P29" s="7">
        <v>74101.69</v>
      </c>
      <c r="Q29" s="2"/>
      <c r="R29" s="6">
        <f t="shared" si="16"/>
        <v>0.96028701170810693</v>
      </c>
      <c r="S29" s="2"/>
      <c r="T29" s="7">
        <v>35922.192307692298</v>
      </c>
      <c r="U29" s="2"/>
      <c r="V29" s="6">
        <f t="shared" si="17"/>
        <v>0.16123428401756007</v>
      </c>
      <c r="W29" s="2"/>
      <c r="X29" s="7">
        <f t="shared" si="18"/>
        <v>38179.497692307705</v>
      </c>
      <c r="Y29" s="2"/>
      <c r="Z29" s="6">
        <f t="shared" si="19"/>
        <v>1.0628387422816628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74.930000000000007</v>
      </c>
      <c r="E30" s="2"/>
      <c r="F30" s="6">
        <f t="shared" si="12"/>
        <v>5.438960318744997E-3</v>
      </c>
      <c r="G30" s="2"/>
      <c r="H30" s="7">
        <v>42.267940000000003</v>
      </c>
      <c r="I30" s="2"/>
      <c r="J30" s="6">
        <f t="shared" si="13"/>
        <v>3.2277922871324937E-3</v>
      </c>
      <c r="K30" s="2"/>
      <c r="L30" s="7">
        <f t="shared" si="14"/>
        <v>32.662060000000004</v>
      </c>
      <c r="M30" s="2"/>
      <c r="N30" s="6">
        <f t="shared" si="15"/>
        <v>0.77273839226610053</v>
      </c>
      <c r="O30" s="11"/>
      <c r="P30" s="7">
        <v>646.92999999999995</v>
      </c>
      <c r="Q30" s="2"/>
      <c r="R30" s="6">
        <f t="shared" si="16"/>
        <v>8.3835939029774566E-3</v>
      </c>
      <c r="S30" s="2"/>
      <c r="T30" s="7">
        <v>431.46802400000001</v>
      </c>
      <c r="U30" s="2"/>
      <c r="V30" s="6">
        <f t="shared" si="17"/>
        <v>1.9366144841670594E-3</v>
      </c>
      <c r="W30" s="2"/>
      <c r="X30" s="7">
        <f t="shared" si="18"/>
        <v>215.46197599999994</v>
      </c>
      <c r="Y30" s="2"/>
      <c r="Z30" s="6">
        <f t="shared" si="19"/>
        <v>0.49936951063608814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1562.6</v>
      </c>
      <c r="E31" s="2"/>
      <c r="F31" s="6">
        <f t="shared" si="12"/>
        <v>0.11342478839010985</v>
      </c>
      <c r="G31" s="2"/>
      <c r="H31" s="7">
        <v>434.17788000000002</v>
      </c>
      <c r="I31" s="2"/>
      <c r="J31" s="6">
        <f t="shared" si="13"/>
        <v>3.3156004581901488E-2</v>
      </c>
      <c r="K31" s="2"/>
      <c r="L31" s="7">
        <f t="shared" si="14"/>
        <v>1128.4221199999999</v>
      </c>
      <c r="M31" s="2"/>
      <c r="N31" s="6">
        <f t="shared" si="15"/>
        <v>2.5989857428941332</v>
      </c>
      <c r="O31" s="11"/>
      <c r="P31" s="7">
        <v>17490.72</v>
      </c>
      <c r="Q31" s="2"/>
      <c r="R31" s="6">
        <f t="shared" si="16"/>
        <v>0.2266629983934674</v>
      </c>
      <c r="S31" s="2"/>
      <c r="T31" s="7">
        <v>5210.1345600000004</v>
      </c>
      <c r="U31" s="2"/>
      <c r="V31" s="6">
        <f t="shared" si="17"/>
        <v>2.33853298323571E-2</v>
      </c>
      <c r="W31" s="2"/>
      <c r="X31" s="7">
        <f t="shared" si="18"/>
        <v>12280.585440000001</v>
      </c>
      <c r="Y31" s="2"/>
      <c r="Z31" s="6">
        <f t="shared" si="19"/>
        <v>2.3570572503601519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7">
        <v>1440.4</v>
      </c>
      <c r="E33" s="2"/>
      <c r="F33" s="6">
        <f t="shared" si="12"/>
        <v>0.10455463022981841</v>
      </c>
      <c r="G33" s="2"/>
      <c r="H33" s="7">
        <v>417.22899999999998</v>
      </c>
      <c r="I33" s="2"/>
      <c r="J33" s="6">
        <f t="shared" si="13"/>
        <v>3.1861702940053457E-2</v>
      </c>
      <c r="K33" s="2"/>
      <c r="L33" s="7">
        <f t="shared" si="14"/>
        <v>1023.171</v>
      </c>
      <c r="M33" s="2"/>
      <c r="N33" s="6">
        <f t="shared" si="15"/>
        <v>2.4523007748742298</v>
      </c>
      <c r="O33" s="11"/>
      <c r="P33" s="7">
        <v>16699.28</v>
      </c>
      <c r="Q33" s="2"/>
      <c r="R33" s="6">
        <f t="shared" si="16"/>
        <v>0.21640669313853642</v>
      </c>
      <c r="S33" s="2"/>
      <c r="T33" s="7">
        <v>4894.4780000000001</v>
      </c>
      <c r="U33" s="2"/>
      <c r="V33" s="6">
        <f t="shared" si="17"/>
        <v>2.1968527121344734E-2</v>
      </c>
      <c r="W33" s="2"/>
      <c r="X33" s="7">
        <f t="shared" si="18"/>
        <v>11804.802</v>
      </c>
      <c r="Y33" s="2"/>
      <c r="Z33" s="6">
        <f t="shared" si="19"/>
        <v>2.4118612853096897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7">
        <v>872.28</v>
      </c>
      <c r="E34" s="2"/>
      <c r="F34" s="6">
        <f t="shared" si="12"/>
        <v>6.3316379378551793E-2</v>
      </c>
      <c r="G34" s="2"/>
      <c r="H34" s="7">
        <v>654.59860000000003</v>
      </c>
      <c r="I34" s="2"/>
      <c r="J34" s="6">
        <f t="shared" si="13"/>
        <v>4.9988438335242462E-2</v>
      </c>
      <c r="K34" s="2"/>
      <c r="L34" s="7">
        <f t="shared" si="14"/>
        <v>217.68139999999994</v>
      </c>
      <c r="M34" s="2"/>
      <c r="N34" s="6">
        <f t="shared" si="15"/>
        <v>0.33254180500844321</v>
      </c>
      <c r="O34" s="11"/>
      <c r="P34" s="7">
        <v>10382.14</v>
      </c>
      <c r="Q34" s="2"/>
      <c r="R34" s="6">
        <f t="shared" si="16"/>
        <v>0.13454260214220762</v>
      </c>
      <c r="S34" s="2"/>
      <c r="T34" s="7">
        <v>6936.2683999999999</v>
      </c>
      <c r="U34" s="2"/>
      <c r="V34" s="6">
        <f t="shared" si="17"/>
        <v>3.1132962588927039E-2</v>
      </c>
      <c r="W34" s="2"/>
      <c r="X34" s="7">
        <f t="shared" si="18"/>
        <v>3445.8715999999995</v>
      </c>
      <c r="Y34" s="2"/>
      <c r="Z34" s="6">
        <f t="shared" si="19"/>
        <v>0.49679040678414338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7">
        <v>581.71</v>
      </c>
      <c r="E35" s="2"/>
      <c r="F35" s="6">
        <f t="shared" si="12"/>
        <v>4.2224711157308852E-2</v>
      </c>
      <c r="G35" s="2"/>
      <c r="H35" s="7"/>
      <c r="I35" s="2"/>
      <c r="J35" s="6">
        <f t="shared" si="13"/>
        <v>0</v>
      </c>
      <c r="K35" s="2"/>
      <c r="L35" s="7">
        <f t="shared" si="14"/>
        <v>581.71</v>
      </c>
      <c r="M35" s="2"/>
      <c r="N35" s="6">
        <f t="shared" si="15"/>
        <v>0</v>
      </c>
      <c r="O35" s="11"/>
      <c r="P35" s="7">
        <v>5012.8100000000004</v>
      </c>
      <c r="Q35" s="2"/>
      <c r="R35" s="6">
        <f t="shared" si="16"/>
        <v>6.4961222006684541E-2</v>
      </c>
      <c r="S35" s="2"/>
      <c r="T35" s="7"/>
      <c r="U35" s="2"/>
      <c r="V35" s="6">
        <f t="shared" si="17"/>
        <v>0</v>
      </c>
      <c r="W35" s="2"/>
      <c r="X35" s="7">
        <f t="shared" si="18"/>
        <v>5012.8100000000004</v>
      </c>
      <c r="Y35" s="2"/>
      <c r="Z35" s="6">
        <f t="shared" si="19"/>
        <v>0</v>
      </c>
    </row>
    <row r="36" spans="1:26" s="27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18285.079999999998</v>
      </c>
      <c r="E36" s="1"/>
      <c r="F36" s="5">
        <f t="shared" ref="F36:F46" si="20">IF(D$12=0,0,D36/D$12)</f>
        <v>1.3272631061667923</v>
      </c>
      <c r="G36" s="1"/>
      <c r="H36" s="1">
        <f>SUM(OSRRefH22_1x_0)</f>
        <v>15185.072400000001</v>
      </c>
      <c r="I36" s="1"/>
      <c r="J36" s="5">
        <f t="shared" ref="J36:J46" si="21">IF(H$12=0,0,H36/H$12)</f>
        <v>1.15960843069874</v>
      </c>
      <c r="K36" s="1"/>
      <c r="L36" s="1">
        <f t="shared" ref="L36:L46" si="22">+D36-H36</f>
        <v>3100.0075999999972</v>
      </c>
      <c r="M36" s="1"/>
      <c r="N36" s="5">
        <f t="shared" ref="N36:N46" si="23">IF(H36=0,0,L36/H36)</f>
        <v>0.20414835822580582</v>
      </c>
      <c r="O36" s="13"/>
      <c r="P36" s="1">
        <f>SUM(OSRRefP22_1x_0)</f>
        <v>191911.69</v>
      </c>
      <c r="Q36" s="1"/>
      <c r="R36" s="5">
        <f t="shared" ref="R36:R46" si="24">IF(P$12=0,0,P36/P$12)</f>
        <v>2.4869919066886674</v>
      </c>
      <c r="S36" s="1"/>
      <c r="T36" s="1">
        <f>SUM(OSRRefT22_1x_0)</f>
        <v>154118.49359999999</v>
      </c>
      <c r="U36" s="1"/>
      <c r="V36" s="5">
        <f t="shared" ref="V36:V46" si="25">IF(T$12=0,0,T36/T$12)</f>
        <v>0.69175023496936638</v>
      </c>
      <c r="W36" s="1"/>
      <c r="X36" s="1">
        <f t="shared" ref="X36:X46" si="26">+P36-T36</f>
        <v>37793.196400000015</v>
      </c>
      <c r="Y36" s="1"/>
      <c r="Z36" s="5">
        <f t="shared" ref="Z36:Z46" si="27">IF(T36=0,0,X36/T36)</f>
        <v>0.24522168311668482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7">
        <v>14361.06</v>
      </c>
      <c r="E38" s="2"/>
      <c r="F38" s="6">
        <f t="shared" si="20"/>
        <v>1.0424294071148541</v>
      </c>
      <c r="G38" s="2"/>
      <c r="H38" s="7">
        <v>4543.7219999999998</v>
      </c>
      <c r="I38" s="2"/>
      <c r="J38" s="6">
        <f t="shared" si="21"/>
        <v>0.34698144329896907</v>
      </c>
      <c r="K38" s="2"/>
      <c r="L38" s="7">
        <f t="shared" si="22"/>
        <v>9817.3379999999997</v>
      </c>
      <c r="M38" s="2"/>
      <c r="N38" s="6">
        <f t="shared" si="23"/>
        <v>2.1606379087452976</v>
      </c>
      <c r="O38" s="11"/>
      <c r="P38" s="7">
        <v>156344.57</v>
      </c>
      <c r="Q38" s="2"/>
      <c r="R38" s="6">
        <f t="shared" si="24"/>
        <v>2.02607605740286</v>
      </c>
      <c r="S38" s="2"/>
      <c r="T38" s="7">
        <v>54524.663999999997</v>
      </c>
      <c r="U38" s="2"/>
      <c r="V38" s="6">
        <f t="shared" si="25"/>
        <v>0.24473019592001616</v>
      </c>
      <c r="W38" s="2"/>
      <c r="X38" s="7">
        <f t="shared" si="26"/>
        <v>101819.90600000002</v>
      </c>
      <c r="Y38" s="2"/>
      <c r="Z38" s="6">
        <f t="shared" si="27"/>
        <v>1.8674100586846354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7">
        <v>2883.67</v>
      </c>
      <c r="E40" s="2"/>
      <c r="F40" s="6">
        <f t="shared" si="20"/>
        <v>0.20931758577813139</v>
      </c>
      <c r="G40" s="2"/>
      <c r="H40" s="7">
        <v>2966.4</v>
      </c>
      <c r="I40" s="2"/>
      <c r="J40" s="6">
        <f t="shared" si="21"/>
        <v>0.22652920962199313</v>
      </c>
      <c r="K40" s="2"/>
      <c r="L40" s="7">
        <f t="shared" si="22"/>
        <v>-82.730000000000018</v>
      </c>
      <c r="M40" s="2"/>
      <c r="N40" s="6">
        <f t="shared" si="23"/>
        <v>-2.788902373247034E-2</v>
      </c>
      <c r="O40" s="11"/>
      <c r="P40" s="7">
        <v>31393.03</v>
      </c>
      <c r="Q40" s="2"/>
      <c r="R40" s="6">
        <f t="shared" si="24"/>
        <v>0.40682363610280614</v>
      </c>
      <c r="S40" s="2"/>
      <c r="T40" s="7">
        <v>33575.94</v>
      </c>
      <c r="U40" s="2"/>
      <c r="V40" s="6">
        <f t="shared" si="25"/>
        <v>0.15070329226418908</v>
      </c>
      <c r="W40" s="2"/>
      <c r="X40" s="7">
        <f t="shared" si="26"/>
        <v>-2182.9100000000035</v>
      </c>
      <c r="Y40" s="2"/>
      <c r="Z40" s="6">
        <f t="shared" si="27"/>
        <v>-6.5014114273494752E-2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7">
        <v>1040.3499999999999</v>
      </c>
      <c r="E41" s="2"/>
      <c r="F41" s="6">
        <f t="shared" si="20"/>
        <v>7.5516113273806973E-2</v>
      </c>
      <c r="G41" s="2"/>
      <c r="H41" s="7">
        <v>4025.1120000000001</v>
      </c>
      <c r="I41" s="2"/>
      <c r="J41" s="6">
        <f t="shared" si="21"/>
        <v>0.30737777777777781</v>
      </c>
      <c r="K41" s="2"/>
      <c r="L41" s="7">
        <f t="shared" si="22"/>
        <v>-2984.7620000000002</v>
      </c>
      <c r="M41" s="2"/>
      <c r="N41" s="6">
        <f t="shared" si="23"/>
        <v>-0.74153514237616247</v>
      </c>
      <c r="O41" s="11"/>
      <c r="P41" s="7">
        <v>4026.4</v>
      </c>
      <c r="Q41" s="2"/>
      <c r="R41" s="6">
        <f t="shared" si="24"/>
        <v>5.2178292073251253E-2</v>
      </c>
      <c r="S41" s="2"/>
      <c r="T41" s="7">
        <v>34546.356</v>
      </c>
      <c r="U41" s="2"/>
      <c r="V41" s="6">
        <f t="shared" si="25"/>
        <v>0.15505893758836597</v>
      </c>
      <c r="W41" s="2"/>
      <c r="X41" s="7">
        <f t="shared" si="26"/>
        <v>-30519.955999999998</v>
      </c>
      <c r="Y41" s="2"/>
      <c r="Z41" s="6">
        <f t="shared" si="27"/>
        <v>-0.88344935714782769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7"/>
      <c r="E43" s="2"/>
      <c r="F43" s="6">
        <f t="shared" si="20"/>
        <v>0</v>
      </c>
      <c r="G43" s="2"/>
      <c r="H43" s="7">
        <v>1007.7912</v>
      </c>
      <c r="I43" s="2"/>
      <c r="J43" s="6">
        <f t="shared" si="21"/>
        <v>7.6960000000000001E-2</v>
      </c>
      <c r="K43" s="2"/>
      <c r="L43" s="7">
        <f t="shared" si="22"/>
        <v>-1007.7912</v>
      </c>
      <c r="M43" s="2"/>
      <c r="N43" s="6">
        <f t="shared" si="23"/>
        <v>-1</v>
      </c>
      <c r="O43" s="11"/>
      <c r="P43" s="7">
        <v>147.69</v>
      </c>
      <c r="Q43" s="2"/>
      <c r="R43" s="6">
        <f t="shared" si="24"/>
        <v>1.9139211097502675E-3</v>
      </c>
      <c r="S43" s="2"/>
      <c r="T43" s="7">
        <v>3454.1311999999998</v>
      </c>
      <c r="U43" s="2"/>
      <c r="V43" s="6">
        <f t="shared" si="25"/>
        <v>1.5503629794205435E-2</v>
      </c>
      <c r="W43" s="2"/>
      <c r="X43" s="7">
        <f t="shared" si="26"/>
        <v>-3306.4411999999998</v>
      </c>
      <c r="Y43" s="2"/>
      <c r="Z43" s="6">
        <f t="shared" si="27"/>
        <v>-0.95724250428009217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2642.0472</v>
      </c>
      <c r="I44" s="2"/>
      <c r="J44" s="6">
        <f t="shared" si="21"/>
        <v>0.20175999999999999</v>
      </c>
      <c r="K44" s="2"/>
      <c r="L44" s="7">
        <f t="shared" si="22"/>
        <v>-2642.0472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28017.402399999999</v>
      </c>
      <c r="U44" s="2"/>
      <c r="V44" s="6">
        <f t="shared" si="25"/>
        <v>0.12575417940258982</v>
      </c>
      <c r="W44" s="2"/>
      <c r="X44" s="7">
        <f t="shared" si="26"/>
        <v>-28017.402399999999</v>
      </c>
      <c r="Y44" s="2"/>
      <c r="Z44" s="6">
        <f t="shared" si="27"/>
        <v>-1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7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6.3</v>
      </c>
      <c r="E47" s="1"/>
      <c r="F47" s="5">
        <f t="shared" ref="F47:F55" si="28">IF(D$12=0,0,D47/D$12)</f>
        <v>4.5729947962222712E-4</v>
      </c>
      <c r="G47" s="1"/>
      <c r="H47" s="1">
        <f>SUM(OSRRefH22_2x_0)</f>
        <v>300</v>
      </c>
      <c r="I47" s="1"/>
      <c r="J47" s="5">
        <f t="shared" ref="J47:J55" si="29">IF(H$12=0,0,H47/H$12)</f>
        <v>2.2909507445589918E-2</v>
      </c>
      <c r="K47" s="1"/>
      <c r="L47" s="1">
        <f t="shared" ref="L47:L55" si="30">+D47-H47</f>
        <v>-293.7</v>
      </c>
      <c r="M47" s="1"/>
      <c r="N47" s="5">
        <f t="shared" ref="N47:N55" si="31">IF(H47=0,0,L47/H47)</f>
        <v>-0.97899999999999998</v>
      </c>
      <c r="O47" s="13"/>
      <c r="P47" s="1">
        <f>SUM(OSRRefP22_2x_0)</f>
        <v>300.07</v>
      </c>
      <c r="Q47" s="1"/>
      <c r="R47" s="5">
        <f t="shared" ref="R47:R55" si="32">IF(P$12=0,0,P47/P$12)</f>
        <v>3.8886201327291135E-3</v>
      </c>
      <c r="S47" s="1"/>
      <c r="T47" s="1">
        <f>SUM(OSRRefT22_2x_0)</f>
        <v>6179</v>
      </c>
      <c r="U47" s="1"/>
      <c r="V47" s="5">
        <f t="shared" ref="V47:V55" si="33">IF(T$12=0,0,T47/T$12)</f>
        <v>2.773401557485581E-2</v>
      </c>
      <c r="W47" s="1"/>
      <c r="X47" s="1">
        <f t="shared" ref="X47:X55" si="34">+P47-T47</f>
        <v>-5878.93</v>
      </c>
      <c r="Y47" s="1"/>
      <c r="Z47" s="5">
        <f t="shared" ref="Z47:Z55" si="35">IF(T47=0,0,X47/T47)</f>
        <v>-0.95143712574850303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7">
        <v>6.3</v>
      </c>
      <c r="E48" s="2"/>
      <c r="F48" s="6">
        <f t="shared" si="28"/>
        <v>4.5729947962222712E-4</v>
      </c>
      <c r="G48" s="2"/>
      <c r="H48" s="7">
        <v>300</v>
      </c>
      <c r="I48" s="2"/>
      <c r="J48" s="6">
        <f t="shared" si="29"/>
        <v>2.2909507445589918E-2</v>
      </c>
      <c r="K48" s="2"/>
      <c r="L48" s="7">
        <f t="shared" si="30"/>
        <v>-293.7</v>
      </c>
      <c r="M48" s="2"/>
      <c r="N48" s="6">
        <f t="shared" si="31"/>
        <v>-0.97899999999999998</v>
      </c>
      <c r="O48" s="11"/>
      <c r="P48" s="7">
        <v>300.07</v>
      </c>
      <c r="Q48" s="2"/>
      <c r="R48" s="6">
        <f t="shared" si="32"/>
        <v>3.8886201327291135E-3</v>
      </c>
      <c r="S48" s="2"/>
      <c r="T48" s="7">
        <v>6179</v>
      </c>
      <c r="U48" s="2"/>
      <c r="V48" s="6">
        <f t="shared" si="33"/>
        <v>2.773401557485581E-2</v>
      </c>
      <c r="W48" s="2"/>
      <c r="X48" s="7">
        <f t="shared" si="34"/>
        <v>-5878.93</v>
      </c>
      <c r="Y48" s="2"/>
      <c r="Z48" s="6">
        <f t="shared" si="35"/>
        <v>-0.95143712574850303</v>
      </c>
    </row>
    <row r="49" spans="1:26" s="27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7.22</v>
      </c>
      <c r="E49" s="1"/>
      <c r="F49" s="5">
        <f t="shared" si="28"/>
        <v>5.2407972109086974E-4</v>
      </c>
      <c r="G49" s="1"/>
      <c r="H49" s="1">
        <f>SUM(OSRRefH22_3x_0)</f>
        <v>5</v>
      </c>
      <c r="I49" s="1"/>
      <c r="J49" s="5">
        <f t="shared" si="29"/>
        <v>3.8182512409316535E-4</v>
      </c>
      <c r="K49" s="1"/>
      <c r="L49" s="1">
        <f t="shared" si="30"/>
        <v>2.2199999999999998</v>
      </c>
      <c r="M49" s="1"/>
      <c r="N49" s="5">
        <f t="shared" si="31"/>
        <v>0.44399999999999995</v>
      </c>
      <c r="O49" s="13"/>
      <c r="P49" s="1">
        <f>SUM(OSRRefP22_3x_0)</f>
        <v>16.2</v>
      </c>
      <c r="Q49" s="1"/>
      <c r="R49" s="5">
        <f t="shared" si="32"/>
        <v>2.0993650198357594E-4</v>
      </c>
      <c r="S49" s="1"/>
      <c r="T49" s="1">
        <f>SUM(OSRRefT22_3x_0)</f>
        <v>85</v>
      </c>
      <c r="U49" s="1"/>
      <c r="V49" s="5">
        <f t="shared" si="33"/>
        <v>3.8151664085818801E-4</v>
      </c>
      <c r="W49" s="1"/>
      <c r="X49" s="1">
        <f t="shared" si="34"/>
        <v>-68.8</v>
      </c>
      <c r="Y49" s="1"/>
      <c r="Z49" s="5">
        <f t="shared" si="35"/>
        <v>-0.80941176470588228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7">
        <v>7.22</v>
      </c>
      <c r="E50" s="2"/>
      <c r="F50" s="6">
        <f t="shared" si="28"/>
        <v>5.2407972109086974E-4</v>
      </c>
      <c r="G50" s="2"/>
      <c r="H50" s="7">
        <v>5</v>
      </c>
      <c r="I50" s="2"/>
      <c r="J50" s="6">
        <f t="shared" si="29"/>
        <v>3.8182512409316535E-4</v>
      </c>
      <c r="K50" s="2"/>
      <c r="L50" s="7">
        <f t="shared" si="30"/>
        <v>2.2199999999999998</v>
      </c>
      <c r="M50" s="2"/>
      <c r="N50" s="6">
        <f t="shared" si="31"/>
        <v>0.44399999999999995</v>
      </c>
      <c r="O50" s="11"/>
      <c r="P50" s="7">
        <v>16.2</v>
      </c>
      <c r="Q50" s="2"/>
      <c r="R50" s="6">
        <f t="shared" si="32"/>
        <v>2.0993650198357594E-4</v>
      </c>
      <c r="S50" s="2"/>
      <c r="T50" s="7">
        <v>85</v>
      </c>
      <c r="U50" s="2"/>
      <c r="V50" s="6">
        <f t="shared" si="33"/>
        <v>3.8151664085818801E-4</v>
      </c>
      <c r="W50" s="2"/>
      <c r="X50" s="7">
        <f t="shared" si="34"/>
        <v>-68.8</v>
      </c>
      <c r="Y50" s="2"/>
      <c r="Z50" s="6">
        <f t="shared" si="35"/>
        <v>-0.80941176470588228</v>
      </c>
    </row>
    <row r="51" spans="1:26" s="27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449.17</v>
      </c>
      <c r="E51" s="1"/>
      <c r="F51" s="5">
        <f t="shared" si="28"/>
        <v>3.2604001152685039E-2</v>
      </c>
      <c r="G51" s="1"/>
      <c r="H51" s="1">
        <f>SUM(OSRRefH22_4x_0)</f>
        <v>999</v>
      </c>
      <c r="I51" s="1"/>
      <c r="J51" s="5">
        <f t="shared" si="29"/>
        <v>7.628865979381444E-2</v>
      </c>
      <c r="K51" s="1"/>
      <c r="L51" s="1">
        <f t="shared" si="30"/>
        <v>-549.82999999999993</v>
      </c>
      <c r="M51" s="1"/>
      <c r="N51" s="5">
        <f t="shared" si="31"/>
        <v>-0.55038038038038029</v>
      </c>
      <c r="O51" s="13"/>
      <c r="P51" s="1">
        <f>SUM(OSRRefP22_4x_0)</f>
        <v>2398.91</v>
      </c>
      <c r="Q51" s="1"/>
      <c r="R51" s="5">
        <f t="shared" si="32"/>
        <v>3.1087578640334578E-2</v>
      </c>
      <c r="S51" s="1"/>
      <c r="T51" s="1">
        <f>SUM(OSRRefT22_4x_0)</f>
        <v>27382</v>
      </c>
      <c r="U51" s="1"/>
      <c r="V51" s="5">
        <f t="shared" si="33"/>
        <v>0.12290221952916358</v>
      </c>
      <c r="W51" s="1"/>
      <c r="X51" s="1">
        <f t="shared" si="34"/>
        <v>-24983.09</v>
      </c>
      <c r="Y51" s="1"/>
      <c r="Z51" s="5">
        <f t="shared" si="35"/>
        <v>-0.91239098677963626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7">
        <v>449.17</v>
      </c>
      <c r="E52" s="2"/>
      <c r="F52" s="6">
        <f t="shared" si="28"/>
        <v>3.2604001152685039E-2</v>
      </c>
      <c r="G52" s="2"/>
      <c r="H52" s="7">
        <v>999</v>
      </c>
      <c r="I52" s="2"/>
      <c r="J52" s="6">
        <f t="shared" si="29"/>
        <v>7.628865979381444E-2</v>
      </c>
      <c r="K52" s="2"/>
      <c r="L52" s="7">
        <f t="shared" si="30"/>
        <v>-549.82999999999993</v>
      </c>
      <c r="M52" s="2"/>
      <c r="N52" s="6">
        <f t="shared" si="31"/>
        <v>-0.55038038038038029</v>
      </c>
      <c r="O52" s="11"/>
      <c r="P52" s="7">
        <v>2398.91</v>
      </c>
      <c r="Q52" s="2"/>
      <c r="R52" s="6">
        <f t="shared" si="32"/>
        <v>3.1087578640334578E-2</v>
      </c>
      <c r="S52" s="2"/>
      <c r="T52" s="7">
        <v>27382</v>
      </c>
      <c r="U52" s="2"/>
      <c r="V52" s="6">
        <f t="shared" si="33"/>
        <v>0.12290221952916358</v>
      </c>
      <c r="W52" s="2"/>
      <c r="X52" s="7">
        <f t="shared" si="34"/>
        <v>-24983.09</v>
      </c>
      <c r="Y52" s="2"/>
      <c r="Z52" s="6">
        <f t="shared" si="35"/>
        <v>-0.91239098677963626</v>
      </c>
    </row>
    <row r="53" spans="1:26" s="27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13902.32</v>
      </c>
      <c r="E53" s="1"/>
      <c r="F53" s="5">
        <f t="shared" si="28"/>
        <v>1.0091307462764572</v>
      </c>
      <c r="G53" s="1"/>
      <c r="H53" s="1">
        <f>SUM(OSRRefH22_5x_0)</f>
        <v>13630</v>
      </c>
      <c r="I53" s="1"/>
      <c r="J53" s="5">
        <f t="shared" si="29"/>
        <v>1.0408552882779687</v>
      </c>
      <c r="K53" s="1"/>
      <c r="L53" s="1">
        <f t="shared" si="30"/>
        <v>272.31999999999971</v>
      </c>
      <c r="M53" s="1"/>
      <c r="N53" s="5">
        <f t="shared" si="31"/>
        <v>1.997945707997063E-2</v>
      </c>
      <c r="O53" s="13"/>
      <c r="P53" s="1">
        <f>SUM(OSRRefP22_5x_0)</f>
        <v>152890.79999999999</v>
      </c>
      <c r="Q53" s="1"/>
      <c r="R53" s="5">
        <f t="shared" si="32"/>
        <v>1.9813185023129947</v>
      </c>
      <c r="S53" s="1"/>
      <c r="T53" s="1">
        <f>SUM(OSRRefT22_5x_0)</f>
        <v>150158</v>
      </c>
      <c r="U53" s="1"/>
      <c r="V53" s="5">
        <f t="shared" si="33"/>
        <v>0.67397383244686815</v>
      </c>
      <c r="W53" s="1"/>
      <c r="X53" s="1">
        <f t="shared" si="34"/>
        <v>2732.7999999999884</v>
      </c>
      <c r="Y53" s="1"/>
      <c r="Z53" s="5">
        <f t="shared" si="35"/>
        <v>1.8199496530321317E-2</v>
      </c>
    </row>
    <row r="54" spans="1:26" s="24" customFormat="1" hidden="1" outlineLevel="2" x14ac:dyDescent="0.25">
      <c r="A54" s="25"/>
      <c r="B54" s="11" t="str">
        <f>CONCATENATE("          ", "6321", " - ", "BUILDING DEPRECIATION")</f>
        <v xml:space="preserve">          6321 - BUILDING DEPRECIATION</v>
      </c>
      <c r="C54" s="11"/>
      <c r="D54" s="7">
        <v>10597.26</v>
      </c>
      <c r="E54" s="2"/>
      <c r="F54" s="6">
        <f t="shared" si="28"/>
        <v>0.76922563228911789</v>
      </c>
      <c r="G54" s="2"/>
      <c r="H54" s="7"/>
      <c r="I54" s="2"/>
      <c r="J54" s="6">
        <f t="shared" si="29"/>
        <v>0</v>
      </c>
      <c r="K54" s="2"/>
      <c r="L54" s="7">
        <f t="shared" si="30"/>
        <v>10597.26</v>
      </c>
      <c r="M54" s="2"/>
      <c r="N54" s="6">
        <f t="shared" si="31"/>
        <v>0</v>
      </c>
      <c r="O54" s="11"/>
      <c r="P54" s="7">
        <v>116569.86</v>
      </c>
      <c r="Q54" s="2"/>
      <c r="R54" s="6">
        <f t="shared" si="32"/>
        <v>1.510633866982418</v>
      </c>
      <c r="S54" s="2"/>
      <c r="T54" s="7"/>
      <c r="U54" s="2"/>
      <c r="V54" s="6">
        <f t="shared" si="33"/>
        <v>0</v>
      </c>
      <c r="W54" s="2"/>
      <c r="X54" s="7">
        <f t="shared" si="34"/>
        <v>116569.86</v>
      </c>
      <c r="Y54" s="2"/>
      <c r="Z54" s="6">
        <f t="shared" si="35"/>
        <v>0</v>
      </c>
    </row>
    <row r="55" spans="1:26" s="24" customFormat="1" hidden="1" outlineLevel="2" x14ac:dyDescent="0.25">
      <c r="A55" s="25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3305.06</v>
      </c>
      <c r="E55" s="2"/>
      <c r="F55" s="6">
        <f t="shared" si="28"/>
        <v>0.23990511398733935</v>
      </c>
      <c r="G55" s="2"/>
      <c r="H55" s="7">
        <v>13630</v>
      </c>
      <c r="I55" s="2"/>
      <c r="J55" s="6">
        <f t="shared" si="29"/>
        <v>1.0408552882779687</v>
      </c>
      <c r="K55" s="2"/>
      <c r="L55" s="7">
        <f t="shared" si="30"/>
        <v>-10324.94</v>
      </c>
      <c r="M55" s="2"/>
      <c r="N55" s="6">
        <f t="shared" si="31"/>
        <v>-0.75751577402787973</v>
      </c>
      <c r="O55" s="11"/>
      <c r="P55" s="7">
        <v>36320.94</v>
      </c>
      <c r="Q55" s="2"/>
      <c r="R55" s="6">
        <f t="shared" si="32"/>
        <v>0.47068463533057681</v>
      </c>
      <c r="S55" s="2"/>
      <c r="T55" s="7">
        <v>150158</v>
      </c>
      <c r="U55" s="2"/>
      <c r="V55" s="6">
        <f t="shared" si="33"/>
        <v>0.67397383244686815</v>
      </c>
      <c r="W55" s="2"/>
      <c r="X55" s="7">
        <f t="shared" si="34"/>
        <v>-113837.06</v>
      </c>
      <c r="Y55" s="2"/>
      <c r="Z55" s="6">
        <f t="shared" si="35"/>
        <v>-0.75811518533811051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8" si="36">IF(D$12=0,0,D56/D$12)</f>
        <v>0</v>
      </c>
      <c r="G56" s="1"/>
      <c r="H56" s="1">
        <f>SUM(OSRRefH22_6x_0)</f>
        <v>100</v>
      </c>
      <c r="I56" s="1"/>
      <c r="J56" s="5">
        <f t="shared" ref="J56:J68" si="37">IF(H$12=0,0,H56/H$12)</f>
        <v>7.6365024818633069E-3</v>
      </c>
      <c r="K56" s="1"/>
      <c r="L56" s="1">
        <f t="shared" ref="L56:L68" si="38">+D56-H56</f>
        <v>-100</v>
      </c>
      <c r="M56" s="1"/>
      <c r="N56" s="5">
        <f t="shared" ref="N56:N68" si="39">IF(H56=0,0,L56/H56)</f>
        <v>-1</v>
      </c>
      <c r="O56" s="13"/>
      <c r="P56" s="1">
        <f>SUM(OSRRefP22_6x_0)</f>
        <v>10</v>
      </c>
      <c r="Q56" s="1"/>
      <c r="R56" s="5">
        <f t="shared" ref="R56:R68" si="40">IF(P$12=0,0,P56/P$12)</f>
        <v>1.2959043332319505E-4</v>
      </c>
      <c r="S56" s="1"/>
      <c r="T56" s="1">
        <f>SUM(OSRRefT22_6x_0)</f>
        <v>200</v>
      </c>
      <c r="U56" s="1"/>
      <c r="V56" s="5">
        <f t="shared" ref="V56:V68" si="41">IF(T$12=0,0,T56/T$12)</f>
        <v>8.9768621378397183E-4</v>
      </c>
      <c r="W56" s="1"/>
      <c r="X56" s="1">
        <f t="shared" ref="X56:X68" si="42">+P56-T56</f>
        <v>-190</v>
      </c>
      <c r="Y56" s="1"/>
      <c r="Z56" s="5">
        <f t="shared" ref="Z56:Z68" si="43">IF(T56=0,0,X56/T56)</f>
        <v>-0.95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6"/>
        <v>0</v>
      </c>
      <c r="G57" s="2"/>
      <c r="H57" s="7">
        <v>100</v>
      </c>
      <c r="I57" s="2"/>
      <c r="J57" s="6">
        <f t="shared" si="37"/>
        <v>7.6365024818633069E-3</v>
      </c>
      <c r="K57" s="2"/>
      <c r="L57" s="7">
        <f t="shared" si="38"/>
        <v>-100</v>
      </c>
      <c r="M57" s="2"/>
      <c r="N57" s="6">
        <f t="shared" si="39"/>
        <v>-1</v>
      </c>
      <c r="O57" s="11"/>
      <c r="P57" s="7">
        <v>10</v>
      </c>
      <c r="Q57" s="2"/>
      <c r="R57" s="6">
        <f t="shared" si="40"/>
        <v>1.2959043332319505E-4</v>
      </c>
      <c r="S57" s="2"/>
      <c r="T57" s="7">
        <v>200</v>
      </c>
      <c r="U57" s="2"/>
      <c r="V57" s="6">
        <f t="shared" si="41"/>
        <v>8.9768621378397183E-4</v>
      </c>
      <c r="W57" s="2"/>
      <c r="X57" s="7">
        <f t="shared" si="42"/>
        <v>-190</v>
      </c>
      <c r="Y57" s="2"/>
      <c r="Z57" s="6">
        <f t="shared" si="43"/>
        <v>-0.95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288.97000000000003</v>
      </c>
      <c r="E58" s="1"/>
      <c r="F58" s="5">
        <f t="shared" si="36"/>
        <v>2.0975528670862695E-2</v>
      </c>
      <c r="G58" s="1"/>
      <c r="H58" s="1">
        <f>SUM(OSRRefH22_7x_0)</f>
        <v>146</v>
      </c>
      <c r="I58" s="1"/>
      <c r="J58" s="5">
        <f t="shared" si="37"/>
        <v>1.1149293623520427E-2</v>
      </c>
      <c r="K58" s="1"/>
      <c r="L58" s="1">
        <f t="shared" si="38"/>
        <v>142.97000000000003</v>
      </c>
      <c r="M58" s="1"/>
      <c r="N58" s="5">
        <f t="shared" si="39"/>
        <v>0.97924657534246595</v>
      </c>
      <c r="O58" s="13"/>
      <c r="P58" s="1">
        <f>SUM(OSRRefP22_7x_0)</f>
        <v>2093.46</v>
      </c>
      <c r="Q58" s="1"/>
      <c r="R58" s="5">
        <f t="shared" si="40"/>
        <v>2.7129238854477589E-2</v>
      </c>
      <c r="S58" s="1"/>
      <c r="T58" s="1">
        <f>SUM(OSRRefT22_7x_0)</f>
        <v>1350</v>
      </c>
      <c r="U58" s="1"/>
      <c r="V58" s="5">
        <f t="shared" si="41"/>
        <v>6.0593819430418095E-3</v>
      </c>
      <c r="W58" s="1"/>
      <c r="X58" s="1">
        <f t="shared" si="42"/>
        <v>743.46</v>
      </c>
      <c r="Y58" s="1"/>
      <c r="Z58" s="5">
        <f t="shared" si="43"/>
        <v>0.55071111111111115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7">
        <v>288.97000000000003</v>
      </c>
      <c r="E59" s="2"/>
      <c r="F59" s="6">
        <f t="shared" si="36"/>
        <v>2.0975528670862695E-2</v>
      </c>
      <c r="G59" s="2"/>
      <c r="H59" s="7">
        <v>146</v>
      </c>
      <c r="I59" s="2"/>
      <c r="J59" s="6">
        <f t="shared" si="37"/>
        <v>1.1149293623520427E-2</v>
      </c>
      <c r="K59" s="2"/>
      <c r="L59" s="7">
        <f t="shared" si="38"/>
        <v>142.97000000000003</v>
      </c>
      <c r="M59" s="2"/>
      <c r="N59" s="6">
        <f t="shared" si="39"/>
        <v>0.97924657534246595</v>
      </c>
      <c r="O59" s="11"/>
      <c r="P59" s="7">
        <v>2093.46</v>
      </c>
      <c r="Q59" s="2"/>
      <c r="R59" s="6">
        <f t="shared" si="40"/>
        <v>2.7129238854477589E-2</v>
      </c>
      <c r="S59" s="2"/>
      <c r="T59" s="7">
        <v>1350</v>
      </c>
      <c r="U59" s="2"/>
      <c r="V59" s="6">
        <f t="shared" si="41"/>
        <v>6.0593819430418095E-3</v>
      </c>
      <c r="W59" s="2"/>
      <c r="X59" s="7">
        <f t="shared" si="42"/>
        <v>743.46</v>
      </c>
      <c r="Y59" s="2"/>
      <c r="Z59" s="6">
        <f t="shared" si="43"/>
        <v>0.55071111111111115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36"/>
        <v>0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0</v>
      </c>
      <c r="M60" s="1"/>
      <c r="N60" s="5">
        <f t="shared" si="39"/>
        <v>0</v>
      </c>
      <c r="O60" s="13"/>
      <c r="P60" s="1">
        <f>SUM(OSRRefP22_8x_0)</f>
        <v>2498.69</v>
      </c>
      <c r="Q60" s="1"/>
      <c r="R60" s="5">
        <f t="shared" si="40"/>
        <v>3.2380631984033424E-2</v>
      </c>
      <c r="S60" s="1"/>
      <c r="T60" s="1">
        <f>SUM(OSRRefT22_8x_0)</f>
        <v>1810</v>
      </c>
      <c r="U60" s="1"/>
      <c r="V60" s="5">
        <f t="shared" si="41"/>
        <v>8.1240602347449446E-3</v>
      </c>
      <c r="W60" s="1"/>
      <c r="X60" s="1">
        <f t="shared" si="42"/>
        <v>688.69</v>
      </c>
      <c r="Y60" s="1"/>
      <c r="Z60" s="5">
        <f t="shared" si="43"/>
        <v>0.38049171270718235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36"/>
        <v>0</v>
      </c>
      <c r="G61" s="2"/>
      <c r="H61" s="7">
        <v>0</v>
      </c>
      <c r="I61" s="2"/>
      <c r="J61" s="6">
        <f t="shared" si="37"/>
        <v>0</v>
      </c>
      <c r="K61" s="2"/>
      <c r="L61" s="7">
        <f t="shared" si="38"/>
        <v>0</v>
      </c>
      <c r="M61" s="2"/>
      <c r="N61" s="6">
        <f t="shared" si="39"/>
        <v>0</v>
      </c>
      <c r="O61" s="11"/>
      <c r="P61" s="7">
        <v>2498.69</v>
      </c>
      <c r="Q61" s="2"/>
      <c r="R61" s="6">
        <f t="shared" si="40"/>
        <v>3.2380631984033424E-2</v>
      </c>
      <c r="S61" s="2"/>
      <c r="T61" s="7">
        <v>1810</v>
      </c>
      <c r="U61" s="2"/>
      <c r="V61" s="6">
        <f t="shared" si="41"/>
        <v>8.1240602347449446E-3</v>
      </c>
      <c r="W61" s="2"/>
      <c r="X61" s="7">
        <f t="shared" si="42"/>
        <v>688.69</v>
      </c>
      <c r="Y61" s="2"/>
      <c r="Z61" s="6">
        <f t="shared" si="43"/>
        <v>0.38049171270718235</v>
      </c>
    </row>
    <row r="62" spans="1:26" s="27" customFormat="1" outlineLevel="1" collapsed="1" x14ac:dyDescent="0.25">
      <c r="A62" s="26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641.28</v>
      </c>
      <c r="E62" s="1"/>
      <c r="F62" s="5">
        <f t="shared" si="36"/>
        <v>4.6548731792403458E-2</v>
      </c>
      <c r="G62" s="1"/>
      <c r="H62" s="1">
        <f>SUM(OSRRefH22_9x_0)</f>
        <v>705</v>
      </c>
      <c r="I62" s="1"/>
      <c r="J62" s="5">
        <f t="shared" si="37"/>
        <v>5.3837342497136315E-2</v>
      </c>
      <c r="K62" s="1"/>
      <c r="L62" s="1">
        <f t="shared" si="38"/>
        <v>-63.720000000000027</v>
      </c>
      <c r="M62" s="1"/>
      <c r="N62" s="5">
        <f t="shared" si="39"/>
        <v>-9.0382978723404298E-2</v>
      </c>
      <c r="O62" s="13"/>
      <c r="P62" s="1">
        <f>SUM(OSRRefP22_9x_0)</f>
        <v>7054.08</v>
      </c>
      <c r="Q62" s="1"/>
      <c r="R62" s="5">
        <f t="shared" si="40"/>
        <v>9.1414128389648366E-2</v>
      </c>
      <c r="S62" s="1"/>
      <c r="T62" s="1">
        <f>SUM(OSRRefT22_9x_0)</f>
        <v>7755</v>
      </c>
      <c r="U62" s="1"/>
      <c r="V62" s="5">
        <f t="shared" si="41"/>
        <v>3.4807782939473508E-2</v>
      </c>
      <c r="W62" s="1"/>
      <c r="X62" s="1">
        <f t="shared" si="42"/>
        <v>-700.92000000000007</v>
      </c>
      <c r="Y62" s="1"/>
      <c r="Z62" s="5">
        <f t="shared" si="43"/>
        <v>-9.038297872340427E-2</v>
      </c>
    </row>
    <row r="63" spans="1:26" s="24" customFormat="1" hidden="1" outlineLevel="2" x14ac:dyDescent="0.25">
      <c r="A63" s="25"/>
      <c r="B63" s="11" t="str">
        <f>CONCATENATE("          ", "6314", " - ", "LIABILITY INSURANCE")</f>
        <v xml:space="preserve">          6314 - LIABILITY INSURANCE</v>
      </c>
      <c r="C63" s="11"/>
      <c r="D63" s="7">
        <v>641.28</v>
      </c>
      <c r="E63" s="2"/>
      <c r="F63" s="6">
        <f t="shared" si="36"/>
        <v>4.6548731792403458E-2</v>
      </c>
      <c r="G63" s="2"/>
      <c r="H63" s="7">
        <v>705</v>
      </c>
      <c r="I63" s="2"/>
      <c r="J63" s="6">
        <f t="shared" si="37"/>
        <v>5.3837342497136315E-2</v>
      </c>
      <c r="K63" s="2"/>
      <c r="L63" s="7">
        <f t="shared" si="38"/>
        <v>-63.720000000000027</v>
      </c>
      <c r="M63" s="2"/>
      <c r="N63" s="6">
        <f t="shared" si="39"/>
        <v>-9.0382978723404298E-2</v>
      </c>
      <c r="O63" s="11"/>
      <c r="P63" s="7">
        <v>7054.08</v>
      </c>
      <c r="Q63" s="2"/>
      <c r="R63" s="6">
        <f t="shared" si="40"/>
        <v>9.1414128389648366E-2</v>
      </c>
      <c r="S63" s="2"/>
      <c r="T63" s="7">
        <v>7755</v>
      </c>
      <c r="U63" s="2"/>
      <c r="V63" s="6">
        <f t="shared" si="41"/>
        <v>3.4807782939473508E-2</v>
      </c>
      <c r="W63" s="2"/>
      <c r="X63" s="7">
        <f t="shared" si="42"/>
        <v>-700.92000000000007</v>
      </c>
      <c r="Y63" s="2"/>
      <c r="Z63" s="6">
        <f t="shared" si="43"/>
        <v>-9.038297872340427E-2</v>
      </c>
    </row>
    <row r="64" spans="1:26" s="27" customFormat="1" outlineLevel="1" collapsed="1" x14ac:dyDescent="0.25">
      <c r="A64" s="26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7510</v>
      </c>
      <c r="E64" s="1"/>
      <c r="F64" s="5">
        <f t="shared" si="36"/>
        <v>0.54513001459728982</v>
      </c>
      <c r="G64" s="1"/>
      <c r="H64" s="1">
        <f>SUM(OSRRefH22_10x_0)</f>
        <v>7253</v>
      </c>
      <c r="I64" s="1"/>
      <c r="J64" s="5">
        <f t="shared" si="37"/>
        <v>0.55387552500954562</v>
      </c>
      <c r="K64" s="1"/>
      <c r="L64" s="1">
        <f t="shared" si="38"/>
        <v>257</v>
      </c>
      <c r="M64" s="1"/>
      <c r="N64" s="5">
        <f t="shared" si="39"/>
        <v>3.5433613677099129E-2</v>
      </c>
      <c r="O64" s="13"/>
      <c r="P64" s="1">
        <f>SUM(OSRRefP22_10x_0)</f>
        <v>80580.149999999994</v>
      </c>
      <c r="Q64" s="1"/>
      <c r="R64" s="5">
        <f t="shared" si="40"/>
        <v>1.0442416555748053</v>
      </c>
      <c r="S64" s="1"/>
      <c r="T64" s="1">
        <f>SUM(OSRRefT22_10x_0)</f>
        <v>82353</v>
      </c>
      <c r="U64" s="1"/>
      <c r="V64" s="5">
        <f t="shared" si="41"/>
        <v>0.36963576381875718</v>
      </c>
      <c r="W64" s="1"/>
      <c r="X64" s="1">
        <f t="shared" si="42"/>
        <v>-1772.8500000000058</v>
      </c>
      <c r="Y64" s="1"/>
      <c r="Z64" s="5">
        <f t="shared" si="43"/>
        <v>-2.1527448908965137E-2</v>
      </c>
    </row>
    <row r="65" spans="1:26" s="24" customFormat="1" hidden="1" outlineLevel="2" x14ac:dyDescent="0.25">
      <c r="A65" s="25"/>
      <c r="B65" s="11" t="str">
        <f>CONCATENATE("          ", "6401", " - ", "INTEREST EXPENSE")</f>
        <v xml:space="preserve">          6401 - INTEREST EXPENSE</v>
      </c>
      <c r="C65" s="11"/>
      <c r="D65" s="7">
        <v>7510</v>
      </c>
      <c r="E65" s="2"/>
      <c r="F65" s="6">
        <f t="shared" si="36"/>
        <v>0.54513001459728982</v>
      </c>
      <c r="G65" s="2"/>
      <c r="H65" s="7">
        <v>7253</v>
      </c>
      <c r="I65" s="2"/>
      <c r="J65" s="6">
        <f t="shared" si="37"/>
        <v>0.55387552500954562</v>
      </c>
      <c r="K65" s="2"/>
      <c r="L65" s="7">
        <f t="shared" si="38"/>
        <v>257</v>
      </c>
      <c r="M65" s="2"/>
      <c r="N65" s="6">
        <f t="shared" si="39"/>
        <v>3.5433613677099129E-2</v>
      </c>
      <c r="O65" s="11"/>
      <c r="P65" s="7">
        <v>80580.149999999994</v>
      </c>
      <c r="Q65" s="2"/>
      <c r="R65" s="6">
        <f t="shared" si="40"/>
        <v>1.0442416555748053</v>
      </c>
      <c r="S65" s="2"/>
      <c r="T65" s="7">
        <v>82353</v>
      </c>
      <c r="U65" s="2"/>
      <c r="V65" s="6">
        <f t="shared" si="41"/>
        <v>0.36963576381875718</v>
      </c>
      <c r="W65" s="2"/>
      <c r="X65" s="7">
        <f t="shared" si="42"/>
        <v>-1772.8500000000058</v>
      </c>
      <c r="Y65" s="2"/>
      <c r="Z65" s="6">
        <f t="shared" si="43"/>
        <v>-2.1527448908965137E-2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153.85</v>
      </c>
      <c r="E66" s="1"/>
      <c r="F66" s="5">
        <f t="shared" si="36"/>
        <v>1.1167543641250737E-2</v>
      </c>
      <c r="G66" s="1"/>
      <c r="H66" s="1">
        <f>SUM(OSRRefH22_11x_0)</f>
        <v>1000</v>
      </c>
      <c r="I66" s="1"/>
      <c r="J66" s="5">
        <f t="shared" si="37"/>
        <v>7.6365024818633068E-2</v>
      </c>
      <c r="K66" s="1"/>
      <c r="L66" s="1">
        <f t="shared" si="38"/>
        <v>-846.15</v>
      </c>
      <c r="M66" s="1"/>
      <c r="N66" s="5">
        <f t="shared" si="39"/>
        <v>-0.84614999999999996</v>
      </c>
      <c r="O66" s="13"/>
      <c r="P66" s="1">
        <f>SUM(OSRRefP22_11x_0)</f>
        <v>24778.760000000002</v>
      </c>
      <c r="Q66" s="1"/>
      <c r="R66" s="5">
        <f t="shared" si="40"/>
        <v>0.32110902456114526</v>
      </c>
      <c r="S66" s="1"/>
      <c r="T66" s="1">
        <f>SUM(OSRRefT22_11x_0)</f>
        <v>24063</v>
      </c>
      <c r="U66" s="1"/>
      <c r="V66" s="5">
        <f t="shared" si="41"/>
        <v>0.10800511681141857</v>
      </c>
      <c r="W66" s="1"/>
      <c r="X66" s="1">
        <f t="shared" si="42"/>
        <v>715.76000000000204</v>
      </c>
      <c r="Y66" s="1"/>
      <c r="Z66" s="5">
        <f t="shared" si="43"/>
        <v>2.9745252046710802E-2</v>
      </c>
    </row>
    <row r="67" spans="1:26" s="24" customFormat="1" hidden="1" outlineLevel="2" x14ac:dyDescent="0.25">
      <c r="A67" s="25"/>
      <c r="B67" s="11" t="str">
        <f>CONCATENATE("          ", "6373", " - ", "MAINTENANCE CONTRACTS")</f>
        <v xml:space="preserve">          6373 - MAINTENANCE CONTRACTS</v>
      </c>
      <c r="C67" s="11"/>
      <c r="D67" s="7"/>
      <c r="E67" s="2"/>
      <c r="F67" s="6">
        <f t="shared" si="36"/>
        <v>0</v>
      </c>
      <c r="G67" s="2"/>
      <c r="H67" s="7"/>
      <c r="I67" s="2"/>
      <c r="J67" s="6">
        <f t="shared" si="37"/>
        <v>0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>
        <v>7467.86</v>
      </c>
      <c r="Q67" s="2"/>
      <c r="R67" s="6">
        <f t="shared" si="40"/>
        <v>9.677632133969552E-2</v>
      </c>
      <c r="S67" s="2"/>
      <c r="T67" s="7">
        <v>3769</v>
      </c>
      <c r="U67" s="2"/>
      <c r="V67" s="6">
        <f t="shared" si="41"/>
        <v>1.6916896698758947E-2</v>
      </c>
      <c r="W67" s="2"/>
      <c r="X67" s="7">
        <f t="shared" si="42"/>
        <v>3698.8599999999997</v>
      </c>
      <c r="Y67" s="2"/>
      <c r="Z67" s="6">
        <f t="shared" si="43"/>
        <v>0.98139028920137961</v>
      </c>
    </row>
    <row r="68" spans="1:26" s="24" customFormat="1" hidden="1" outlineLevel="2" x14ac:dyDescent="0.25">
      <c r="A68" s="25"/>
      <c r="B68" s="11" t="str">
        <f>CONCATENATE("          ", "6375", " - ", "OUTSIDE REPAIRS &amp; MAINTENANCE")</f>
        <v xml:space="preserve">          6375 - OUTSIDE REPAIRS &amp; MAINTENANCE</v>
      </c>
      <c r="C68" s="11"/>
      <c r="D68" s="7">
        <v>153.85</v>
      </c>
      <c r="E68" s="2"/>
      <c r="F68" s="6">
        <f t="shared" si="36"/>
        <v>1.1167543641250737E-2</v>
      </c>
      <c r="G68" s="2"/>
      <c r="H68" s="7">
        <v>1000</v>
      </c>
      <c r="I68" s="2"/>
      <c r="J68" s="6">
        <f t="shared" si="37"/>
        <v>7.6365024818633068E-2</v>
      </c>
      <c r="K68" s="2"/>
      <c r="L68" s="7">
        <f t="shared" si="38"/>
        <v>-846.15</v>
      </c>
      <c r="M68" s="2"/>
      <c r="N68" s="6">
        <f t="shared" si="39"/>
        <v>-0.84614999999999996</v>
      </c>
      <c r="O68" s="11"/>
      <c r="P68" s="7">
        <v>17310.900000000001</v>
      </c>
      <c r="Q68" s="2"/>
      <c r="R68" s="6">
        <f t="shared" si="40"/>
        <v>0.22433270322144971</v>
      </c>
      <c r="S68" s="2"/>
      <c r="T68" s="7">
        <v>20294</v>
      </c>
      <c r="U68" s="2"/>
      <c r="V68" s="6">
        <f t="shared" si="41"/>
        <v>9.1088220112659615E-2</v>
      </c>
      <c r="W68" s="2"/>
      <c r="X68" s="7">
        <f t="shared" si="42"/>
        <v>-2983.0999999999985</v>
      </c>
      <c r="Y68" s="2"/>
      <c r="Z68" s="6">
        <f t="shared" si="43"/>
        <v>-0.1469941854735389</v>
      </c>
    </row>
    <row r="69" spans="1:26" s="27" customFormat="1" outlineLevel="1" collapsed="1" x14ac:dyDescent="0.25">
      <c r="A69" s="26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SUM(OSRRefD22_12x_0)</f>
        <v>4146.5200000000004</v>
      </c>
      <c r="E69" s="1"/>
      <c r="F69" s="5">
        <f t="shared" ref="F69:F74" si="44">IF(D$12=0,0,D69/D$12)</f>
        <v>0.30098435527669165</v>
      </c>
      <c r="G69" s="1"/>
      <c r="H69" s="1">
        <f>SUM(OSRRefH22_12x_0)</f>
        <v>3591</v>
      </c>
      <c r="I69" s="1"/>
      <c r="J69" s="5">
        <f t="shared" ref="J69:J74" si="45">IF(H$12=0,0,H69/H$12)</f>
        <v>0.27422680412371137</v>
      </c>
      <c r="K69" s="1"/>
      <c r="L69" s="1">
        <f t="shared" ref="L69:L74" si="46">+D69-H69</f>
        <v>555.52000000000044</v>
      </c>
      <c r="M69" s="1"/>
      <c r="N69" s="5">
        <f t="shared" ref="N69:N74" si="47">IF(H69=0,0,L69/H69)</f>
        <v>0.15469785575048745</v>
      </c>
      <c r="O69" s="13"/>
      <c r="P69" s="1">
        <f>SUM(OSRRefP22_12x_0)</f>
        <v>30791.370000000003</v>
      </c>
      <c r="Q69" s="1"/>
      <c r="R69" s="5">
        <f t="shared" ref="R69:R74" si="48">IF(P$12=0,0,P69/P$12)</f>
        <v>0.39902669809148283</v>
      </c>
      <c r="S69" s="1"/>
      <c r="T69" s="1">
        <f>SUM(OSRRefT22_12x_0)</f>
        <v>46724</v>
      </c>
      <c r="U69" s="1"/>
      <c r="V69" s="5">
        <f t="shared" ref="V69:V74" si="49">IF(T$12=0,0,T69/T$12)</f>
        <v>0.20971745326421148</v>
      </c>
      <c r="W69" s="1"/>
      <c r="X69" s="1">
        <f t="shared" ref="X69:X74" si="50">+P69-T69</f>
        <v>-15932.629999999997</v>
      </c>
      <c r="Y69" s="1"/>
      <c r="Z69" s="5">
        <f t="shared" ref="Z69:Z74" si="51">IF(T69=0,0,X69/T69)</f>
        <v>-0.34099456382159055</v>
      </c>
    </row>
    <row r="70" spans="1:26" s="24" customFormat="1" hidden="1" outlineLevel="2" x14ac:dyDescent="0.25">
      <c r="A70" s="25"/>
      <c r="B70" s="11" t="str">
        <f>CONCATENATE("          ", "6282", " - ", "JANITORIAL/EXTERMINATOR EXPENS")</f>
        <v xml:space="preserve">          6282 - JANITORIAL/EXTERMINATOR EXPENS</v>
      </c>
      <c r="C70" s="11"/>
      <c r="D70" s="7"/>
      <c r="E70" s="2"/>
      <c r="F70" s="6">
        <f t="shared" si="44"/>
        <v>0</v>
      </c>
      <c r="G70" s="2"/>
      <c r="H70" s="7">
        <v>550</v>
      </c>
      <c r="I70" s="2"/>
      <c r="J70" s="6">
        <f t="shared" si="45"/>
        <v>4.2000763650248185E-2</v>
      </c>
      <c r="K70" s="2"/>
      <c r="L70" s="7">
        <f t="shared" si="46"/>
        <v>-550</v>
      </c>
      <c r="M70" s="2"/>
      <c r="N70" s="6">
        <f t="shared" si="47"/>
        <v>-1</v>
      </c>
      <c r="O70" s="11"/>
      <c r="P70" s="7">
        <v>4148.63</v>
      </c>
      <c r="Q70" s="2"/>
      <c r="R70" s="6">
        <f t="shared" si="48"/>
        <v>5.3762275939760663E-2</v>
      </c>
      <c r="S70" s="2"/>
      <c r="T70" s="7">
        <v>3838</v>
      </c>
      <c r="U70" s="2"/>
      <c r="V70" s="6">
        <f t="shared" si="49"/>
        <v>1.722659844251442E-2</v>
      </c>
      <c r="W70" s="2"/>
      <c r="X70" s="7">
        <f t="shared" si="50"/>
        <v>310.63000000000011</v>
      </c>
      <c r="Y70" s="2"/>
      <c r="Z70" s="6">
        <f t="shared" si="51"/>
        <v>8.093538301198544E-2</v>
      </c>
    </row>
    <row r="71" spans="1:26" s="24" customFormat="1" hidden="1" outlineLevel="2" x14ac:dyDescent="0.25">
      <c r="A71" s="25"/>
      <c r="B71" s="11" t="str">
        <f>CONCATENATE("          ", "6283", " - ", "PLANT SERVICE")</f>
        <v xml:space="preserve">          6283 - PLANT SERVICE</v>
      </c>
      <c r="C71" s="11"/>
      <c r="D71" s="7"/>
      <c r="E71" s="2"/>
      <c r="F71" s="6">
        <f t="shared" si="44"/>
        <v>0</v>
      </c>
      <c r="G71" s="2"/>
      <c r="H71" s="7"/>
      <c r="I71" s="2"/>
      <c r="J71" s="6">
        <f t="shared" si="45"/>
        <v>0</v>
      </c>
      <c r="K71" s="2"/>
      <c r="L71" s="7">
        <f t="shared" si="46"/>
        <v>0</v>
      </c>
      <c r="M71" s="2"/>
      <c r="N71" s="6">
        <f t="shared" si="47"/>
        <v>0</v>
      </c>
      <c r="O71" s="11"/>
      <c r="P71" s="7"/>
      <c r="Q71" s="2"/>
      <c r="R71" s="6">
        <f t="shared" si="48"/>
        <v>0</v>
      </c>
      <c r="S71" s="2"/>
      <c r="T71" s="7">
        <v>310</v>
      </c>
      <c r="U71" s="2"/>
      <c r="V71" s="6">
        <f t="shared" si="49"/>
        <v>1.3914136313651563E-3</v>
      </c>
      <c r="W71" s="2"/>
      <c r="X71" s="7">
        <f t="shared" si="50"/>
        <v>-310</v>
      </c>
      <c r="Y71" s="2"/>
      <c r="Z71" s="6">
        <f t="shared" si="51"/>
        <v>-1</v>
      </c>
    </row>
    <row r="72" spans="1:26" s="24" customFormat="1" hidden="1" outlineLevel="2" x14ac:dyDescent="0.25">
      <c r="A72" s="25"/>
      <c r="B72" s="11" t="str">
        <f>CONCATENATE("          ", "6284", " - ", "TRASH REMOVAL EXPENSE")</f>
        <v xml:space="preserve">          6284 - TRASH REMOVAL EXPENSE</v>
      </c>
      <c r="C72" s="11"/>
      <c r="D72" s="7">
        <v>761</v>
      </c>
      <c r="E72" s="2"/>
      <c r="F72" s="6">
        <f t="shared" si="44"/>
        <v>5.523887364960553E-2</v>
      </c>
      <c r="G72" s="2"/>
      <c r="H72" s="7"/>
      <c r="I72" s="2"/>
      <c r="J72" s="6">
        <f t="shared" si="45"/>
        <v>0</v>
      </c>
      <c r="K72" s="2"/>
      <c r="L72" s="7">
        <f t="shared" si="46"/>
        <v>761</v>
      </c>
      <c r="M72" s="2"/>
      <c r="N72" s="6">
        <f t="shared" si="47"/>
        <v>0</v>
      </c>
      <c r="O72" s="11"/>
      <c r="P72" s="7">
        <v>4824</v>
      </c>
      <c r="Q72" s="2"/>
      <c r="R72" s="6">
        <f t="shared" si="48"/>
        <v>6.2514425035109289E-2</v>
      </c>
      <c r="S72" s="2"/>
      <c r="T72" s="7">
        <v>7602</v>
      </c>
      <c r="U72" s="2"/>
      <c r="V72" s="6">
        <f t="shared" si="49"/>
        <v>3.4121052985928768E-2</v>
      </c>
      <c r="W72" s="2"/>
      <c r="X72" s="7">
        <f t="shared" si="50"/>
        <v>-2778</v>
      </c>
      <c r="Y72" s="2"/>
      <c r="Z72" s="6">
        <f t="shared" si="51"/>
        <v>-0.36543014996053669</v>
      </c>
    </row>
    <row r="73" spans="1:26" s="24" customFormat="1" hidden="1" outlineLevel="2" x14ac:dyDescent="0.25">
      <c r="A73" s="25"/>
      <c r="B73" s="11" t="str">
        <f>CONCATENATE("          ", "6285", " - ", "JANITORIAL SERVICES")</f>
        <v xml:space="preserve">          6285 - JANITORIAL SERVICES</v>
      </c>
      <c r="C73" s="11"/>
      <c r="D73" s="7">
        <v>3385.52</v>
      </c>
      <c r="E73" s="2"/>
      <c r="F73" s="6">
        <f t="shared" si="44"/>
        <v>0.24574548162708609</v>
      </c>
      <c r="G73" s="2"/>
      <c r="H73" s="7">
        <v>3041</v>
      </c>
      <c r="I73" s="2"/>
      <c r="J73" s="6">
        <f t="shared" si="45"/>
        <v>0.23222604047346315</v>
      </c>
      <c r="K73" s="2"/>
      <c r="L73" s="7">
        <f t="shared" si="46"/>
        <v>344.52</v>
      </c>
      <c r="M73" s="2"/>
      <c r="N73" s="6">
        <f t="shared" si="47"/>
        <v>0.1132916803682999</v>
      </c>
      <c r="O73" s="11"/>
      <c r="P73" s="7">
        <v>21234.61</v>
      </c>
      <c r="Q73" s="2"/>
      <c r="R73" s="6">
        <f t="shared" si="48"/>
        <v>0.27518023113490508</v>
      </c>
      <c r="S73" s="2"/>
      <c r="T73" s="7">
        <v>34974</v>
      </c>
      <c r="U73" s="2"/>
      <c r="V73" s="6">
        <f t="shared" si="49"/>
        <v>0.15697838820440316</v>
      </c>
      <c r="W73" s="2"/>
      <c r="X73" s="7">
        <f t="shared" si="50"/>
        <v>-13739.39</v>
      </c>
      <c r="Y73" s="2"/>
      <c r="Z73" s="6">
        <f t="shared" si="51"/>
        <v>-0.39284582832961629</v>
      </c>
    </row>
    <row r="74" spans="1:26" s="24" customFormat="1" hidden="1" outlineLevel="2" x14ac:dyDescent="0.25">
      <c r="A74" s="25"/>
      <c r="B74" s="11" t="str">
        <f>CONCATENATE("          ", "6286", " - ", "LAUNDRY EXPENSE")</f>
        <v xml:space="preserve">          6286 - LAUNDRY EXPENSE</v>
      </c>
      <c r="C74" s="11"/>
      <c r="D74" s="7"/>
      <c r="E74" s="2"/>
      <c r="F74" s="6">
        <f t="shared" si="44"/>
        <v>0</v>
      </c>
      <c r="G74" s="2"/>
      <c r="H74" s="7"/>
      <c r="I74" s="2"/>
      <c r="J74" s="6">
        <f t="shared" si="45"/>
        <v>0</v>
      </c>
      <c r="K74" s="2"/>
      <c r="L74" s="7">
        <f t="shared" si="46"/>
        <v>0</v>
      </c>
      <c r="M74" s="2"/>
      <c r="N74" s="6">
        <f t="shared" si="47"/>
        <v>0</v>
      </c>
      <c r="O74" s="11"/>
      <c r="P74" s="7">
        <v>584.13</v>
      </c>
      <c r="Q74" s="2"/>
      <c r="R74" s="6">
        <f t="shared" si="48"/>
        <v>7.5697659817077914E-3</v>
      </c>
      <c r="S74" s="2"/>
      <c r="T74" s="7"/>
      <c r="U74" s="2"/>
      <c r="V74" s="6">
        <f t="shared" si="49"/>
        <v>0</v>
      </c>
      <c r="W74" s="2"/>
      <c r="X74" s="7">
        <f t="shared" si="50"/>
        <v>584.13</v>
      </c>
      <c r="Y74" s="2"/>
      <c r="Z74" s="6">
        <f t="shared" si="51"/>
        <v>0</v>
      </c>
    </row>
    <row r="75" spans="1:26" s="27" customFormat="1" outlineLevel="1" collapsed="1" x14ac:dyDescent="0.25">
      <c r="A75" s="26"/>
      <c r="B75" s="13" t="str">
        <f>CONCATENATE("     ","Subscriptions &amp; Dues                              ")</f>
        <v xml:space="preserve">     Subscriptions &amp; Dues                              </v>
      </c>
      <c r="C75" s="13"/>
      <c r="D75" s="1">
        <f>SUM(OSRRefD22_13x_0)</f>
        <v>132.16999999999999</v>
      </c>
      <c r="E75" s="1"/>
      <c r="F75" s="5">
        <f t="shared" ref="F75:F85" si="52">IF(D$12=0,0,D75/D$12)</f>
        <v>9.593852733598373E-3</v>
      </c>
      <c r="G75" s="1"/>
      <c r="H75" s="1">
        <f>SUM(OSRRefH22_13x_0)</f>
        <v>200</v>
      </c>
      <c r="I75" s="1"/>
      <c r="J75" s="5">
        <f t="shared" ref="J75:J85" si="53">IF(H$12=0,0,H75/H$12)</f>
        <v>1.5273004963726614E-2</v>
      </c>
      <c r="K75" s="1"/>
      <c r="L75" s="1">
        <f t="shared" ref="L75:L85" si="54">+D75-H75</f>
        <v>-67.830000000000013</v>
      </c>
      <c r="M75" s="1"/>
      <c r="N75" s="5">
        <f t="shared" ref="N75:N85" si="55">IF(H75=0,0,L75/H75)</f>
        <v>-0.33915000000000006</v>
      </c>
      <c r="O75" s="13"/>
      <c r="P75" s="1">
        <f>SUM(OSRRefP22_13x_0)</f>
        <v>929.18</v>
      </c>
      <c r="Q75" s="1"/>
      <c r="R75" s="5">
        <f t="shared" ref="R75:R85" si="56">IF(P$12=0,0,P75/P$12)</f>
        <v>1.2041283883524635E-2</v>
      </c>
      <c r="S75" s="1"/>
      <c r="T75" s="1">
        <f>SUM(OSRRefT22_13x_0)</f>
        <v>2181</v>
      </c>
      <c r="U75" s="1"/>
      <c r="V75" s="5">
        <f t="shared" ref="V75:V85" si="57">IF(T$12=0,0,T75/T$12)</f>
        <v>9.7892681613142123E-3</v>
      </c>
      <c r="W75" s="1"/>
      <c r="X75" s="1">
        <f t="shared" ref="X75:X85" si="58">+P75-T75</f>
        <v>-1251.8200000000002</v>
      </c>
      <c r="Y75" s="1"/>
      <c r="Z75" s="5">
        <f t="shared" ref="Z75:Z85" si="59">IF(T75=0,0,X75/T75)</f>
        <v>-0.57396607060981208</v>
      </c>
    </row>
    <row r="76" spans="1:26" s="24" customFormat="1" hidden="1" outlineLevel="2" x14ac:dyDescent="0.25">
      <c r="A76" s="25"/>
      <c r="B76" s="11" t="str">
        <f>CONCATENATE("          ", "6275", " - ", "SUBSCRIPTIONS")</f>
        <v xml:space="preserve">          6275 - SUBSCRIPTIONS</v>
      </c>
      <c r="C76" s="11"/>
      <c r="D76" s="7">
        <v>132.16999999999999</v>
      </c>
      <c r="E76" s="2"/>
      <c r="F76" s="6">
        <f t="shared" si="52"/>
        <v>9.593852733598373E-3</v>
      </c>
      <c r="G76" s="2"/>
      <c r="H76" s="7">
        <v>200</v>
      </c>
      <c r="I76" s="2"/>
      <c r="J76" s="6">
        <f t="shared" si="53"/>
        <v>1.5273004963726614E-2</v>
      </c>
      <c r="K76" s="2"/>
      <c r="L76" s="7">
        <f t="shared" si="54"/>
        <v>-67.830000000000013</v>
      </c>
      <c r="M76" s="2"/>
      <c r="N76" s="6">
        <f t="shared" si="55"/>
        <v>-0.33915000000000006</v>
      </c>
      <c r="O76" s="11"/>
      <c r="P76" s="7">
        <v>929.18</v>
      </c>
      <c r="Q76" s="2"/>
      <c r="R76" s="6">
        <f t="shared" si="56"/>
        <v>1.2041283883524635E-2</v>
      </c>
      <c r="S76" s="2"/>
      <c r="T76" s="7">
        <v>2181</v>
      </c>
      <c r="U76" s="2"/>
      <c r="V76" s="6">
        <f t="shared" si="57"/>
        <v>9.7892681613142123E-3</v>
      </c>
      <c r="W76" s="2"/>
      <c r="X76" s="7">
        <f t="shared" si="58"/>
        <v>-1251.8200000000002</v>
      </c>
      <c r="Y76" s="2"/>
      <c r="Z76" s="6">
        <f t="shared" si="59"/>
        <v>-0.57396607060981208</v>
      </c>
    </row>
    <row r="77" spans="1:26" s="27" customFormat="1" outlineLevel="1" collapsed="1" x14ac:dyDescent="0.25">
      <c r="A77" s="26"/>
      <c r="B77" s="13" t="str">
        <f>CONCATENATE("     ","Supplies                                          ")</f>
        <v xml:space="preserve">     Supplies                                          </v>
      </c>
      <c r="C77" s="13"/>
      <c r="D77" s="1">
        <f>SUM(OSRRefD22_14x_0)</f>
        <v>2.21</v>
      </c>
      <c r="E77" s="1"/>
      <c r="F77" s="5">
        <f t="shared" si="52"/>
        <v>1.6041775396271777E-4</v>
      </c>
      <c r="G77" s="1"/>
      <c r="H77" s="1">
        <f>SUM(OSRRefH22_14x_0)</f>
        <v>900</v>
      </c>
      <c r="I77" s="1"/>
      <c r="J77" s="5">
        <f t="shared" si="53"/>
        <v>6.8728522336769765E-2</v>
      </c>
      <c r="K77" s="1"/>
      <c r="L77" s="1">
        <f t="shared" si="54"/>
        <v>-897.79</v>
      </c>
      <c r="M77" s="1"/>
      <c r="N77" s="5">
        <f t="shared" si="55"/>
        <v>-0.99754444444444446</v>
      </c>
      <c r="O77" s="13"/>
      <c r="P77" s="1">
        <f>SUM(OSRRefP22_14x_0)</f>
        <v>8375.23</v>
      </c>
      <c r="Q77" s="1"/>
      <c r="R77" s="5">
        <f t="shared" si="56"/>
        <v>0.10853496848814227</v>
      </c>
      <c r="S77" s="1"/>
      <c r="T77" s="1">
        <f>SUM(OSRRefT22_14x_0)</f>
        <v>23175</v>
      </c>
      <c r="U77" s="1"/>
      <c r="V77" s="5">
        <f t="shared" si="57"/>
        <v>0.10401939002221773</v>
      </c>
      <c r="W77" s="1"/>
      <c r="X77" s="1">
        <f t="shared" si="58"/>
        <v>-14799.77</v>
      </c>
      <c r="Y77" s="1"/>
      <c r="Z77" s="5">
        <f t="shared" si="59"/>
        <v>-0.63860927723840344</v>
      </c>
    </row>
    <row r="78" spans="1:26" s="24" customFormat="1" hidden="1" outlineLevel="2" x14ac:dyDescent="0.25">
      <c r="A78" s="25"/>
      <c r="B78" s="11" t="str">
        <f>CONCATENATE("          ", "6234", " - ", "EXPENDABLE SUPPLIES &amp; EQUIPMEN")</f>
        <v xml:space="preserve">          6234 - EXPENDABLE SUPPLIES &amp; EQUIPMEN</v>
      </c>
      <c r="C78" s="11"/>
      <c r="D78" s="7"/>
      <c r="E78" s="2"/>
      <c r="F78" s="6">
        <f t="shared" si="52"/>
        <v>0</v>
      </c>
      <c r="G78" s="2"/>
      <c r="H78" s="7"/>
      <c r="I78" s="2"/>
      <c r="J78" s="6">
        <f t="shared" si="53"/>
        <v>0</v>
      </c>
      <c r="K78" s="2"/>
      <c r="L78" s="7">
        <f t="shared" si="54"/>
        <v>0</v>
      </c>
      <c r="M78" s="2"/>
      <c r="N78" s="6">
        <f t="shared" si="55"/>
        <v>0</v>
      </c>
      <c r="O78" s="11"/>
      <c r="P78" s="7">
        <v>337.16</v>
      </c>
      <c r="Q78" s="2"/>
      <c r="R78" s="6">
        <f t="shared" si="56"/>
        <v>4.3692710499248439E-3</v>
      </c>
      <c r="S78" s="2"/>
      <c r="T78" s="7">
        <v>1076</v>
      </c>
      <c r="U78" s="2"/>
      <c r="V78" s="6">
        <f t="shared" si="57"/>
        <v>4.8295518301577686E-3</v>
      </c>
      <c r="W78" s="2"/>
      <c r="X78" s="7">
        <f t="shared" si="58"/>
        <v>-738.83999999999992</v>
      </c>
      <c r="Y78" s="2"/>
      <c r="Z78" s="6">
        <f t="shared" si="59"/>
        <v>-0.68665427509293675</v>
      </c>
    </row>
    <row r="79" spans="1:26" s="24" customFormat="1" hidden="1" outlineLevel="2" x14ac:dyDescent="0.25">
      <c r="A79" s="25"/>
      <c r="B79" s="11" t="str">
        <f>CONCATENATE("          ", "6235", " - ", "COVID-19 EXPENSES")</f>
        <v xml:space="preserve">          6235 - COVID-19 EXPENSES</v>
      </c>
      <c r="C79" s="11"/>
      <c r="D79" s="7"/>
      <c r="E79" s="2"/>
      <c r="F79" s="6">
        <f t="shared" si="52"/>
        <v>0</v>
      </c>
      <c r="G79" s="2"/>
      <c r="H79" s="7"/>
      <c r="I79" s="2"/>
      <c r="J79" s="6">
        <f t="shared" si="53"/>
        <v>0</v>
      </c>
      <c r="K79" s="2"/>
      <c r="L79" s="7">
        <f t="shared" si="54"/>
        <v>0</v>
      </c>
      <c r="M79" s="2"/>
      <c r="N79" s="6">
        <f t="shared" si="55"/>
        <v>0</v>
      </c>
      <c r="O79" s="11"/>
      <c r="P79" s="7">
        <v>6819.42</v>
      </c>
      <c r="Q79" s="2"/>
      <c r="R79" s="6">
        <f t="shared" si="56"/>
        <v>8.8373159281286265E-2</v>
      </c>
      <c r="S79" s="2"/>
      <c r="T79" s="7"/>
      <c r="U79" s="2"/>
      <c r="V79" s="6">
        <f t="shared" si="57"/>
        <v>0</v>
      </c>
      <c r="W79" s="2"/>
      <c r="X79" s="7">
        <f t="shared" si="58"/>
        <v>6819.42</v>
      </c>
      <c r="Y79" s="2"/>
      <c r="Z79" s="6">
        <f t="shared" si="59"/>
        <v>0</v>
      </c>
    </row>
    <row r="80" spans="1:26" s="24" customFormat="1" hidden="1" outlineLevel="2" x14ac:dyDescent="0.25">
      <c r="A80" s="25"/>
      <c r="B80" s="11" t="str">
        <f>CONCATENATE("          ", "6237", " - ", "JANITORIAL SUPPLIES")</f>
        <v xml:space="preserve">          6237 - JANITORIAL SUPPLIES</v>
      </c>
      <c r="C80" s="11"/>
      <c r="D80" s="7"/>
      <c r="E80" s="2"/>
      <c r="F80" s="6">
        <f t="shared" si="52"/>
        <v>0</v>
      </c>
      <c r="G80" s="2"/>
      <c r="H80" s="7">
        <v>250</v>
      </c>
      <c r="I80" s="2"/>
      <c r="J80" s="6">
        <f t="shared" si="53"/>
        <v>1.9091256204658267E-2</v>
      </c>
      <c r="K80" s="2"/>
      <c r="L80" s="7">
        <f t="shared" si="54"/>
        <v>-250</v>
      </c>
      <c r="M80" s="2"/>
      <c r="N80" s="6">
        <f t="shared" si="55"/>
        <v>-1</v>
      </c>
      <c r="O80" s="11"/>
      <c r="P80" s="7">
        <v>286.91000000000003</v>
      </c>
      <c r="Q80" s="2"/>
      <c r="R80" s="6">
        <f t="shared" si="56"/>
        <v>3.7180791224757891E-3</v>
      </c>
      <c r="S80" s="2"/>
      <c r="T80" s="7">
        <v>9399</v>
      </c>
      <c r="U80" s="2"/>
      <c r="V80" s="6">
        <f t="shared" si="57"/>
        <v>4.2186763616777756E-2</v>
      </c>
      <c r="W80" s="2"/>
      <c r="X80" s="7">
        <f t="shared" si="58"/>
        <v>-9112.09</v>
      </c>
      <c r="Y80" s="2"/>
      <c r="Z80" s="6">
        <f t="shared" si="59"/>
        <v>-0.96947441217150765</v>
      </c>
    </row>
    <row r="81" spans="1:26" s="24" customFormat="1" hidden="1" outlineLevel="2" x14ac:dyDescent="0.25">
      <c r="A81" s="25"/>
      <c r="B81" s="11" t="str">
        <f>CONCATENATE("          ", "6239", " - ", "KITCHEN SUPPLIES")</f>
        <v xml:space="preserve">          6239 - KITCHEN SUPPLIES</v>
      </c>
      <c r="C81" s="11"/>
      <c r="D81" s="7"/>
      <c r="E81" s="2"/>
      <c r="F81" s="6">
        <f t="shared" si="52"/>
        <v>0</v>
      </c>
      <c r="G81" s="2"/>
      <c r="H81" s="7">
        <v>50</v>
      </c>
      <c r="I81" s="2"/>
      <c r="J81" s="6">
        <f t="shared" si="53"/>
        <v>3.8182512409316535E-3</v>
      </c>
      <c r="K81" s="2"/>
      <c r="L81" s="7">
        <f t="shared" si="54"/>
        <v>-50</v>
      </c>
      <c r="M81" s="2"/>
      <c r="N81" s="6">
        <f t="shared" si="55"/>
        <v>-1</v>
      </c>
      <c r="O81" s="11"/>
      <c r="P81" s="7">
        <v>19.829999999999998</v>
      </c>
      <c r="Q81" s="2"/>
      <c r="R81" s="6">
        <f t="shared" si="56"/>
        <v>2.5697782927989576E-4</v>
      </c>
      <c r="S81" s="2"/>
      <c r="T81" s="7">
        <v>493</v>
      </c>
      <c r="U81" s="2"/>
      <c r="V81" s="6">
        <f t="shared" si="57"/>
        <v>2.2127965169774907E-3</v>
      </c>
      <c r="W81" s="2"/>
      <c r="X81" s="7">
        <f t="shared" si="58"/>
        <v>-473.17</v>
      </c>
      <c r="Y81" s="2"/>
      <c r="Z81" s="6">
        <f t="shared" si="59"/>
        <v>-0.95977687626774855</v>
      </c>
    </row>
    <row r="82" spans="1:26" s="24" customFormat="1" hidden="1" outlineLevel="2" x14ac:dyDescent="0.25">
      <c r="A82" s="25"/>
      <c r="B82" s="11" t="str">
        <f>CONCATENATE("          ", "6241", " - ", "OFFICE EXPENSE")</f>
        <v xml:space="preserve">          6241 - OFFICE EXPENSE</v>
      </c>
      <c r="C82" s="11"/>
      <c r="D82" s="7">
        <v>2.21</v>
      </c>
      <c r="E82" s="2"/>
      <c r="F82" s="6">
        <f t="shared" si="52"/>
        <v>1.6041775396271777E-4</v>
      </c>
      <c r="G82" s="2"/>
      <c r="H82" s="7"/>
      <c r="I82" s="2"/>
      <c r="J82" s="6">
        <f t="shared" si="53"/>
        <v>0</v>
      </c>
      <c r="K82" s="2"/>
      <c r="L82" s="7">
        <f t="shared" si="54"/>
        <v>2.21</v>
      </c>
      <c r="M82" s="2"/>
      <c r="N82" s="6">
        <f t="shared" si="55"/>
        <v>0</v>
      </c>
      <c r="O82" s="11"/>
      <c r="P82" s="7">
        <v>656.58</v>
      </c>
      <c r="Q82" s="2"/>
      <c r="R82" s="6">
        <f t="shared" si="56"/>
        <v>8.5086486711343397E-3</v>
      </c>
      <c r="S82" s="2"/>
      <c r="T82" s="7">
        <v>5462</v>
      </c>
      <c r="U82" s="2"/>
      <c r="V82" s="6">
        <f t="shared" si="57"/>
        <v>2.4515810498440271E-2</v>
      </c>
      <c r="W82" s="2"/>
      <c r="X82" s="7">
        <f t="shared" si="58"/>
        <v>-4805.42</v>
      </c>
      <c r="Y82" s="2"/>
      <c r="Z82" s="6">
        <f t="shared" si="59"/>
        <v>-0.87979128524350059</v>
      </c>
    </row>
    <row r="83" spans="1:26" s="24" customFormat="1" hidden="1" outlineLevel="2" x14ac:dyDescent="0.25">
      <c r="A83" s="25"/>
      <c r="B83" s="11" t="str">
        <f>CONCATENATE("          ", "6243", " - ", "PAPER SUPPLIES")</f>
        <v xml:space="preserve">          6243 - PAPER SUPPLIES</v>
      </c>
      <c r="C83" s="11"/>
      <c r="D83" s="7"/>
      <c r="E83" s="2"/>
      <c r="F83" s="6">
        <f t="shared" si="52"/>
        <v>0</v>
      </c>
      <c r="G83" s="2"/>
      <c r="H83" s="7">
        <v>600</v>
      </c>
      <c r="I83" s="2"/>
      <c r="J83" s="6">
        <f t="shared" si="53"/>
        <v>4.5819014891179836E-2</v>
      </c>
      <c r="K83" s="2"/>
      <c r="L83" s="7">
        <f t="shared" si="54"/>
        <v>-600</v>
      </c>
      <c r="M83" s="2"/>
      <c r="N83" s="6">
        <f t="shared" si="55"/>
        <v>-1</v>
      </c>
      <c r="O83" s="11"/>
      <c r="P83" s="7">
        <v>255.33</v>
      </c>
      <c r="Q83" s="2"/>
      <c r="R83" s="6">
        <f t="shared" si="56"/>
        <v>3.3088325340411393E-3</v>
      </c>
      <c r="S83" s="2"/>
      <c r="T83" s="7">
        <v>6319</v>
      </c>
      <c r="U83" s="2"/>
      <c r="V83" s="6">
        <f t="shared" si="57"/>
        <v>2.836239592450459E-2</v>
      </c>
      <c r="W83" s="2"/>
      <c r="X83" s="7">
        <f t="shared" si="58"/>
        <v>-6063.67</v>
      </c>
      <c r="Y83" s="2"/>
      <c r="Z83" s="6">
        <f t="shared" si="59"/>
        <v>-0.9595932900775439</v>
      </c>
    </row>
    <row r="84" spans="1:26" s="24" customFormat="1" hidden="1" outlineLevel="2" x14ac:dyDescent="0.25">
      <c r="A84" s="25"/>
      <c r="B84" s="11" t="str">
        <f>CONCATENATE("          ", "6247", " - ", "STORE SUPPLIES")</f>
        <v xml:space="preserve">          6247 - STORE SUPPLIES</v>
      </c>
      <c r="C84" s="11"/>
      <c r="D84" s="7"/>
      <c r="E84" s="2"/>
      <c r="F84" s="6">
        <f t="shared" si="52"/>
        <v>0</v>
      </c>
      <c r="G84" s="2"/>
      <c r="H84" s="7"/>
      <c r="I84" s="2"/>
      <c r="J84" s="6">
        <f t="shared" si="53"/>
        <v>0</v>
      </c>
      <c r="K84" s="2"/>
      <c r="L84" s="7">
        <f t="shared" si="54"/>
        <v>0</v>
      </c>
      <c r="M84" s="2"/>
      <c r="N84" s="6">
        <f t="shared" si="55"/>
        <v>0</v>
      </c>
      <c r="O84" s="11"/>
      <c r="P84" s="7"/>
      <c r="Q84" s="2"/>
      <c r="R84" s="6">
        <f t="shared" si="56"/>
        <v>0</v>
      </c>
      <c r="S84" s="2"/>
      <c r="T84" s="7">
        <v>411</v>
      </c>
      <c r="U84" s="2"/>
      <c r="V84" s="6">
        <f t="shared" si="57"/>
        <v>1.8447451693260621E-3</v>
      </c>
      <c r="W84" s="2"/>
      <c r="X84" s="7">
        <f t="shared" si="58"/>
        <v>-411</v>
      </c>
      <c r="Y84" s="2"/>
      <c r="Z84" s="6">
        <f t="shared" si="59"/>
        <v>-1</v>
      </c>
    </row>
    <row r="85" spans="1:26" s="24" customFormat="1" hidden="1" outlineLevel="2" x14ac:dyDescent="0.25">
      <c r="A85" s="25"/>
      <c r="B85" s="11" t="str">
        <f>CONCATENATE("          ", "6248", " - ", "UNIFORMS")</f>
        <v xml:space="preserve">          6248 - UNIFORMS</v>
      </c>
      <c r="C85" s="11"/>
      <c r="D85" s="7"/>
      <c r="E85" s="2"/>
      <c r="F85" s="6">
        <f t="shared" si="52"/>
        <v>0</v>
      </c>
      <c r="G85" s="2"/>
      <c r="H85" s="7"/>
      <c r="I85" s="2"/>
      <c r="J85" s="6">
        <f t="shared" si="53"/>
        <v>0</v>
      </c>
      <c r="K85" s="2"/>
      <c r="L85" s="7">
        <f t="shared" si="54"/>
        <v>0</v>
      </c>
      <c r="M85" s="2"/>
      <c r="N85" s="6">
        <f t="shared" si="55"/>
        <v>0</v>
      </c>
      <c r="O85" s="11"/>
      <c r="P85" s="7"/>
      <c r="Q85" s="2"/>
      <c r="R85" s="6">
        <f t="shared" si="56"/>
        <v>0</v>
      </c>
      <c r="S85" s="2"/>
      <c r="T85" s="7">
        <v>15</v>
      </c>
      <c r="U85" s="2"/>
      <c r="V85" s="6">
        <f t="shared" si="57"/>
        <v>6.7326466033797882E-5</v>
      </c>
      <c r="W85" s="2"/>
      <c r="X85" s="7">
        <f t="shared" si="58"/>
        <v>-15</v>
      </c>
      <c r="Y85" s="2"/>
      <c r="Z85" s="6">
        <f t="shared" si="59"/>
        <v>-1</v>
      </c>
    </row>
    <row r="86" spans="1:26" s="27" customFormat="1" outlineLevel="1" collapsed="1" x14ac:dyDescent="0.25">
      <c r="A86" s="26"/>
      <c r="B86" s="13" t="str">
        <f>CONCATENATE("     ","Telephone/Data Lines                              ")</f>
        <v xml:space="preserve">     Telephone/Data Lines                              </v>
      </c>
      <c r="C86" s="13"/>
      <c r="D86" s="1">
        <f>SUM(OSRRefD22_15x_0)</f>
        <v>157</v>
      </c>
      <c r="E86" s="1"/>
      <c r="F86" s="5">
        <f t="shared" ref="F86:F88" si="60">IF(D$12=0,0,D86/D$12)</f>
        <v>1.1396193381061851E-2</v>
      </c>
      <c r="G86" s="1"/>
      <c r="H86" s="1">
        <f>SUM(OSRRefH22_15x_0)</f>
        <v>135</v>
      </c>
      <c r="I86" s="1"/>
      <c r="J86" s="5">
        <f t="shared" ref="J86:J88" si="61">IF(H$12=0,0,H86/H$12)</f>
        <v>1.0309278350515464E-2</v>
      </c>
      <c r="K86" s="1"/>
      <c r="L86" s="1">
        <f t="shared" ref="L86:L88" si="62">+D86-H86</f>
        <v>22</v>
      </c>
      <c r="M86" s="1"/>
      <c r="N86" s="5">
        <f t="shared" ref="N86:N88" si="63">IF(H86=0,0,L86/H86)</f>
        <v>0.16296296296296298</v>
      </c>
      <c r="O86" s="13"/>
      <c r="P86" s="1">
        <f>SUM(OSRRefP22_15x_0)</f>
        <v>2080</v>
      </c>
      <c r="Q86" s="1"/>
      <c r="R86" s="5">
        <f t="shared" ref="R86:R88" si="64">IF(P$12=0,0,P86/P$12)</f>
        <v>2.6954810131224569E-2</v>
      </c>
      <c r="S86" s="1"/>
      <c r="T86" s="1">
        <f>SUM(OSRRefT22_15x_0)</f>
        <v>2127</v>
      </c>
      <c r="U86" s="1"/>
      <c r="V86" s="5">
        <f t="shared" ref="V86:V88" si="65">IF(T$12=0,0,T86/T$12)</f>
        <v>9.5468928835925407E-3</v>
      </c>
      <c r="W86" s="1"/>
      <c r="X86" s="1">
        <f t="shared" ref="X86:X88" si="66">+P86-T86</f>
        <v>-47</v>
      </c>
      <c r="Y86" s="1"/>
      <c r="Z86" s="5">
        <f t="shared" ref="Z86:Z88" si="67">IF(T86=0,0,X86/T86)</f>
        <v>-2.2096850023507288E-2</v>
      </c>
    </row>
    <row r="87" spans="1:26" s="24" customFormat="1" hidden="1" outlineLevel="2" x14ac:dyDescent="0.25">
      <c r="A87" s="25"/>
      <c r="B87" s="11" t="str">
        <f>CONCATENATE("          ", "6303", " - ", "DATA PHONE LINES")</f>
        <v xml:space="preserve">          6303 - DATA PHONE LINES</v>
      </c>
      <c r="C87" s="11"/>
      <c r="D87" s="7"/>
      <c r="E87" s="2"/>
      <c r="F87" s="6">
        <f t="shared" si="60"/>
        <v>0</v>
      </c>
      <c r="G87" s="2"/>
      <c r="H87" s="7">
        <v>135</v>
      </c>
      <c r="I87" s="2"/>
      <c r="J87" s="6">
        <f t="shared" si="61"/>
        <v>1.0309278350515464E-2</v>
      </c>
      <c r="K87" s="2"/>
      <c r="L87" s="7">
        <f t="shared" si="62"/>
        <v>-135</v>
      </c>
      <c r="M87" s="2"/>
      <c r="N87" s="6">
        <f t="shared" si="63"/>
        <v>-1</v>
      </c>
      <c r="O87" s="11"/>
      <c r="P87" s="7"/>
      <c r="Q87" s="2"/>
      <c r="R87" s="6">
        <f t="shared" si="64"/>
        <v>0</v>
      </c>
      <c r="S87" s="2"/>
      <c r="T87" s="7">
        <v>1527</v>
      </c>
      <c r="U87" s="2"/>
      <c r="V87" s="6">
        <f t="shared" si="65"/>
        <v>6.8538342422406247E-3</v>
      </c>
      <c r="W87" s="2"/>
      <c r="X87" s="7">
        <f t="shared" si="66"/>
        <v>-1527</v>
      </c>
      <c r="Y87" s="2"/>
      <c r="Z87" s="6">
        <f t="shared" si="67"/>
        <v>-1</v>
      </c>
    </row>
    <row r="88" spans="1:26" s="24" customFormat="1" hidden="1" outlineLevel="2" x14ac:dyDescent="0.25">
      <c r="A88" s="25"/>
      <c r="B88" s="11" t="str">
        <f>CONCATENATE("          ", "6309", " - ", "TELEPHONE")</f>
        <v xml:space="preserve">          6309 - TELEPHONE</v>
      </c>
      <c r="C88" s="11"/>
      <c r="D88" s="7">
        <v>157</v>
      </c>
      <c r="E88" s="2"/>
      <c r="F88" s="6">
        <f t="shared" si="60"/>
        <v>1.1396193381061851E-2</v>
      </c>
      <c r="G88" s="2"/>
      <c r="H88" s="7"/>
      <c r="I88" s="2"/>
      <c r="J88" s="6">
        <f t="shared" si="61"/>
        <v>0</v>
      </c>
      <c r="K88" s="2"/>
      <c r="L88" s="7">
        <f t="shared" si="62"/>
        <v>157</v>
      </c>
      <c r="M88" s="2"/>
      <c r="N88" s="6">
        <f t="shared" si="63"/>
        <v>0</v>
      </c>
      <c r="O88" s="11"/>
      <c r="P88" s="7">
        <v>2080</v>
      </c>
      <c r="Q88" s="2"/>
      <c r="R88" s="6">
        <f t="shared" si="64"/>
        <v>2.6954810131224569E-2</v>
      </c>
      <c r="S88" s="2"/>
      <c r="T88" s="7">
        <v>600</v>
      </c>
      <c r="U88" s="2"/>
      <c r="V88" s="6">
        <f t="shared" si="65"/>
        <v>2.6930586413519155E-3</v>
      </c>
      <c r="W88" s="2"/>
      <c r="X88" s="7">
        <f t="shared" si="66"/>
        <v>1480</v>
      </c>
      <c r="Y88" s="2"/>
      <c r="Z88" s="6">
        <f t="shared" si="67"/>
        <v>2.4666666666666668</v>
      </c>
    </row>
    <row r="89" spans="1:26" s="27" customFormat="1" outlineLevel="1" collapsed="1" x14ac:dyDescent="0.25">
      <c r="A89" s="26"/>
      <c r="B89" s="13" t="str">
        <f>CONCATENATE("     ","Training                                          ")</f>
        <v xml:space="preserve">     Training                                          </v>
      </c>
      <c r="C89" s="13"/>
      <c r="D89" s="1">
        <f>SUM(OSRRefD22_16x_0)</f>
        <v>0</v>
      </c>
      <c r="E89" s="1"/>
      <c r="F89" s="5">
        <f t="shared" ref="F89:F93" si="68">IF(D$12=0,0,D89/D$12)</f>
        <v>0</v>
      </c>
      <c r="G89" s="1"/>
      <c r="H89" s="1">
        <f>SUM(OSRRefH22_16x_0)</f>
        <v>0</v>
      </c>
      <c r="I89" s="1"/>
      <c r="J89" s="5">
        <f t="shared" ref="J89:J93" si="69">IF(H$12=0,0,H89/H$12)</f>
        <v>0</v>
      </c>
      <c r="K89" s="1"/>
      <c r="L89" s="1">
        <f t="shared" ref="L89:L93" si="70">+D89-H89</f>
        <v>0</v>
      </c>
      <c r="M89" s="1"/>
      <c r="N89" s="5">
        <f t="shared" ref="N89:N93" si="71">IF(H89=0,0,L89/H89)</f>
        <v>0</v>
      </c>
      <c r="O89" s="13"/>
      <c r="P89" s="1">
        <f>SUM(OSRRefP22_16x_0)</f>
        <v>400</v>
      </c>
      <c r="Q89" s="1"/>
      <c r="R89" s="5">
        <f t="shared" ref="R89:R93" si="72">IF(P$12=0,0,P89/P$12)</f>
        <v>5.1836173329278014E-3</v>
      </c>
      <c r="S89" s="1"/>
      <c r="T89" s="1">
        <f>SUM(OSRRefT22_16x_0)</f>
        <v>0</v>
      </c>
      <c r="U89" s="1"/>
      <c r="V89" s="5">
        <f t="shared" ref="V89:V93" si="73">IF(T$12=0,0,T89/T$12)</f>
        <v>0</v>
      </c>
      <c r="W89" s="1"/>
      <c r="X89" s="1">
        <f t="shared" ref="X89:X93" si="74">+P89-T89</f>
        <v>400</v>
      </c>
      <c r="Y89" s="1"/>
      <c r="Z89" s="5">
        <f t="shared" ref="Z89:Z93" si="75">IF(T89=0,0,X89/T89)</f>
        <v>0</v>
      </c>
    </row>
    <row r="90" spans="1:26" s="24" customFormat="1" hidden="1" outlineLevel="2" x14ac:dyDescent="0.25">
      <c r="A90" s="25"/>
      <c r="B90" s="11" t="str">
        <f>CONCATENATE("          ", "6376", " - ", "TRAINING")</f>
        <v xml:space="preserve">          6376 - TRAINING</v>
      </c>
      <c r="C90" s="11"/>
      <c r="D90" s="7"/>
      <c r="E90" s="2"/>
      <c r="F90" s="6">
        <f t="shared" si="68"/>
        <v>0</v>
      </c>
      <c r="G90" s="2"/>
      <c r="H90" s="7"/>
      <c r="I90" s="2"/>
      <c r="J90" s="6">
        <f t="shared" si="69"/>
        <v>0</v>
      </c>
      <c r="K90" s="2"/>
      <c r="L90" s="7">
        <f t="shared" si="70"/>
        <v>0</v>
      </c>
      <c r="M90" s="2"/>
      <c r="N90" s="6">
        <f t="shared" si="71"/>
        <v>0</v>
      </c>
      <c r="O90" s="11"/>
      <c r="P90" s="7">
        <v>400</v>
      </c>
      <c r="Q90" s="2"/>
      <c r="R90" s="6">
        <f t="shared" si="72"/>
        <v>5.1836173329278014E-3</v>
      </c>
      <c r="S90" s="2"/>
      <c r="T90" s="7"/>
      <c r="U90" s="2"/>
      <c r="V90" s="6">
        <f t="shared" si="73"/>
        <v>0</v>
      </c>
      <c r="W90" s="2"/>
      <c r="X90" s="7">
        <f t="shared" si="74"/>
        <v>400</v>
      </c>
      <c r="Y90" s="2"/>
      <c r="Z90" s="6">
        <f t="shared" si="75"/>
        <v>0</v>
      </c>
    </row>
    <row r="91" spans="1:26" s="27" customFormat="1" outlineLevel="1" collapsed="1" x14ac:dyDescent="0.25">
      <c r="A91" s="26"/>
      <c r="B91" s="13" t="str">
        <f>CONCATENATE("     ","Travel                                            ")</f>
        <v xml:space="preserve">     Travel                                            </v>
      </c>
      <c r="C91" s="13"/>
      <c r="D91" s="1">
        <f>SUM(OSRRefD22_17x_0)</f>
        <v>0</v>
      </c>
      <c r="E91" s="1"/>
      <c r="F91" s="5">
        <f t="shared" si="68"/>
        <v>0</v>
      </c>
      <c r="G91" s="1"/>
      <c r="H91" s="1">
        <f>SUM(OSRRefH22_17x_0)</f>
        <v>0</v>
      </c>
      <c r="I91" s="1"/>
      <c r="J91" s="5">
        <f t="shared" si="69"/>
        <v>0</v>
      </c>
      <c r="K91" s="1"/>
      <c r="L91" s="1">
        <f t="shared" si="70"/>
        <v>0</v>
      </c>
      <c r="M91" s="1"/>
      <c r="N91" s="5">
        <f t="shared" si="71"/>
        <v>0</v>
      </c>
      <c r="O91" s="13"/>
      <c r="P91" s="1">
        <f>SUM(OSRRefP22_17x_0)</f>
        <v>0</v>
      </c>
      <c r="Q91" s="1"/>
      <c r="R91" s="5">
        <f t="shared" si="72"/>
        <v>0</v>
      </c>
      <c r="S91" s="1"/>
      <c r="T91" s="1">
        <f>SUM(OSRRefT22_17x_0)</f>
        <v>0</v>
      </c>
      <c r="U91" s="1"/>
      <c r="V91" s="5">
        <f t="shared" si="73"/>
        <v>0</v>
      </c>
      <c r="W91" s="1"/>
      <c r="X91" s="1">
        <f t="shared" si="74"/>
        <v>0</v>
      </c>
      <c r="Y91" s="1"/>
      <c r="Z91" s="5">
        <f t="shared" si="75"/>
        <v>0</v>
      </c>
    </row>
    <row r="92" spans="1:26" s="24" customFormat="1" hidden="1" outlineLevel="2" x14ac:dyDescent="0.25">
      <c r="A92" s="25"/>
      <c r="B92" s="11" t="str">
        <f>CONCATENATE("          ", "6292", " - ", "TRAVEL/CONFERENCE")</f>
        <v xml:space="preserve">          6292 - TRAVEL/CONFERENCE</v>
      </c>
      <c r="C92" s="11"/>
      <c r="D92" s="7"/>
      <c r="E92" s="2"/>
      <c r="F92" s="6">
        <f t="shared" si="68"/>
        <v>0</v>
      </c>
      <c r="G92" s="2"/>
      <c r="H92" s="7"/>
      <c r="I92" s="2"/>
      <c r="J92" s="6">
        <f t="shared" si="69"/>
        <v>0</v>
      </c>
      <c r="K92" s="2"/>
      <c r="L92" s="7">
        <f t="shared" si="70"/>
        <v>0</v>
      </c>
      <c r="M92" s="2"/>
      <c r="N92" s="6">
        <f t="shared" si="71"/>
        <v>0</v>
      </c>
      <c r="O92" s="11"/>
      <c r="P92" s="7"/>
      <c r="Q92" s="2"/>
      <c r="R92" s="6">
        <f t="shared" si="72"/>
        <v>0</v>
      </c>
      <c r="S92" s="2"/>
      <c r="T92" s="7">
        <v>0</v>
      </c>
      <c r="U92" s="2"/>
      <c r="V92" s="6">
        <f t="shared" si="73"/>
        <v>0</v>
      </c>
      <c r="W92" s="2"/>
      <c r="X92" s="7">
        <f t="shared" si="74"/>
        <v>0</v>
      </c>
      <c r="Y92" s="2"/>
      <c r="Z92" s="6">
        <f t="shared" si="75"/>
        <v>0</v>
      </c>
    </row>
    <row r="93" spans="1:26" s="24" customFormat="1" hidden="1" outlineLevel="2" x14ac:dyDescent="0.25">
      <c r="A93" s="25"/>
      <c r="B93" s="11" t="str">
        <f>CONCATENATE("          ", "6294", " - ", "TRAVEL OPERATIONAL")</f>
        <v xml:space="preserve">          6294 - TRAVEL OPERATIONAL</v>
      </c>
      <c r="C93" s="11"/>
      <c r="D93" s="7"/>
      <c r="E93" s="2"/>
      <c r="F93" s="6">
        <f t="shared" si="68"/>
        <v>0</v>
      </c>
      <c r="G93" s="2"/>
      <c r="H93" s="7"/>
      <c r="I93" s="2"/>
      <c r="J93" s="6">
        <f t="shared" si="69"/>
        <v>0</v>
      </c>
      <c r="K93" s="2"/>
      <c r="L93" s="7">
        <f t="shared" si="70"/>
        <v>0</v>
      </c>
      <c r="M93" s="2"/>
      <c r="N93" s="6">
        <f t="shared" si="71"/>
        <v>0</v>
      </c>
      <c r="O93" s="11"/>
      <c r="P93" s="7"/>
      <c r="Q93" s="2"/>
      <c r="R93" s="6">
        <f t="shared" si="72"/>
        <v>0</v>
      </c>
      <c r="S93" s="2"/>
      <c r="T93" s="7">
        <v>0</v>
      </c>
      <c r="U93" s="2"/>
      <c r="V93" s="6">
        <f t="shared" si="73"/>
        <v>0</v>
      </c>
      <c r="W93" s="2"/>
      <c r="X93" s="7">
        <f t="shared" si="74"/>
        <v>0</v>
      </c>
      <c r="Y93" s="2"/>
      <c r="Z93" s="6">
        <f t="shared" si="75"/>
        <v>0</v>
      </c>
    </row>
    <row r="94" spans="1:26" s="27" customFormat="1" outlineLevel="1" collapsed="1" x14ac:dyDescent="0.25">
      <c r="A94" s="26"/>
      <c r="B94" s="13" t="str">
        <f>CONCATENATE("     ","Utilities                                         ")</f>
        <v xml:space="preserve">     Utilities                                         </v>
      </c>
      <c r="C94" s="13"/>
      <c r="D94" s="1">
        <f>SUM(OSRRefD22_18x_0)</f>
        <v>2300</v>
      </c>
      <c r="E94" s="1"/>
      <c r="F94" s="5">
        <f t="shared" ref="F94:F95" si="76">IF(D$12=0,0,D94/D$12)</f>
        <v>0.16695060367160672</v>
      </c>
      <c r="G94" s="1"/>
      <c r="H94" s="1">
        <f>SUM(OSRRefH22_18x_0)</f>
        <v>2300</v>
      </c>
      <c r="I94" s="1"/>
      <c r="J94" s="5">
        <f t="shared" ref="J94:J95" si="77">IF(H$12=0,0,H94/H$12)</f>
        <v>0.17563955708285606</v>
      </c>
      <c r="K94" s="1"/>
      <c r="L94" s="1">
        <f t="shared" ref="L94:L95" si="78">+D94-H94</f>
        <v>0</v>
      </c>
      <c r="M94" s="1"/>
      <c r="N94" s="5">
        <f t="shared" ref="N94:N95" si="79">IF(H94=0,0,L94/H94)</f>
        <v>0</v>
      </c>
      <c r="O94" s="13"/>
      <c r="P94" s="1">
        <f>SUM(OSRRefP22_18x_0)</f>
        <v>12925</v>
      </c>
      <c r="Q94" s="1"/>
      <c r="R94" s="5">
        <f t="shared" ref="R94:R95" si="80">IF(P$12=0,0,P94/P$12)</f>
        <v>0.16749563507022958</v>
      </c>
      <c r="S94" s="1"/>
      <c r="T94" s="1">
        <f>SUM(OSRRefT22_18x_0)</f>
        <v>25300</v>
      </c>
      <c r="U94" s="1"/>
      <c r="V94" s="5">
        <f t="shared" ref="V94:V95" si="81">IF(T$12=0,0,T94/T$12)</f>
        <v>0.11355730604367244</v>
      </c>
      <c r="W94" s="1"/>
      <c r="X94" s="1">
        <f t="shared" ref="X94:X95" si="82">+P94-T94</f>
        <v>-12375</v>
      </c>
      <c r="Y94" s="1"/>
      <c r="Z94" s="5">
        <f t="shared" ref="Z94:Z95" si="83">IF(T94=0,0,X94/T94)</f>
        <v>-0.4891304347826087</v>
      </c>
    </row>
    <row r="95" spans="1:26" s="24" customFormat="1" hidden="1" outlineLevel="2" x14ac:dyDescent="0.25">
      <c r="A95" s="25"/>
      <c r="B95" s="11" t="str">
        <f>CONCATENATE("          ", "6274", " - ", "UTILITIES")</f>
        <v xml:space="preserve">          6274 - UTILITIES</v>
      </c>
      <c r="C95" s="11"/>
      <c r="D95" s="7">
        <v>2300</v>
      </c>
      <c r="E95" s="2"/>
      <c r="F95" s="6">
        <f t="shared" si="76"/>
        <v>0.16695060367160672</v>
      </c>
      <c r="G95" s="2"/>
      <c r="H95" s="7">
        <v>2300</v>
      </c>
      <c r="I95" s="2"/>
      <c r="J95" s="6">
        <f t="shared" si="77"/>
        <v>0.17563955708285606</v>
      </c>
      <c r="K95" s="2"/>
      <c r="L95" s="7">
        <f t="shared" si="78"/>
        <v>0</v>
      </c>
      <c r="M95" s="2"/>
      <c r="N95" s="6">
        <f t="shared" si="79"/>
        <v>0</v>
      </c>
      <c r="O95" s="11"/>
      <c r="P95" s="7">
        <v>12925</v>
      </c>
      <c r="Q95" s="2"/>
      <c r="R95" s="6">
        <f t="shared" si="80"/>
        <v>0.16749563507022958</v>
      </c>
      <c r="S95" s="2"/>
      <c r="T95" s="7">
        <v>25300</v>
      </c>
      <c r="U95" s="2"/>
      <c r="V95" s="6">
        <f t="shared" si="81"/>
        <v>0.11355730604367244</v>
      </c>
      <c r="W95" s="2"/>
      <c r="X95" s="7">
        <f t="shared" si="82"/>
        <v>-12375</v>
      </c>
      <c r="Y95" s="2"/>
      <c r="Z95" s="6">
        <f t="shared" si="83"/>
        <v>-0.4891304347826087</v>
      </c>
    </row>
    <row r="96" spans="1:26" s="56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x14ac:dyDescent="0.25">
      <c r="A97" s="10"/>
      <c r="B97" s="29" t="s">
        <v>293</v>
      </c>
      <c r="C97" s="10"/>
      <c r="D97" s="4">
        <f>SUM(0)</f>
        <v>0</v>
      </c>
      <c r="E97" s="4"/>
      <c r="F97" s="12">
        <f>IF(D$12=0,0,D97/D$12)</f>
        <v>0</v>
      </c>
      <c r="G97" s="4"/>
      <c r="H97" s="4">
        <f>SUM(0)</f>
        <v>0</v>
      </c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>
        <f>SUM(0)</f>
        <v>0</v>
      </c>
      <c r="Q97" s="4"/>
      <c r="R97" s="12">
        <f>IF(P$12=0,0,P97/P$12)</f>
        <v>0</v>
      </c>
      <c r="S97" s="4"/>
      <c r="T97" s="4">
        <f>SUM(0)</f>
        <v>0</v>
      </c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10"/>
      <c r="B99" s="28" t="s">
        <v>277</v>
      </c>
      <c r="C99" s="28"/>
      <c r="D99" s="20">
        <f>+D23-D25+D97</f>
        <v>-52023.619999999988</v>
      </c>
      <c r="E99" s="14"/>
      <c r="F99" s="21">
        <f>IF(D$12=0,0,D99/D$12)</f>
        <v>-3.7762498974705525</v>
      </c>
      <c r="G99" s="14"/>
      <c r="H99" s="20">
        <f>+H23-H25+H97</f>
        <v>-43853.581453892315</v>
      </c>
      <c r="I99" s="14"/>
      <c r="J99" s="21">
        <f>IF(H$12=0,0,H99/H$12)</f>
        <v>-3.3488798361124332</v>
      </c>
      <c r="K99" s="15"/>
      <c r="L99" s="20">
        <f>+D99-H99</f>
        <v>-8170.038546107673</v>
      </c>
      <c r="M99" s="15"/>
      <c r="N99" s="21">
        <f>IF(H99=0,0,L99/H99)</f>
        <v>0.18630265249139702</v>
      </c>
      <c r="O99" s="29"/>
      <c r="P99" s="20">
        <f>+P23-P25+P97</f>
        <v>-621308.87000000011</v>
      </c>
      <c r="Q99" s="14"/>
      <c r="R99" s="21">
        <f>IF(P$12=0,0,P99/P$12)</f>
        <v>-8.0515685690844663</v>
      </c>
      <c r="S99" s="14"/>
      <c r="T99" s="20">
        <f>+T23-T25+T97</f>
        <v>-471060.26558329235</v>
      </c>
      <c r="U99" s="14"/>
      <c r="V99" s="21">
        <f>IF(T$12=0,0,T99/T$12)</f>
        <v>-2.1143215313776897</v>
      </c>
      <c r="W99" s="15"/>
      <c r="X99" s="20">
        <f>+P99-T99</f>
        <v>-150248.60441670776</v>
      </c>
      <c r="Y99" s="15"/>
      <c r="Z99" s="21">
        <f>IF(T99=0,0,X99/T99)</f>
        <v>0.31895834863223244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52"/>
      <c r="B101" s="10" t="s">
        <v>128</v>
      </c>
      <c r="C101" s="10"/>
      <c r="D101" s="4">
        <v>3228.31</v>
      </c>
      <c r="E101" s="4"/>
      <c r="F101" s="12">
        <f>IF(D$12=0,0,D101/D$12)</f>
        <v>0.23433404493003682</v>
      </c>
      <c r="G101" s="4"/>
      <c r="H101" s="4">
        <v>3145</v>
      </c>
      <c r="I101" s="4"/>
      <c r="J101" s="12">
        <f>IF(H$12=0,0,H101/H$12)</f>
        <v>0.24016800305460098</v>
      </c>
      <c r="K101" s="4"/>
      <c r="L101" s="4">
        <f>+D101-H101</f>
        <v>83.309999999999945</v>
      </c>
      <c r="M101" s="4"/>
      <c r="N101" s="12">
        <f>IF(H101=0,0,L101/H101)</f>
        <v>2.6489666136724942E-2</v>
      </c>
      <c r="O101" s="10"/>
      <c r="P101" s="4">
        <v>16489.68</v>
      </c>
      <c r="Q101" s="4"/>
      <c r="R101" s="12">
        <f>IF(P$12=0,0,P101/P$12)</f>
        <v>0.21369047765608229</v>
      </c>
      <c r="S101" s="4"/>
      <c r="T101" s="4">
        <v>41132</v>
      </c>
      <c r="U101" s="4"/>
      <c r="V101" s="12">
        <f>IF(T$12=0,0,T101/T$12)</f>
        <v>0.18461814672681165</v>
      </c>
      <c r="W101" s="4"/>
      <c r="X101" s="4">
        <f>+P101-T101</f>
        <v>-24642.32</v>
      </c>
      <c r="Y101" s="4"/>
      <c r="Z101" s="12">
        <f>IF(T101=0,0,X101/T101)</f>
        <v>-0.59910337450160456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126</v>
      </c>
      <c r="C103" s="28"/>
      <c r="D103" s="35">
        <f>+D99-D101</f>
        <v>-55251.929999999986</v>
      </c>
      <c r="E103" s="14"/>
      <c r="F103" s="34">
        <f>IF(D$12=0,0,D103/D$12)</f>
        <v>-4.0105839424005891</v>
      </c>
      <c r="G103" s="14"/>
      <c r="H103" s="35">
        <f>+H99-H101</f>
        <v>-46998.581453892315</v>
      </c>
      <c r="I103" s="14"/>
      <c r="J103" s="34">
        <f>IF(H$12=0,0,H103/H$12)</f>
        <v>-3.5890478391670344</v>
      </c>
      <c r="K103" s="15"/>
      <c r="L103" s="35">
        <f>D103-H103</f>
        <v>-8253.3485461076707</v>
      </c>
      <c r="M103" s="15"/>
      <c r="N103" s="34">
        <f>IF(H103=0,0,L103/H103)</f>
        <v>0.17560846074055597</v>
      </c>
      <c r="O103" s="29"/>
      <c r="P103" s="35">
        <f>+P99-P101</f>
        <v>-637798.55000000016</v>
      </c>
      <c r="Q103" s="14"/>
      <c r="R103" s="34">
        <f>IF(P$12=0,0,P103/P$12)</f>
        <v>-8.2652590467405496</v>
      </c>
      <c r="S103" s="14"/>
      <c r="T103" s="35">
        <f>+T99-T101</f>
        <v>-512192.26558329235</v>
      </c>
      <c r="U103" s="14"/>
      <c r="V103" s="34">
        <f>IF(T$12=0,0,T103/T$12)</f>
        <v>-2.2989396781045013</v>
      </c>
      <c r="W103" s="15"/>
      <c r="X103" s="35">
        <f>P103-T103</f>
        <v>-125606.28441670781</v>
      </c>
      <c r="Y103" s="15"/>
      <c r="Z103" s="34">
        <f>IF(T103=0,0,X103/T103)</f>
        <v>0.24523268478813412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8" t="s">
        <v>294</v>
      </c>
      <c r="C106" s="28"/>
      <c r="D106" s="33">
        <f>SUM(D103:D105)</f>
        <v>-55251.929999999986</v>
      </c>
      <c r="E106" s="14"/>
      <c r="F106" s="32">
        <f>IF(D$12=0,0,D106/D$12)</f>
        <v>-4.0105839424005891</v>
      </c>
      <c r="G106" s="14"/>
      <c r="H106" s="33">
        <f>SUM(H103:H105)</f>
        <v>-46998.581453892315</v>
      </c>
      <c r="I106" s="14"/>
      <c r="J106" s="32">
        <f>IF(H$12=0,0,H106/H$12)</f>
        <v>-3.5890478391670344</v>
      </c>
      <c r="K106" s="15"/>
      <c r="L106" s="33">
        <f>+D106-H106</f>
        <v>-8253.3485461076707</v>
      </c>
      <c r="M106" s="15"/>
      <c r="N106" s="32">
        <f>IF(H106=0,0,L106/H106)</f>
        <v>0.17560846074055597</v>
      </c>
      <c r="O106" s="29"/>
      <c r="P106" s="33">
        <f>SUM(P103:P105)</f>
        <v>-637798.55000000016</v>
      </c>
      <c r="Q106" s="14"/>
      <c r="R106" s="32">
        <f>IF(P$12=0,0,P106/P$12)</f>
        <v>-8.2652590467405496</v>
      </c>
      <c r="S106" s="14"/>
      <c r="T106" s="33">
        <f>SUM(T103:T105)</f>
        <v>-512192.26558329235</v>
      </c>
      <c r="U106" s="14"/>
      <c r="V106" s="32">
        <f>IF(T$12=0,0,T106/T$12)</f>
        <v>-2.2989396781045013</v>
      </c>
      <c r="W106" s="15"/>
      <c r="X106" s="33">
        <f>+P106-T106</f>
        <v>-125606.28441670781</v>
      </c>
      <c r="Y106" s="15"/>
      <c r="Z106" s="32">
        <f>IF(T106=0,0,X106/T106)</f>
        <v>0.24523268478813412</v>
      </c>
    </row>
    <row r="107" spans="1:26" ht="15.75" thickTop="1" x14ac:dyDescent="0.25">
      <c r="A107" s="9"/>
      <c r="C107" s="9"/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60">
        <v>44356.891834571761</v>
      </c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55" t="s">
        <v>56</v>
      </c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A110" s="9"/>
      <c r="B110" s="63"/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","418", " - ", "Nugget")</f>
        <v>Department 418 - Nugget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5">0</f>
        <v>0</v>
      </c>
      <c r="Q13" s="2"/>
      <c r="R13" s="19"/>
      <c r="S13" s="2"/>
      <c r="T13" s="2"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0</v>
      </c>
      <c r="M16" s="4"/>
      <c r="N16" s="12">
        <f t="shared" ref="N16:N18" si="9">IF(H16=0,0,L16/H16)</f>
        <v>0</v>
      </c>
      <c r="O16" s="10"/>
      <c r="P16" s="4">
        <f>SUM(OSRRefP16x_0)</f>
        <v>-301.68</v>
      </c>
      <c r="Q16" s="4"/>
      <c r="R16" s="12">
        <f t="shared" ref="R16:R18" si="10">IF(P$12=0,0,P16/P$12)</f>
        <v>0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-301.68</v>
      </c>
      <c r="Y16" s="4"/>
      <c r="Z16" s="12">
        <f t="shared" ref="Z16:Z18" si="13">IF(T16=0,0,X16/T16)</f>
        <v>0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0</v>
      </c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/>
      <c r="Q17" s="2"/>
      <c r="R17" s="19">
        <f t="shared" si="10"/>
        <v>0</v>
      </c>
      <c r="S17" s="2"/>
      <c r="T17" s="2">
        <v>0</v>
      </c>
      <c r="U17" s="2"/>
      <c r="V17" s="19">
        <f t="shared" si="11"/>
        <v>0</v>
      </c>
      <c r="W17" s="2"/>
      <c r="X17" s="2">
        <f t="shared" si="12"/>
        <v>0</v>
      </c>
      <c r="Y17" s="2"/>
      <c r="Z17" s="19">
        <f t="shared" si="13"/>
        <v>0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-301.68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-301.68</v>
      </c>
      <c r="Y18" s="2"/>
      <c r="Z18" s="19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108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0</v>
      </c>
      <c r="I20" s="14"/>
      <c r="J20" s="21">
        <f>IF(H$12=0,0,H20/H$12)</f>
        <v>0</v>
      </c>
      <c r="K20" s="15"/>
      <c r="L20" s="20">
        <f>+D20-H20</f>
        <v>0</v>
      </c>
      <c r="M20" s="15"/>
      <c r="N20" s="21">
        <f>IF(H20=0,0,L20/H20)</f>
        <v>0</v>
      </c>
      <c r="O20" s="29"/>
      <c r="P20" s="20">
        <f>P12-P16</f>
        <v>301.68</v>
      </c>
      <c r="Q20" s="14"/>
      <c r="R20" s="21">
        <f>IF(P$12=0,0,P20/P$12)</f>
        <v>0</v>
      </c>
      <c r="S20" s="14"/>
      <c r="T20" s="20">
        <f>T12-T16</f>
        <v>0</v>
      </c>
      <c r="U20" s="14"/>
      <c r="V20" s="21">
        <f>IF(T$12=0,0,T20/T$12)</f>
        <v>0</v>
      </c>
      <c r="W20" s="15"/>
      <c r="X20" s="20">
        <f>+P20-T20</f>
        <v>301.68</v>
      </c>
      <c r="Y20" s="15"/>
      <c r="Z20" s="21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295</v>
      </c>
      <c r="C22" s="10"/>
      <c r="D22" s="22">
        <f>SUM(OSRRefD22x_0)</f>
        <v>6925.17</v>
      </c>
      <c r="E22" s="22"/>
      <c r="F22" s="31">
        <f t="shared" ref="F22:F31" si="14">IF(D$12=0,0,D22/D$12)</f>
        <v>0</v>
      </c>
      <c r="G22" s="22"/>
      <c r="H22" s="22">
        <f>SUM(OSRRefH22x_0)</f>
        <v>6745</v>
      </c>
      <c r="I22" s="22"/>
      <c r="J22" s="31">
        <f t="shared" ref="J22:J31" si="15">IF(H$12=0,0,H22/H$12)</f>
        <v>0</v>
      </c>
      <c r="K22" s="4"/>
      <c r="L22" s="22">
        <f t="shared" ref="L22:L31" si="16">+D22-H22</f>
        <v>180.17000000000007</v>
      </c>
      <c r="M22" s="4"/>
      <c r="N22" s="31">
        <f t="shared" ref="N22:N31" si="17">IF(H22=0,0,L22/H22)</f>
        <v>2.6711638250555978E-2</v>
      </c>
      <c r="O22" s="10"/>
      <c r="P22" s="22">
        <f>SUM(OSRRefP22x_0)</f>
        <v>88071.360000000001</v>
      </c>
      <c r="Q22" s="22"/>
      <c r="R22" s="31">
        <f t="shared" ref="R22:R31" si="18">IF(P$12=0,0,P22/P$12)</f>
        <v>0</v>
      </c>
      <c r="S22" s="22"/>
      <c r="T22" s="22">
        <f>SUM(OSRRefT22x_0)</f>
        <v>77294</v>
      </c>
      <c r="U22" s="22"/>
      <c r="V22" s="31">
        <f t="shared" ref="V22:V31" si="19">IF(T$12=0,0,T22/T$12)</f>
        <v>0</v>
      </c>
      <c r="W22" s="4"/>
      <c r="X22" s="22">
        <f t="shared" ref="X22:X31" si="20">+P22-T22</f>
        <v>10777.36</v>
      </c>
      <c r="Y22" s="4"/>
      <c r="Z22" s="31">
        <f t="shared" ref="Z22:Z31" si="21">IF(T22=0,0,X22/T22)</f>
        <v>0.13943333247082568</v>
      </c>
    </row>
    <row r="23" spans="1:26" s="27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0</v>
      </c>
      <c r="M23" s="1"/>
      <c r="N23" s="5">
        <f t="shared" si="17"/>
        <v>0</v>
      </c>
      <c r="O23" s="13"/>
      <c r="P23" s="1">
        <f>SUM(OSRRefP22_0x_0)</f>
        <v>6086.32</v>
      </c>
      <c r="Q23" s="1"/>
      <c r="R23" s="5">
        <f t="shared" si="18"/>
        <v>0</v>
      </c>
      <c r="S23" s="1"/>
      <c r="T23" s="1">
        <f>SUM(OSRRefT22_0x_0)</f>
        <v>0</v>
      </c>
      <c r="U23" s="1"/>
      <c r="V23" s="5">
        <f t="shared" si="19"/>
        <v>0</v>
      </c>
      <c r="W23" s="1"/>
      <c r="X23" s="1">
        <f t="shared" si="20"/>
        <v>6086.32</v>
      </c>
      <c r="Y23" s="1"/>
      <c r="Z23" s="5">
        <f t="shared" si="21"/>
        <v>0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>
        <v>237.51</v>
      </c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237.51</v>
      </c>
      <c r="Y24" s="2"/>
      <c r="Z24" s="6">
        <f t="shared" si="21"/>
        <v>0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/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0</v>
      </c>
      <c r="Y25" s="2"/>
      <c r="Z25" s="6">
        <f t="shared" si="21"/>
        <v>0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>
        <v>4780.67</v>
      </c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4780.67</v>
      </c>
      <c r="Y26" s="2"/>
      <c r="Z26" s="6">
        <f t="shared" si="21"/>
        <v>0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/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0</v>
      </c>
      <c r="Y27" s="2"/>
      <c r="Z27" s="6">
        <f t="shared" si="21"/>
        <v>0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>
        <v>678.15</v>
      </c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678.15</v>
      </c>
      <c r="Y28" s="2"/>
      <c r="Z28" s="6">
        <f t="shared" si="21"/>
        <v>0</v>
      </c>
    </row>
    <row r="29" spans="1:26" s="24" customFormat="1" hidden="1" outlineLevel="2" x14ac:dyDescent="0.25">
      <c r="A29" s="25"/>
      <c r="B29" s="11" t="str">
        <f>CONCATENATE("          ", "6116", " - ", "EDUCATIONAL BENEFITS")</f>
        <v xml:space="preserve">          6116 - EDUCATIONAL BENEFITS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0</v>
      </c>
      <c r="Y29" s="2"/>
      <c r="Z29" s="6">
        <f t="shared" si="21"/>
        <v>0</v>
      </c>
    </row>
    <row r="30" spans="1:26" s="24" customFormat="1" hidden="1" outlineLevel="2" x14ac:dyDescent="0.25">
      <c r="A30" s="25"/>
      <c r="B30" s="11" t="str">
        <f>CONCATENATE("          ", "6118", " - ", "VACATION")</f>
        <v xml:space="preserve">          6118 - VACATION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>
        <v>248.21</v>
      </c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248.21</v>
      </c>
      <c r="Y30" s="2"/>
      <c r="Z30" s="6">
        <f t="shared" si="21"/>
        <v>0</v>
      </c>
    </row>
    <row r="31" spans="1:26" s="24" customFormat="1" hidden="1" outlineLevel="2" x14ac:dyDescent="0.25">
      <c r="A31" s="25"/>
      <c r="B31" s="11" t="str">
        <f>CONCATENATE("          ", "6119", " - ", "SICK LEAVE")</f>
        <v xml:space="preserve">          6119 - SICK LEAVE</v>
      </c>
      <c r="C31" s="11"/>
      <c r="D31" s="7"/>
      <c r="E31" s="2"/>
      <c r="F31" s="6">
        <f t="shared" si="14"/>
        <v>0</v>
      </c>
      <c r="G31" s="2"/>
      <c r="H31" s="7">
        <v>0</v>
      </c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>
        <v>141.78</v>
      </c>
      <c r="Q31" s="2"/>
      <c r="R31" s="6">
        <f t="shared" si="18"/>
        <v>0</v>
      </c>
      <c r="S31" s="2"/>
      <c r="T31" s="7">
        <v>0</v>
      </c>
      <c r="U31" s="2"/>
      <c r="V31" s="6">
        <f t="shared" si="19"/>
        <v>0</v>
      </c>
      <c r="W31" s="2"/>
      <c r="X31" s="7">
        <f t="shared" si="20"/>
        <v>141.78</v>
      </c>
      <c r="Y31" s="2"/>
      <c r="Z31" s="6">
        <f t="shared" si="21"/>
        <v>0</v>
      </c>
    </row>
    <row r="32" spans="1:26" s="27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3"/>
      <c r="P32" s="1">
        <f>SUM(OSRRefP22_1x_0)</f>
        <v>2151.69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2151.69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5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5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>
        <v>2151.69</v>
      </c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2151.69</v>
      </c>
      <c r="Y34" s="2"/>
      <c r="Z34" s="6">
        <f t="shared" si="29"/>
        <v>0</v>
      </c>
    </row>
    <row r="35" spans="1:26" s="24" customFormat="1" hidden="1" outlineLevel="2" x14ac:dyDescent="0.25">
      <c r="A35" s="25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5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5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25">
      <c r="A42" s="25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7" customFormat="1" outlineLevel="1" collapsed="1" x14ac:dyDescent="0.25">
      <c r="A43" s="26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0</v>
      </c>
      <c r="E43" s="1"/>
      <c r="F43" s="5">
        <f t="shared" ref="F43:F49" si="30">IF(D$12=0,0,D43/D$12)</f>
        <v>0</v>
      </c>
      <c r="G43" s="1"/>
      <c r="H43" s="1">
        <f>SUM(OSRRefH22_2x_0)</f>
        <v>0</v>
      </c>
      <c r="I43" s="1"/>
      <c r="J43" s="5">
        <f t="shared" ref="J43:J49" si="31">IF(H$12=0,0,H43/H$12)</f>
        <v>0</v>
      </c>
      <c r="K43" s="1"/>
      <c r="L43" s="1">
        <f t="shared" ref="L43:L49" si="32">+D43-H43</f>
        <v>0</v>
      </c>
      <c r="M43" s="1"/>
      <c r="N43" s="5">
        <f t="shared" ref="N43:N49" si="33">IF(H43=0,0,L43/H43)</f>
        <v>0</v>
      </c>
      <c r="O43" s="13"/>
      <c r="P43" s="1">
        <f>SUM(OSRRefP22_2x_0)</f>
        <v>0</v>
      </c>
      <c r="Q43" s="1"/>
      <c r="R43" s="5">
        <f t="shared" ref="R43:R49" si="34">IF(P$12=0,0,P43/P$12)</f>
        <v>0</v>
      </c>
      <c r="S43" s="1"/>
      <c r="T43" s="1">
        <f>SUM(OSRRefT22_2x_0)</f>
        <v>0</v>
      </c>
      <c r="U43" s="1"/>
      <c r="V43" s="5">
        <f t="shared" ref="V43:V49" si="35">IF(T$12=0,0,T43/T$12)</f>
        <v>0</v>
      </c>
      <c r="W43" s="1"/>
      <c r="X43" s="1">
        <f t="shared" ref="X43:X49" si="36">+P43-T43</f>
        <v>0</v>
      </c>
      <c r="Y43" s="1"/>
      <c r="Z43" s="5">
        <f t="shared" ref="Z43:Z49" si="37">IF(T43=0,0,X43/T43)</f>
        <v>0</v>
      </c>
    </row>
    <row r="44" spans="1:26" s="24" customFormat="1" hidden="1" outlineLevel="2" x14ac:dyDescent="0.25">
      <c r="A44" s="25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30"/>
        <v>0</v>
      </c>
      <c r="G44" s="2"/>
      <c r="H44" s="7">
        <v>0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/>
      <c r="Q44" s="2"/>
      <c r="R44" s="6">
        <f t="shared" si="34"/>
        <v>0</v>
      </c>
      <c r="S44" s="2"/>
      <c r="T44" s="7">
        <v>0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7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3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30"/>
        <v>0</v>
      </c>
      <c r="G46" s="2"/>
      <c r="H46" s="7">
        <v>0</v>
      </c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0</v>
      </c>
      <c r="U46" s="2"/>
      <c r="V46" s="6">
        <f t="shared" si="35"/>
        <v>0</v>
      </c>
      <c r="W46" s="2"/>
      <c r="X46" s="7">
        <f t="shared" si="36"/>
        <v>0</v>
      </c>
      <c r="Y46" s="2"/>
      <c r="Z46" s="6">
        <f t="shared" si="37"/>
        <v>0</v>
      </c>
    </row>
    <row r="47" spans="1:26" s="27" customFormat="1" outlineLevel="1" collapsed="1" x14ac:dyDescent="0.25">
      <c r="A47" s="26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SUM(OSRRefD22_4x_0)</f>
        <v>6745.17</v>
      </c>
      <c r="E47" s="1"/>
      <c r="F47" s="5">
        <f t="shared" si="30"/>
        <v>0</v>
      </c>
      <c r="G47" s="1"/>
      <c r="H47" s="1">
        <f>SUM(OSRRefH22_4x_0)</f>
        <v>6745</v>
      </c>
      <c r="I47" s="1"/>
      <c r="J47" s="5">
        <f t="shared" si="31"/>
        <v>0</v>
      </c>
      <c r="K47" s="1"/>
      <c r="L47" s="1">
        <f t="shared" si="32"/>
        <v>0.17000000000007276</v>
      </c>
      <c r="M47" s="1"/>
      <c r="N47" s="5">
        <f t="shared" si="33"/>
        <v>2.5203854707201298E-5</v>
      </c>
      <c r="O47" s="13"/>
      <c r="P47" s="1">
        <f>SUM(OSRRefP22_4x_0)</f>
        <v>75494.02</v>
      </c>
      <c r="Q47" s="1"/>
      <c r="R47" s="5">
        <f t="shared" si="34"/>
        <v>0</v>
      </c>
      <c r="S47" s="1"/>
      <c r="T47" s="1">
        <f>SUM(OSRRefT22_4x_0)</f>
        <v>75494</v>
      </c>
      <c r="U47" s="1"/>
      <c r="V47" s="5">
        <f t="shared" si="35"/>
        <v>0</v>
      </c>
      <c r="W47" s="1"/>
      <c r="X47" s="1">
        <f t="shared" si="36"/>
        <v>2.0000000004074536E-2</v>
      </c>
      <c r="Y47" s="1"/>
      <c r="Z47" s="5">
        <f t="shared" si="37"/>
        <v>2.6492171568700211E-7</v>
      </c>
    </row>
    <row r="48" spans="1:26" s="24" customFormat="1" hidden="1" outlineLevel="2" x14ac:dyDescent="0.25">
      <c r="A48" s="25"/>
      <c r="B48" s="11" t="str">
        <f>CONCATENATE("          ", "6321", " - ", "BUILDING DEPRECIATION")</f>
        <v xml:space="preserve">          6321 - BUILDING DEPRECIATION</v>
      </c>
      <c r="C48" s="11"/>
      <c r="D48" s="7">
        <v>6537.05</v>
      </c>
      <c r="E48" s="2"/>
      <c r="F48" s="6">
        <f t="shared" si="30"/>
        <v>0</v>
      </c>
      <c r="G48" s="2"/>
      <c r="H48" s="7"/>
      <c r="I48" s="2"/>
      <c r="J48" s="6">
        <f t="shared" si="31"/>
        <v>0</v>
      </c>
      <c r="K48" s="2"/>
      <c r="L48" s="7">
        <f t="shared" si="32"/>
        <v>6537.05</v>
      </c>
      <c r="M48" s="2"/>
      <c r="N48" s="6">
        <f t="shared" si="33"/>
        <v>0</v>
      </c>
      <c r="O48" s="11"/>
      <c r="P48" s="7">
        <v>71907.55</v>
      </c>
      <c r="Q48" s="2"/>
      <c r="R48" s="6">
        <f t="shared" si="34"/>
        <v>0</v>
      </c>
      <c r="S48" s="2"/>
      <c r="T48" s="7"/>
      <c r="U48" s="2"/>
      <c r="V48" s="6">
        <f t="shared" si="35"/>
        <v>0</v>
      </c>
      <c r="W48" s="2"/>
      <c r="X48" s="7">
        <f t="shared" si="36"/>
        <v>71907.55</v>
      </c>
      <c r="Y48" s="2"/>
      <c r="Z48" s="6">
        <f t="shared" si="37"/>
        <v>0</v>
      </c>
    </row>
    <row r="49" spans="1:26" s="24" customFormat="1" hidden="1" outlineLevel="2" x14ac:dyDescent="0.25">
      <c r="A49" s="25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208.12</v>
      </c>
      <c r="E49" s="2"/>
      <c r="F49" s="6">
        <f t="shared" si="30"/>
        <v>0</v>
      </c>
      <c r="G49" s="2"/>
      <c r="H49" s="7">
        <v>6745</v>
      </c>
      <c r="I49" s="2"/>
      <c r="J49" s="6">
        <f t="shared" si="31"/>
        <v>0</v>
      </c>
      <c r="K49" s="2"/>
      <c r="L49" s="7">
        <f t="shared" si="32"/>
        <v>-6536.88</v>
      </c>
      <c r="M49" s="2"/>
      <c r="N49" s="6">
        <f t="shared" si="33"/>
        <v>-0.96914455151964418</v>
      </c>
      <c r="O49" s="11"/>
      <c r="P49" s="7">
        <v>3586.47</v>
      </c>
      <c r="Q49" s="2"/>
      <c r="R49" s="6">
        <f t="shared" si="34"/>
        <v>0</v>
      </c>
      <c r="S49" s="2"/>
      <c r="T49" s="7">
        <v>75494</v>
      </c>
      <c r="U49" s="2"/>
      <c r="V49" s="6">
        <f t="shared" si="35"/>
        <v>0</v>
      </c>
      <c r="W49" s="2"/>
      <c r="X49" s="7">
        <f t="shared" si="36"/>
        <v>-71907.53</v>
      </c>
      <c r="Y49" s="2"/>
      <c r="Z49" s="6">
        <f t="shared" si="37"/>
        <v>-0.9524933107266802</v>
      </c>
    </row>
    <row r="50" spans="1:26" s="27" customFormat="1" outlineLevel="1" collapsed="1" x14ac:dyDescent="0.25">
      <c r="A50" s="26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SUM(OSRRefD22_5x_0)</f>
        <v>0</v>
      </c>
      <c r="E50" s="1"/>
      <c r="F50" s="5">
        <f t="shared" ref="F50:F59" si="38">IF(D$12=0,0,D50/D$12)</f>
        <v>0</v>
      </c>
      <c r="G50" s="1"/>
      <c r="H50" s="1">
        <f>SUM(OSRRefH22_5x_0)</f>
        <v>0</v>
      </c>
      <c r="I50" s="1"/>
      <c r="J50" s="5">
        <f t="shared" ref="J50:J59" si="39">IF(H$12=0,0,H50/H$12)</f>
        <v>0</v>
      </c>
      <c r="K50" s="1"/>
      <c r="L50" s="1">
        <f t="shared" ref="L50:L59" si="40">+D50-H50</f>
        <v>0</v>
      </c>
      <c r="M50" s="1"/>
      <c r="N50" s="5">
        <f t="shared" ref="N50:N59" si="41">IF(H50=0,0,L50/H50)</f>
        <v>0</v>
      </c>
      <c r="O50" s="13"/>
      <c r="P50" s="1">
        <f>SUM(OSRRefP22_5x_0)</f>
        <v>0</v>
      </c>
      <c r="Q50" s="1"/>
      <c r="R50" s="5">
        <f t="shared" ref="R50:R59" si="42">IF(P$12=0,0,P50/P$12)</f>
        <v>0</v>
      </c>
      <c r="S50" s="1"/>
      <c r="T50" s="1">
        <f>SUM(OSRRefT22_5x_0)</f>
        <v>0</v>
      </c>
      <c r="U50" s="1"/>
      <c r="V50" s="5">
        <f t="shared" ref="V50:V59" si="43">IF(T$12=0,0,T50/T$12)</f>
        <v>0</v>
      </c>
      <c r="W50" s="1"/>
      <c r="X50" s="1">
        <f t="shared" ref="X50:X59" si="44">+P50-T50</f>
        <v>0</v>
      </c>
      <c r="Y50" s="1"/>
      <c r="Z50" s="5">
        <f t="shared" ref="Z50:Z59" si="45">IF(T50=0,0,X50/T50)</f>
        <v>0</v>
      </c>
    </row>
    <row r="51" spans="1:26" s="24" customFormat="1" hidden="1" outlineLevel="2" x14ac:dyDescent="0.25">
      <c r="A51" s="25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38"/>
        <v>0</v>
      </c>
      <c r="G51" s="2"/>
      <c r="H51" s="7">
        <v>0</v>
      </c>
      <c r="I51" s="2"/>
      <c r="J51" s="6">
        <f t="shared" si="39"/>
        <v>0</v>
      </c>
      <c r="K51" s="2"/>
      <c r="L51" s="7">
        <f t="shared" si="40"/>
        <v>0</v>
      </c>
      <c r="M51" s="2"/>
      <c r="N51" s="6">
        <f t="shared" si="41"/>
        <v>0</v>
      </c>
      <c r="O51" s="11"/>
      <c r="P51" s="7"/>
      <c r="Q51" s="2"/>
      <c r="R51" s="6">
        <f t="shared" si="42"/>
        <v>0</v>
      </c>
      <c r="S51" s="2"/>
      <c r="T51" s="7">
        <v>0</v>
      </c>
      <c r="U51" s="2"/>
      <c r="V51" s="6">
        <f t="shared" si="43"/>
        <v>0</v>
      </c>
      <c r="W51" s="2"/>
      <c r="X51" s="7">
        <f t="shared" si="44"/>
        <v>0</v>
      </c>
      <c r="Y51" s="2"/>
      <c r="Z51" s="6">
        <f t="shared" si="45"/>
        <v>0</v>
      </c>
    </row>
    <row r="52" spans="1:26" s="27" customFormat="1" outlineLevel="1" collapsed="1" x14ac:dyDescent="0.25">
      <c r="A52" s="26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SUM(OSRRefD22_6x_0)</f>
        <v>180</v>
      </c>
      <c r="E52" s="1"/>
      <c r="F52" s="5">
        <f t="shared" si="38"/>
        <v>0</v>
      </c>
      <c r="G52" s="1"/>
      <c r="H52" s="1">
        <f>SUM(OSRRefH22_6x_0)</f>
        <v>0</v>
      </c>
      <c r="I52" s="1"/>
      <c r="J52" s="5">
        <f t="shared" si="39"/>
        <v>0</v>
      </c>
      <c r="K52" s="1"/>
      <c r="L52" s="1">
        <f t="shared" si="40"/>
        <v>180</v>
      </c>
      <c r="M52" s="1"/>
      <c r="N52" s="5">
        <f t="shared" si="41"/>
        <v>0</v>
      </c>
      <c r="O52" s="13"/>
      <c r="P52" s="1">
        <f>SUM(OSRRefP22_6x_0)</f>
        <v>443.72</v>
      </c>
      <c r="Q52" s="1"/>
      <c r="R52" s="5">
        <f t="shared" si="42"/>
        <v>0</v>
      </c>
      <c r="S52" s="1"/>
      <c r="T52" s="1">
        <f>SUM(OSRRefT22_6x_0)</f>
        <v>0</v>
      </c>
      <c r="U52" s="1"/>
      <c r="V52" s="5">
        <f t="shared" si="43"/>
        <v>0</v>
      </c>
      <c r="W52" s="1"/>
      <c r="X52" s="1">
        <f t="shared" si="44"/>
        <v>443.72</v>
      </c>
      <c r="Y52" s="1"/>
      <c r="Z52" s="5">
        <f t="shared" si="45"/>
        <v>0</v>
      </c>
    </row>
    <row r="53" spans="1:26" s="24" customFormat="1" hidden="1" outlineLevel="2" x14ac:dyDescent="0.25">
      <c r="A53" s="25"/>
      <c r="B53" s="11" t="str">
        <f>CONCATENATE("          ", "6351", " - ", "EQUIPMENT RENTAL")</f>
        <v xml:space="preserve">          6351 - EQUIPMENT RENTAL</v>
      </c>
      <c r="C53" s="11"/>
      <c r="D53" s="7">
        <v>180</v>
      </c>
      <c r="E53" s="2"/>
      <c r="F53" s="6">
        <f t="shared" si="38"/>
        <v>0</v>
      </c>
      <c r="G53" s="2"/>
      <c r="H53" s="7"/>
      <c r="I53" s="2"/>
      <c r="J53" s="6">
        <f t="shared" si="39"/>
        <v>0</v>
      </c>
      <c r="K53" s="2"/>
      <c r="L53" s="7">
        <f t="shared" si="40"/>
        <v>180</v>
      </c>
      <c r="M53" s="2"/>
      <c r="N53" s="6">
        <f t="shared" si="41"/>
        <v>0</v>
      </c>
      <c r="O53" s="11"/>
      <c r="P53" s="7">
        <v>443.72</v>
      </c>
      <c r="Q53" s="2"/>
      <c r="R53" s="6">
        <f t="shared" si="42"/>
        <v>0</v>
      </c>
      <c r="S53" s="2"/>
      <c r="T53" s="7"/>
      <c r="U53" s="2"/>
      <c r="V53" s="6">
        <f t="shared" si="43"/>
        <v>0</v>
      </c>
      <c r="W53" s="2"/>
      <c r="X53" s="7">
        <f t="shared" si="44"/>
        <v>443.72</v>
      </c>
      <c r="Y53" s="2"/>
      <c r="Z53" s="6">
        <f t="shared" si="45"/>
        <v>0</v>
      </c>
    </row>
    <row r="54" spans="1:26" s="27" customFormat="1" outlineLevel="1" collapsed="1" x14ac:dyDescent="0.25">
      <c r="A54" s="26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SUM(OSRRefD22_7x_0)</f>
        <v>0</v>
      </c>
      <c r="E54" s="1"/>
      <c r="F54" s="5">
        <f t="shared" si="38"/>
        <v>0</v>
      </c>
      <c r="G54" s="1"/>
      <c r="H54" s="1">
        <f>SUM(OSRRefH22_7x_0)</f>
        <v>0</v>
      </c>
      <c r="I54" s="1"/>
      <c r="J54" s="5">
        <f t="shared" si="39"/>
        <v>0</v>
      </c>
      <c r="K54" s="1"/>
      <c r="L54" s="1">
        <f t="shared" si="40"/>
        <v>0</v>
      </c>
      <c r="M54" s="1"/>
      <c r="N54" s="5">
        <f t="shared" si="41"/>
        <v>0</v>
      </c>
      <c r="O54" s="13"/>
      <c r="P54" s="1">
        <f>SUM(OSRRefP22_7x_0)</f>
        <v>2969.55</v>
      </c>
      <c r="Q54" s="1"/>
      <c r="R54" s="5">
        <f t="shared" si="42"/>
        <v>0</v>
      </c>
      <c r="S54" s="1"/>
      <c r="T54" s="1">
        <f>SUM(OSRRefT22_7x_0)</f>
        <v>1800</v>
      </c>
      <c r="U54" s="1"/>
      <c r="V54" s="5">
        <f t="shared" si="43"/>
        <v>0</v>
      </c>
      <c r="W54" s="1"/>
      <c r="X54" s="1">
        <f t="shared" si="44"/>
        <v>1169.5500000000002</v>
      </c>
      <c r="Y54" s="1"/>
      <c r="Z54" s="5">
        <f t="shared" si="45"/>
        <v>0.64975000000000005</v>
      </c>
    </row>
    <row r="55" spans="1:26" s="24" customFormat="1" hidden="1" outlineLevel="2" x14ac:dyDescent="0.25">
      <c r="A55" s="25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38"/>
        <v>0</v>
      </c>
      <c r="G55" s="2"/>
      <c r="H55" s="7"/>
      <c r="I55" s="2"/>
      <c r="J55" s="6">
        <f t="shared" si="39"/>
        <v>0</v>
      </c>
      <c r="K55" s="2"/>
      <c r="L55" s="7">
        <f t="shared" si="40"/>
        <v>0</v>
      </c>
      <c r="M55" s="2"/>
      <c r="N55" s="6">
        <f t="shared" si="41"/>
        <v>0</v>
      </c>
      <c r="O55" s="11"/>
      <c r="P55" s="7">
        <v>2969.55</v>
      </c>
      <c r="Q55" s="2"/>
      <c r="R55" s="6">
        <f t="shared" si="42"/>
        <v>0</v>
      </c>
      <c r="S55" s="2"/>
      <c r="T55" s="7">
        <v>1800</v>
      </c>
      <c r="U55" s="2"/>
      <c r="V55" s="6">
        <f t="shared" si="43"/>
        <v>0</v>
      </c>
      <c r="W55" s="2"/>
      <c r="X55" s="7">
        <f t="shared" si="44"/>
        <v>1169.5500000000002</v>
      </c>
      <c r="Y55" s="2"/>
      <c r="Z55" s="6">
        <f t="shared" si="45"/>
        <v>0.64975000000000005</v>
      </c>
    </row>
    <row r="56" spans="1:26" s="27" customFormat="1" outlineLevel="1" collapsed="1" x14ac:dyDescent="0.25">
      <c r="A56" s="26"/>
      <c r="B56" s="13" t="str">
        <f>CONCATENATE("     ","Repair and Maintenance                            ")</f>
        <v xml:space="preserve">     Repair and Maintenance                            </v>
      </c>
      <c r="C56" s="13"/>
      <c r="D56" s="1">
        <f>SUM(OSRRefD22_8x_0)</f>
        <v>0</v>
      </c>
      <c r="E56" s="1"/>
      <c r="F56" s="5">
        <f t="shared" si="38"/>
        <v>0</v>
      </c>
      <c r="G56" s="1"/>
      <c r="H56" s="1">
        <f>SUM(OSRRefH22_8x_0)</f>
        <v>0</v>
      </c>
      <c r="I56" s="1"/>
      <c r="J56" s="5">
        <f t="shared" si="39"/>
        <v>0</v>
      </c>
      <c r="K56" s="1"/>
      <c r="L56" s="1">
        <f t="shared" si="40"/>
        <v>0</v>
      </c>
      <c r="M56" s="1"/>
      <c r="N56" s="5">
        <f t="shared" si="41"/>
        <v>0</v>
      </c>
      <c r="O56" s="13"/>
      <c r="P56" s="1">
        <f>SUM(OSRRefP22_8x_0)</f>
        <v>675.19</v>
      </c>
      <c r="Q56" s="1"/>
      <c r="R56" s="5">
        <f t="shared" si="42"/>
        <v>0</v>
      </c>
      <c r="S56" s="1"/>
      <c r="T56" s="1">
        <f>SUM(OSRRefT22_8x_0)</f>
        <v>0</v>
      </c>
      <c r="U56" s="1"/>
      <c r="V56" s="5">
        <f t="shared" si="43"/>
        <v>0</v>
      </c>
      <c r="W56" s="1"/>
      <c r="X56" s="1">
        <f t="shared" si="44"/>
        <v>675.19</v>
      </c>
      <c r="Y56" s="1"/>
      <c r="Z56" s="5">
        <f t="shared" si="45"/>
        <v>0</v>
      </c>
    </row>
    <row r="57" spans="1:26" s="24" customFormat="1" hidden="1" outlineLevel="2" x14ac:dyDescent="0.25">
      <c r="A57" s="25"/>
      <c r="B57" s="11" t="str">
        <f>CONCATENATE("          ", "6372", " - ", "COMPUTER HARDWARE MAINTENANCE")</f>
        <v xml:space="preserve">          6372 - COMPUTER HARDWARE MAINTENANCE</v>
      </c>
      <c r="C57" s="11"/>
      <c r="D57" s="7"/>
      <c r="E57" s="2"/>
      <c r="F57" s="6">
        <f t="shared" si="38"/>
        <v>0</v>
      </c>
      <c r="G57" s="2"/>
      <c r="H57" s="7"/>
      <c r="I57" s="2"/>
      <c r="J57" s="6">
        <f t="shared" si="39"/>
        <v>0</v>
      </c>
      <c r="K57" s="2"/>
      <c r="L57" s="7">
        <f t="shared" si="40"/>
        <v>0</v>
      </c>
      <c r="M57" s="2"/>
      <c r="N57" s="6">
        <f t="shared" si="41"/>
        <v>0</v>
      </c>
      <c r="O57" s="11"/>
      <c r="P57" s="7"/>
      <c r="Q57" s="2"/>
      <c r="R57" s="6">
        <f t="shared" si="42"/>
        <v>0</v>
      </c>
      <c r="S57" s="2"/>
      <c r="T57" s="7">
        <v>0</v>
      </c>
      <c r="U57" s="2"/>
      <c r="V57" s="6">
        <f t="shared" si="43"/>
        <v>0</v>
      </c>
      <c r="W57" s="2"/>
      <c r="X57" s="7">
        <f t="shared" si="44"/>
        <v>0</v>
      </c>
      <c r="Y57" s="2"/>
      <c r="Z57" s="6">
        <f t="shared" si="45"/>
        <v>0</v>
      </c>
    </row>
    <row r="58" spans="1:26" s="24" customFormat="1" hidden="1" outlineLevel="2" x14ac:dyDescent="0.25">
      <c r="A58" s="25"/>
      <c r="B58" s="11" t="str">
        <f>CONCATENATE("          ", "6373", " - ", "MAINTENANCE CONTRACTS")</f>
        <v xml:space="preserve">          6373 - MAINTENANCE CONTRACTS</v>
      </c>
      <c r="C58" s="11"/>
      <c r="D58" s="7"/>
      <c r="E58" s="2"/>
      <c r="F58" s="6">
        <f t="shared" si="38"/>
        <v>0</v>
      </c>
      <c r="G58" s="2"/>
      <c r="H58" s="7"/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>
        <v>675.19</v>
      </c>
      <c r="Q58" s="2"/>
      <c r="R58" s="6">
        <f t="shared" si="42"/>
        <v>0</v>
      </c>
      <c r="S58" s="2"/>
      <c r="T58" s="7">
        <v>0</v>
      </c>
      <c r="U58" s="2"/>
      <c r="V58" s="6">
        <f t="shared" si="43"/>
        <v>0</v>
      </c>
      <c r="W58" s="2"/>
      <c r="X58" s="7">
        <f t="shared" si="44"/>
        <v>675.19</v>
      </c>
      <c r="Y58" s="2"/>
      <c r="Z58" s="6">
        <f t="shared" si="45"/>
        <v>0</v>
      </c>
    </row>
    <row r="59" spans="1:26" s="24" customFormat="1" hidden="1" outlineLevel="2" x14ac:dyDescent="0.25">
      <c r="A59" s="25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38"/>
        <v>0</v>
      </c>
      <c r="G59" s="2"/>
      <c r="H59" s="7">
        <v>0</v>
      </c>
      <c r="I59" s="2"/>
      <c r="J59" s="6">
        <f t="shared" si="39"/>
        <v>0</v>
      </c>
      <c r="K59" s="2"/>
      <c r="L59" s="7">
        <f t="shared" si="40"/>
        <v>0</v>
      </c>
      <c r="M59" s="2"/>
      <c r="N59" s="6">
        <f t="shared" si="41"/>
        <v>0</v>
      </c>
      <c r="O59" s="11"/>
      <c r="P59" s="7"/>
      <c r="Q59" s="2"/>
      <c r="R59" s="6">
        <f t="shared" si="42"/>
        <v>0</v>
      </c>
      <c r="S59" s="2"/>
      <c r="T59" s="7">
        <v>0</v>
      </c>
      <c r="U59" s="2"/>
      <c r="V59" s="6">
        <f t="shared" si="43"/>
        <v>0</v>
      </c>
      <c r="W59" s="2"/>
      <c r="X59" s="7">
        <f t="shared" si="44"/>
        <v>0</v>
      </c>
      <c r="Y59" s="2"/>
      <c r="Z59" s="6">
        <f t="shared" si="45"/>
        <v>0</v>
      </c>
    </row>
    <row r="60" spans="1:26" s="27" customFormat="1" outlineLevel="1" collapsed="1" x14ac:dyDescent="0.25">
      <c r="A60" s="26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SUM(OSRRefD22_9x_0)</f>
        <v>0</v>
      </c>
      <c r="E60" s="1"/>
      <c r="F60" s="5">
        <f t="shared" ref="F60:F62" si="46">IF(D$12=0,0,D60/D$12)</f>
        <v>0</v>
      </c>
      <c r="G60" s="1"/>
      <c r="H60" s="1">
        <f>SUM(OSRRefH22_9x_0)</f>
        <v>0</v>
      </c>
      <c r="I60" s="1"/>
      <c r="J60" s="5">
        <f t="shared" ref="J60:J62" si="47">IF(H$12=0,0,H60/H$12)</f>
        <v>0</v>
      </c>
      <c r="K60" s="1"/>
      <c r="L60" s="1">
        <f t="shared" ref="L60:L62" si="48">+D60-H60</f>
        <v>0</v>
      </c>
      <c r="M60" s="1"/>
      <c r="N60" s="5">
        <f t="shared" ref="N60:N62" si="49">IF(H60=0,0,L60/H60)</f>
        <v>0</v>
      </c>
      <c r="O60" s="13"/>
      <c r="P60" s="1">
        <f>SUM(OSRRefP22_9x_0)</f>
        <v>0</v>
      </c>
      <c r="Q60" s="1"/>
      <c r="R60" s="5">
        <f t="shared" ref="R60:R62" si="50">IF(P$12=0,0,P60/P$12)</f>
        <v>0</v>
      </c>
      <c r="S60" s="1"/>
      <c r="T60" s="1">
        <f>SUM(OSRRefT22_9x_0)</f>
        <v>0</v>
      </c>
      <c r="U60" s="1"/>
      <c r="V60" s="5">
        <f t="shared" ref="V60:V62" si="51">IF(T$12=0,0,T60/T$12)</f>
        <v>0</v>
      </c>
      <c r="W60" s="1"/>
      <c r="X60" s="1">
        <f t="shared" ref="X60:X62" si="52">+P60-T60</f>
        <v>0</v>
      </c>
      <c r="Y60" s="1"/>
      <c r="Z60" s="5">
        <f t="shared" ref="Z60:Z62" si="53">IF(T60=0,0,X60/T60)</f>
        <v>0</v>
      </c>
    </row>
    <row r="61" spans="1:26" s="24" customFormat="1" hidden="1" outlineLevel="2" x14ac:dyDescent="0.25">
      <c r="A61" s="25"/>
      <c r="B61" s="11" t="str">
        <f>CONCATENATE("          ", "6283", " - ", "PLANT SERVICE")</f>
        <v xml:space="preserve">          6283 - PLANT SERVICE</v>
      </c>
      <c r="C61" s="11"/>
      <c r="D61" s="7"/>
      <c r="E61" s="2"/>
      <c r="F61" s="6">
        <f t="shared" si="46"/>
        <v>0</v>
      </c>
      <c r="G61" s="2"/>
      <c r="H61" s="7">
        <v>0</v>
      </c>
      <c r="I61" s="2"/>
      <c r="J61" s="6">
        <f t="shared" si="47"/>
        <v>0</v>
      </c>
      <c r="K61" s="2"/>
      <c r="L61" s="7">
        <f t="shared" si="48"/>
        <v>0</v>
      </c>
      <c r="M61" s="2"/>
      <c r="N61" s="6">
        <f t="shared" si="49"/>
        <v>0</v>
      </c>
      <c r="O61" s="11"/>
      <c r="P61" s="7"/>
      <c r="Q61" s="2"/>
      <c r="R61" s="6">
        <f t="shared" si="50"/>
        <v>0</v>
      </c>
      <c r="S61" s="2"/>
      <c r="T61" s="7">
        <v>0</v>
      </c>
      <c r="U61" s="2"/>
      <c r="V61" s="6">
        <f t="shared" si="51"/>
        <v>0</v>
      </c>
      <c r="W61" s="2"/>
      <c r="X61" s="7">
        <f t="shared" si="52"/>
        <v>0</v>
      </c>
      <c r="Y61" s="2"/>
      <c r="Z61" s="6">
        <f t="shared" si="53"/>
        <v>0</v>
      </c>
    </row>
    <row r="62" spans="1:26" s="24" customFormat="1" hidden="1" outlineLevel="2" x14ac:dyDescent="0.25">
      <c r="A62" s="25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46"/>
        <v>0</v>
      </c>
      <c r="G62" s="2"/>
      <c r="H62" s="7">
        <v>0</v>
      </c>
      <c r="I62" s="2"/>
      <c r="J62" s="6">
        <f t="shared" si="47"/>
        <v>0</v>
      </c>
      <c r="K62" s="2"/>
      <c r="L62" s="7">
        <f t="shared" si="48"/>
        <v>0</v>
      </c>
      <c r="M62" s="2"/>
      <c r="N62" s="6">
        <f t="shared" si="49"/>
        <v>0</v>
      </c>
      <c r="O62" s="11"/>
      <c r="P62" s="7"/>
      <c r="Q62" s="2"/>
      <c r="R62" s="6">
        <f t="shared" si="50"/>
        <v>0</v>
      </c>
      <c r="S62" s="2"/>
      <c r="T62" s="7">
        <v>0</v>
      </c>
      <c r="U62" s="2"/>
      <c r="V62" s="6">
        <f t="shared" si="51"/>
        <v>0</v>
      </c>
      <c r="W62" s="2"/>
      <c r="X62" s="7">
        <f t="shared" si="52"/>
        <v>0</v>
      </c>
      <c r="Y62" s="2"/>
      <c r="Z62" s="6">
        <f t="shared" si="53"/>
        <v>0</v>
      </c>
    </row>
    <row r="63" spans="1:26" s="27" customFormat="1" outlineLevel="1" collapsed="1" x14ac:dyDescent="0.25">
      <c r="A63" s="26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SUM(OSRRefD22_10x_0)</f>
        <v>0</v>
      </c>
      <c r="E63" s="1"/>
      <c r="F63" s="5">
        <f t="shared" ref="F63:F65" si="54">IF(D$12=0,0,D63/D$12)</f>
        <v>0</v>
      </c>
      <c r="G63" s="1"/>
      <c r="H63" s="1">
        <f>SUM(OSRRefH22_10x_0)</f>
        <v>0</v>
      </c>
      <c r="I63" s="1"/>
      <c r="J63" s="5">
        <f t="shared" ref="J63:J65" si="55">IF(H$12=0,0,H63/H$12)</f>
        <v>0</v>
      </c>
      <c r="K63" s="1"/>
      <c r="L63" s="1">
        <f t="shared" ref="L63:L65" si="56">+D63-H63</f>
        <v>0</v>
      </c>
      <c r="M63" s="1"/>
      <c r="N63" s="5">
        <f t="shared" ref="N63:N65" si="57">IF(H63=0,0,L63/H63)</f>
        <v>0</v>
      </c>
      <c r="O63" s="13"/>
      <c r="P63" s="1">
        <f>SUM(OSRRefP22_10x_0)</f>
        <v>0</v>
      </c>
      <c r="Q63" s="1"/>
      <c r="R63" s="5">
        <f t="shared" ref="R63:R65" si="58">IF(P$12=0,0,P63/P$12)</f>
        <v>0</v>
      </c>
      <c r="S63" s="1"/>
      <c r="T63" s="1">
        <f>SUM(OSRRefT22_10x_0)</f>
        <v>0</v>
      </c>
      <c r="U63" s="1"/>
      <c r="V63" s="5">
        <f t="shared" ref="V63:V65" si="59">IF(T$12=0,0,T63/T$12)</f>
        <v>0</v>
      </c>
      <c r="W63" s="1"/>
      <c r="X63" s="1">
        <f t="shared" ref="X63:X65" si="60">+P63-T63</f>
        <v>0</v>
      </c>
      <c r="Y63" s="1"/>
      <c r="Z63" s="5">
        <f t="shared" ref="Z63:Z65" si="61">IF(T63=0,0,X63/T63)</f>
        <v>0</v>
      </c>
    </row>
    <row r="64" spans="1:26" s="24" customFormat="1" hidden="1" outlineLevel="2" x14ac:dyDescent="0.25">
      <c r="A64" s="25"/>
      <c r="B64" s="11" t="str">
        <f>CONCATENATE("          ", "6258", " - ", "MEMBERSHIP DUES")</f>
        <v xml:space="preserve">          6258 - MEMBERSHIP DUES</v>
      </c>
      <c r="C64" s="11"/>
      <c r="D64" s="7"/>
      <c r="E64" s="2"/>
      <c r="F64" s="6">
        <f t="shared" si="54"/>
        <v>0</v>
      </c>
      <c r="G64" s="2"/>
      <c r="H64" s="7"/>
      <c r="I64" s="2"/>
      <c r="J64" s="6">
        <f t="shared" si="55"/>
        <v>0</v>
      </c>
      <c r="K64" s="2"/>
      <c r="L64" s="7">
        <f t="shared" si="56"/>
        <v>0</v>
      </c>
      <c r="M64" s="2"/>
      <c r="N64" s="6">
        <f t="shared" si="57"/>
        <v>0</v>
      </c>
      <c r="O64" s="11"/>
      <c r="P64" s="7"/>
      <c r="Q64" s="2"/>
      <c r="R64" s="6">
        <f t="shared" si="58"/>
        <v>0</v>
      </c>
      <c r="S64" s="2"/>
      <c r="T64" s="7">
        <v>0</v>
      </c>
      <c r="U64" s="2"/>
      <c r="V64" s="6">
        <f t="shared" si="59"/>
        <v>0</v>
      </c>
      <c r="W64" s="2"/>
      <c r="X64" s="7">
        <f t="shared" si="60"/>
        <v>0</v>
      </c>
      <c r="Y64" s="2"/>
      <c r="Z64" s="6">
        <f t="shared" si="61"/>
        <v>0</v>
      </c>
    </row>
    <row r="65" spans="1:26" s="24" customFormat="1" hidden="1" outlineLevel="2" x14ac:dyDescent="0.25">
      <c r="A65" s="25"/>
      <c r="B65" s="11" t="str">
        <f>CONCATENATE("          ", "6275", " - ", "SUBSCRIPTIONS")</f>
        <v xml:space="preserve">          6275 - SUBSCRIPTIONS</v>
      </c>
      <c r="C65" s="11"/>
      <c r="D65" s="7"/>
      <c r="E65" s="2"/>
      <c r="F65" s="6">
        <f t="shared" si="54"/>
        <v>0</v>
      </c>
      <c r="G65" s="2"/>
      <c r="H65" s="7">
        <v>0</v>
      </c>
      <c r="I65" s="2"/>
      <c r="J65" s="6">
        <f t="shared" si="55"/>
        <v>0</v>
      </c>
      <c r="K65" s="2"/>
      <c r="L65" s="7">
        <f t="shared" si="56"/>
        <v>0</v>
      </c>
      <c r="M65" s="2"/>
      <c r="N65" s="6">
        <f t="shared" si="57"/>
        <v>0</v>
      </c>
      <c r="O65" s="11"/>
      <c r="P65" s="7"/>
      <c r="Q65" s="2"/>
      <c r="R65" s="6">
        <f t="shared" si="58"/>
        <v>0</v>
      </c>
      <c r="S65" s="2"/>
      <c r="T65" s="7">
        <v>0</v>
      </c>
      <c r="U65" s="2"/>
      <c r="V65" s="6">
        <f t="shared" si="59"/>
        <v>0</v>
      </c>
      <c r="W65" s="2"/>
      <c r="X65" s="7">
        <f t="shared" si="60"/>
        <v>0</v>
      </c>
      <c r="Y65" s="2"/>
      <c r="Z65" s="6">
        <f t="shared" si="61"/>
        <v>0</v>
      </c>
    </row>
    <row r="66" spans="1:26" s="27" customFormat="1" outlineLevel="1" collapsed="1" x14ac:dyDescent="0.25">
      <c r="A66" s="26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SUM(OSRRefD22_11x_0)</f>
        <v>0</v>
      </c>
      <c r="E66" s="1"/>
      <c r="F66" s="5">
        <f t="shared" ref="F66:F76" si="62">IF(D$12=0,0,D66/D$12)</f>
        <v>0</v>
      </c>
      <c r="G66" s="1"/>
      <c r="H66" s="1">
        <f>SUM(OSRRefH22_11x_0)</f>
        <v>0</v>
      </c>
      <c r="I66" s="1"/>
      <c r="J66" s="5">
        <f t="shared" ref="J66:J76" si="63">IF(H$12=0,0,H66/H$12)</f>
        <v>0</v>
      </c>
      <c r="K66" s="1"/>
      <c r="L66" s="1">
        <f t="shared" ref="L66:L76" si="64">+D66-H66</f>
        <v>0</v>
      </c>
      <c r="M66" s="1"/>
      <c r="N66" s="5">
        <f t="shared" ref="N66:N76" si="65">IF(H66=0,0,L66/H66)</f>
        <v>0</v>
      </c>
      <c r="O66" s="13"/>
      <c r="P66" s="1">
        <f>SUM(OSRRefP22_11x_0)</f>
        <v>0</v>
      </c>
      <c r="Q66" s="1"/>
      <c r="R66" s="5">
        <f t="shared" ref="R66:R76" si="66">IF(P$12=0,0,P66/P$12)</f>
        <v>0</v>
      </c>
      <c r="S66" s="1"/>
      <c r="T66" s="1">
        <f>SUM(OSRRefT22_11x_0)</f>
        <v>0</v>
      </c>
      <c r="U66" s="1"/>
      <c r="V66" s="5">
        <f t="shared" ref="V66:V76" si="67">IF(T$12=0,0,T66/T$12)</f>
        <v>0</v>
      </c>
      <c r="W66" s="1"/>
      <c r="X66" s="1">
        <f t="shared" ref="X66:X76" si="68">+P66-T66</f>
        <v>0</v>
      </c>
      <c r="Y66" s="1"/>
      <c r="Z66" s="5">
        <f t="shared" ref="Z66:Z76" si="69">IF(T66=0,0,X66/T66)</f>
        <v>0</v>
      </c>
    </row>
    <row r="67" spans="1:26" s="24" customFormat="1" hidden="1" outlineLevel="2" x14ac:dyDescent="0.25">
      <c r="A67" s="25"/>
      <c r="B67" s="11" t="str">
        <f>CONCATENATE("          ", "6234", " - ", "EXPENDABLE SUPPLIES &amp; EQUIPMEN")</f>
        <v xml:space="preserve">          6234 - EXPENDABLE SUPPLIES &amp; EQUIPMEN</v>
      </c>
      <c r="C67" s="11"/>
      <c r="D67" s="7"/>
      <c r="E67" s="2"/>
      <c r="F67" s="6">
        <f t="shared" si="62"/>
        <v>0</v>
      </c>
      <c r="G67" s="2"/>
      <c r="H67" s="7"/>
      <c r="I67" s="2"/>
      <c r="J67" s="6">
        <f t="shared" si="63"/>
        <v>0</v>
      </c>
      <c r="K67" s="2"/>
      <c r="L67" s="7">
        <f t="shared" si="64"/>
        <v>0</v>
      </c>
      <c r="M67" s="2"/>
      <c r="N67" s="6">
        <f t="shared" si="65"/>
        <v>0</v>
      </c>
      <c r="O67" s="11"/>
      <c r="P67" s="7"/>
      <c r="Q67" s="2"/>
      <c r="R67" s="6">
        <f t="shared" si="66"/>
        <v>0</v>
      </c>
      <c r="S67" s="2"/>
      <c r="T67" s="7">
        <v>0</v>
      </c>
      <c r="U67" s="2"/>
      <c r="V67" s="6">
        <f t="shared" si="67"/>
        <v>0</v>
      </c>
      <c r="W67" s="2"/>
      <c r="X67" s="7">
        <f t="shared" si="68"/>
        <v>0</v>
      </c>
      <c r="Y67" s="2"/>
      <c r="Z67" s="6">
        <f t="shared" si="69"/>
        <v>0</v>
      </c>
    </row>
    <row r="68" spans="1:26" s="24" customFormat="1" hidden="1" outlineLevel="2" x14ac:dyDescent="0.25">
      <c r="A68" s="25"/>
      <c r="B68" s="11" t="str">
        <f>CONCATENATE("          ", "6235", " - ", "COVID-19 EXPENSES")</f>
        <v xml:space="preserve">          6235 - COVID-19 EXPENSES</v>
      </c>
      <c r="C68" s="11"/>
      <c r="D68" s="7"/>
      <c r="E68" s="2"/>
      <c r="F68" s="6">
        <f t="shared" si="62"/>
        <v>0</v>
      </c>
      <c r="G68" s="2"/>
      <c r="H68" s="7">
        <v>0</v>
      </c>
      <c r="I68" s="2"/>
      <c r="J68" s="6">
        <f t="shared" si="63"/>
        <v>0</v>
      </c>
      <c r="K68" s="2"/>
      <c r="L68" s="7">
        <f t="shared" si="64"/>
        <v>0</v>
      </c>
      <c r="M68" s="2"/>
      <c r="N68" s="6">
        <f t="shared" si="65"/>
        <v>0</v>
      </c>
      <c r="O68" s="11"/>
      <c r="P68" s="7"/>
      <c r="Q68" s="2"/>
      <c r="R68" s="6">
        <f t="shared" si="66"/>
        <v>0</v>
      </c>
      <c r="S68" s="2"/>
      <c r="T68" s="7">
        <v>0</v>
      </c>
      <c r="U68" s="2"/>
      <c r="V68" s="6">
        <f t="shared" si="67"/>
        <v>0</v>
      </c>
      <c r="W68" s="2"/>
      <c r="X68" s="7">
        <f t="shared" si="68"/>
        <v>0</v>
      </c>
      <c r="Y68" s="2"/>
      <c r="Z68" s="6">
        <f t="shared" si="69"/>
        <v>0</v>
      </c>
    </row>
    <row r="69" spans="1:26" s="24" customFormat="1" hidden="1" outlineLevel="2" x14ac:dyDescent="0.25">
      <c r="A69" s="25"/>
      <c r="B69" s="11" t="str">
        <f>CONCATENATE("          ", "6237", " - ", "JANITORIAL SUPPLIES")</f>
        <v xml:space="preserve">          6237 - JANITORIAL SUPPLIES</v>
      </c>
      <c r="C69" s="11"/>
      <c r="D69" s="7"/>
      <c r="E69" s="2"/>
      <c r="F69" s="6">
        <f t="shared" si="62"/>
        <v>0</v>
      </c>
      <c r="G69" s="2"/>
      <c r="H69" s="7">
        <v>0</v>
      </c>
      <c r="I69" s="2"/>
      <c r="J69" s="6">
        <f t="shared" si="63"/>
        <v>0</v>
      </c>
      <c r="K69" s="2"/>
      <c r="L69" s="7">
        <f t="shared" si="64"/>
        <v>0</v>
      </c>
      <c r="M69" s="2"/>
      <c r="N69" s="6">
        <f t="shared" si="65"/>
        <v>0</v>
      </c>
      <c r="O69" s="11"/>
      <c r="P69" s="7"/>
      <c r="Q69" s="2"/>
      <c r="R69" s="6">
        <f t="shared" si="66"/>
        <v>0</v>
      </c>
      <c r="S69" s="2"/>
      <c r="T69" s="7">
        <v>0</v>
      </c>
      <c r="U69" s="2"/>
      <c r="V69" s="6">
        <f t="shared" si="67"/>
        <v>0</v>
      </c>
      <c r="W69" s="2"/>
      <c r="X69" s="7">
        <f t="shared" si="68"/>
        <v>0</v>
      </c>
      <c r="Y69" s="2"/>
      <c r="Z69" s="6">
        <f t="shared" si="69"/>
        <v>0</v>
      </c>
    </row>
    <row r="70" spans="1:26" s="24" customFormat="1" hidden="1" outlineLevel="2" x14ac:dyDescent="0.25">
      <c r="A70" s="25"/>
      <c r="B70" s="11" t="str">
        <f>CONCATENATE("          ", "6239", " - ", "KITCHEN SUPPLIES")</f>
        <v xml:space="preserve">          6239 - KITCHEN SUPPLIES</v>
      </c>
      <c r="C70" s="11"/>
      <c r="D70" s="7"/>
      <c r="E70" s="2"/>
      <c r="F70" s="6">
        <f t="shared" si="62"/>
        <v>0</v>
      </c>
      <c r="G70" s="2"/>
      <c r="H70" s="7"/>
      <c r="I70" s="2"/>
      <c r="J70" s="6">
        <f t="shared" si="63"/>
        <v>0</v>
      </c>
      <c r="K70" s="2"/>
      <c r="L70" s="7">
        <f t="shared" si="64"/>
        <v>0</v>
      </c>
      <c r="M70" s="2"/>
      <c r="N70" s="6">
        <f t="shared" si="65"/>
        <v>0</v>
      </c>
      <c r="O70" s="11"/>
      <c r="P70" s="7"/>
      <c r="Q70" s="2"/>
      <c r="R70" s="6">
        <f t="shared" si="66"/>
        <v>0</v>
      </c>
      <c r="S70" s="2"/>
      <c r="T70" s="7">
        <v>0</v>
      </c>
      <c r="U70" s="2"/>
      <c r="V70" s="6">
        <f t="shared" si="67"/>
        <v>0</v>
      </c>
      <c r="W70" s="2"/>
      <c r="X70" s="7">
        <f t="shared" si="68"/>
        <v>0</v>
      </c>
      <c r="Y70" s="2"/>
      <c r="Z70" s="6">
        <f t="shared" si="69"/>
        <v>0</v>
      </c>
    </row>
    <row r="71" spans="1:26" s="24" customFormat="1" hidden="1" outlineLevel="2" x14ac:dyDescent="0.25">
      <c r="A71" s="25"/>
      <c r="B71" s="11" t="str">
        <f>CONCATENATE("          ", "6241", " - ", "OFFICE EXPENSE")</f>
        <v xml:space="preserve">          6241 - OFFICE EXPENSE</v>
      </c>
      <c r="C71" s="11"/>
      <c r="D71" s="7"/>
      <c r="E71" s="2"/>
      <c r="F71" s="6">
        <f t="shared" si="62"/>
        <v>0</v>
      </c>
      <c r="G71" s="2"/>
      <c r="H71" s="7">
        <v>0</v>
      </c>
      <c r="I71" s="2"/>
      <c r="J71" s="6">
        <f t="shared" si="63"/>
        <v>0</v>
      </c>
      <c r="K71" s="2"/>
      <c r="L71" s="7">
        <f t="shared" si="64"/>
        <v>0</v>
      </c>
      <c r="M71" s="2"/>
      <c r="N71" s="6">
        <f t="shared" si="65"/>
        <v>0</v>
      </c>
      <c r="O71" s="11"/>
      <c r="P71" s="7"/>
      <c r="Q71" s="2"/>
      <c r="R71" s="6">
        <f t="shared" si="66"/>
        <v>0</v>
      </c>
      <c r="S71" s="2"/>
      <c r="T71" s="7">
        <v>0</v>
      </c>
      <c r="U71" s="2"/>
      <c r="V71" s="6">
        <f t="shared" si="67"/>
        <v>0</v>
      </c>
      <c r="W71" s="2"/>
      <c r="X71" s="7">
        <f t="shared" si="68"/>
        <v>0</v>
      </c>
      <c r="Y71" s="2"/>
      <c r="Z71" s="6">
        <f t="shared" si="69"/>
        <v>0</v>
      </c>
    </row>
    <row r="72" spans="1:26" s="24" customFormat="1" hidden="1" outlineLevel="2" x14ac:dyDescent="0.25">
      <c r="A72" s="25"/>
      <c r="B72" s="11" t="str">
        <f>CONCATENATE("          ", "6243", " - ", "PAPER SUPPLIES")</f>
        <v xml:space="preserve">          6243 - PAPER SUPPLIES</v>
      </c>
      <c r="C72" s="11"/>
      <c r="D72" s="7"/>
      <c r="E72" s="2"/>
      <c r="F72" s="6">
        <f t="shared" si="62"/>
        <v>0</v>
      </c>
      <c r="G72" s="2"/>
      <c r="H72" s="7">
        <v>0</v>
      </c>
      <c r="I72" s="2"/>
      <c r="J72" s="6">
        <f t="shared" si="63"/>
        <v>0</v>
      </c>
      <c r="K72" s="2"/>
      <c r="L72" s="7">
        <f t="shared" si="64"/>
        <v>0</v>
      </c>
      <c r="M72" s="2"/>
      <c r="N72" s="6">
        <f t="shared" si="65"/>
        <v>0</v>
      </c>
      <c r="O72" s="11"/>
      <c r="P72" s="7"/>
      <c r="Q72" s="2"/>
      <c r="R72" s="6">
        <f t="shared" si="66"/>
        <v>0</v>
      </c>
      <c r="S72" s="2"/>
      <c r="T72" s="7">
        <v>0</v>
      </c>
      <c r="U72" s="2"/>
      <c r="V72" s="6">
        <f t="shared" si="67"/>
        <v>0</v>
      </c>
      <c r="W72" s="2"/>
      <c r="X72" s="7">
        <f t="shared" si="68"/>
        <v>0</v>
      </c>
      <c r="Y72" s="2"/>
      <c r="Z72" s="6">
        <f t="shared" si="69"/>
        <v>0</v>
      </c>
    </row>
    <row r="73" spans="1:26" s="24" customFormat="1" hidden="1" outlineLevel="2" x14ac:dyDescent="0.25">
      <c r="A73" s="25"/>
      <c r="B73" s="11" t="str">
        <f>CONCATENATE("          ", "6244", " - ", "SAFETY SUPPLY EXPENSE")</f>
        <v xml:space="preserve">          6244 - SAFETY SUPPLY EXPENSE</v>
      </c>
      <c r="C73" s="11"/>
      <c r="D73" s="7"/>
      <c r="E73" s="2"/>
      <c r="F73" s="6">
        <f t="shared" si="62"/>
        <v>0</v>
      </c>
      <c r="G73" s="2"/>
      <c r="H73" s="7">
        <v>0</v>
      </c>
      <c r="I73" s="2"/>
      <c r="J73" s="6">
        <f t="shared" si="63"/>
        <v>0</v>
      </c>
      <c r="K73" s="2"/>
      <c r="L73" s="7">
        <f t="shared" si="64"/>
        <v>0</v>
      </c>
      <c r="M73" s="2"/>
      <c r="N73" s="6">
        <f t="shared" si="65"/>
        <v>0</v>
      </c>
      <c r="O73" s="11"/>
      <c r="P73" s="7"/>
      <c r="Q73" s="2"/>
      <c r="R73" s="6">
        <f t="shared" si="66"/>
        <v>0</v>
      </c>
      <c r="S73" s="2"/>
      <c r="T73" s="7">
        <v>0</v>
      </c>
      <c r="U73" s="2"/>
      <c r="V73" s="6">
        <f t="shared" si="67"/>
        <v>0</v>
      </c>
      <c r="W73" s="2"/>
      <c r="X73" s="7">
        <f t="shared" si="68"/>
        <v>0</v>
      </c>
      <c r="Y73" s="2"/>
      <c r="Z73" s="6">
        <f t="shared" si="69"/>
        <v>0</v>
      </c>
    </row>
    <row r="74" spans="1:26" s="24" customFormat="1" hidden="1" outlineLevel="2" x14ac:dyDescent="0.25">
      <c r="A74" s="25"/>
      <c r="B74" s="11" t="str">
        <f>CONCATENATE("          ", "6245", " - ", "PRINTING")</f>
        <v xml:space="preserve">          6245 - PRINTING</v>
      </c>
      <c r="C74" s="11"/>
      <c r="D74" s="7"/>
      <c r="E74" s="2"/>
      <c r="F74" s="6">
        <f t="shared" si="62"/>
        <v>0</v>
      </c>
      <c r="G74" s="2"/>
      <c r="H74" s="7">
        <v>0</v>
      </c>
      <c r="I74" s="2"/>
      <c r="J74" s="6">
        <f t="shared" si="63"/>
        <v>0</v>
      </c>
      <c r="K74" s="2"/>
      <c r="L74" s="7">
        <f t="shared" si="64"/>
        <v>0</v>
      </c>
      <c r="M74" s="2"/>
      <c r="N74" s="6">
        <f t="shared" si="65"/>
        <v>0</v>
      </c>
      <c r="O74" s="11"/>
      <c r="P74" s="7"/>
      <c r="Q74" s="2"/>
      <c r="R74" s="6">
        <f t="shared" si="66"/>
        <v>0</v>
      </c>
      <c r="S74" s="2"/>
      <c r="T74" s="7">
        <v>0</v>
      </c>
      <c r="U74" s="2"/>
      <c r="V74" s="6">
        <f t="shared" si="67"/>
        <v>0</v>
      </c>
      <c r="W74" s="2"/>
      <c r="X74" s="7">
        <f t="shared" si="68"/>
        <v>0</v>
      </c>
      <c r="Y74" s="2"/>
      <c r="Z74" s="6">
        <f t="shared" si="69"/>
        <v>0</v>
      </c>
    </row>
    <row r="75" spans="1:26" s="24" customFormat="1" hidden="1" outlineLevel="2" x14ac:dyDescent="0.25">
      <c r="A75" s="25"/>
      <c r="B75" s="11" t="str">
        <f>CONCATENATE("          ", "6246", " - ", "REPLACEMENTS")</f>
        <v xml:space="preserve">          6246 - REPLACEMENTS</v>
      </c>
      <c r="C75" s="11"/>
      <c r="D75" s="7"/>
      <c r="E75" s="2"/>
      <c r="F75" s="6">
        <f t="shared" si="62"/>
        <v>0</v>
      </c>
      <c r="G75" s="2"/>
      <c r="H75" s="7"/>
      <c r="I75" s="2"/>
      <c r="J75" s="6">
        <f t="shared" si="63"/>
        <v>0</v>
      </c>
      <c r="K75" s="2"/>
      <c r="L75" s="7">
        <f t="shared" si="64"/>
        <v>0</v>
      </c>
      <c r="M75" s="2"/>
      <c r="N75" s="6">
        <f t="shared" si="65"/>
        <v>0</v>
      </c>
      <c r="O75" s="11"/>
      <c r="P75" s="7"/>
      <c r="Q75" s="2"/>
      <c r="R75" s="6">
        <f t="shared" si="66"/>
        <v>0</v>
      </c>
      <c r="S75" s="2"/>
      <c r="T75" s="7">
        <v>0</v>
      </c>
      <c r="U75" s="2"/>
      <c r="V75" s="6">
        <f t="shared" si="67"/>
        <v>0</v>
      </c>
      <c r="W75" s="2"/>
      <c r="X75" s="7">
        <f t="shared" si="68"/>
        <v>0</v>
      </c>
      <c r="Y75" s="2"/>
      <c r="Z75" s="6">
        <f t="shared" si="69"/>
        <v>0</v>
      </c>
    </row>
    <row r="76" spans="1:26" s="24" customFormat="1" hidden="1" outlineLevel="2" x14ac:dyDescent="0.25">
      <c r="A76" s="25"/>
      <c r="B76" s="11" t="str">
        <f>CONCATENATE("          ", "6248", " - ", "UNIFORMS")</f>
        <v xml:space="preserve">          6248 - UNIFORMS</v>
      </c>
      <c r="C76" s="11"/>
      <c r="D76" s="7"/>
      <c r="E76" s="2"/>
      <c r="F76" s="6">
        <f t="shared" si="62"/>
        <v>0</v>
      </c>
      <c r="G76" s="2"/>
      <c r="H76" s="7"/>
      <c r="I76" s="2"/>
      <c r="J76" s="6">
        <f t="shared" si="63"/>
        <v>0</v>
      </c>
      <c r="K76" s="2"/>
      <c r="L76" s="7">
        <f t="shared" si="64"/>
        <v>0</v>
      </c>
      <c r="M76" s="2"/>
      <c r="N76" s="6">
        <f t="shared" si="65"/>
        <v>0</v>
      </c>
      <c r="O76" s="11"/>
      <c r="P76" s="7"/>
      <c r="Q76" s="2"/>
      <c r="R76" s="6">
        <f t="shared" si="66"/>
        <v>0</v>
      </c>
      <c r="S76" s="2"/>
      <c r="T76" s="7">
        <v>0</v>
      </c>
      <c r="U76" s="2"/>
      <c r="V76" s="6">
        <f t="shared" si="67"/>
        <v>0</v>
      </c>
      <c r="W76" s="2"/>
      <c r="X76" s="7">
        <f t="shared" si="68"/>
        <v>0</v>
      </c>
      <c r="Y76" s="2"/>
      <c r="Z76" s="6">
        <f t="shared" si="69"/>
        <v>0</v>
      </c>
    </row>
    <row r="77" spans="1:26" s="27" customFormat="1" outlineLevel="1" collapsed="1" x14ac:dyDescent="0.25">
      <c r="A77" s="26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SUM(OSRRefD22_12x_0)</f>
        <v>0</v>
      </c>
      <c r="E77" s="1"/>
      <c r="F77" s="5">
        <f t="shared" ref="F77:F79" si="70">IF(D$12=0,0,D77/D$12)</f>
        <v>0</v>
      </c>
      <c r="G77" s="1"/>
      <c r="H77" s="1">
        <f>SUM(OSRRefH22_12x_0)</f>
        <v>0</v>
      </c>
      <c r="I77" s="1"/>
      <c r="J77" s="5">
        <f t="shared" ref="J77:J79" si="71">IF(H$12=0,0,H77/H$12)</f>
        <v>0</v>
      </c>
      <c r="K77" s="1"/>
      <c r="L77" s="1">
        <f t="shared" ref="L77:L79" si="72">+D77-H77</f>
        <v>0</v>
      </c>
      <c r="M77" s="1"/>
      <c r="N77" s="5">
        <f t="shared" ref="N77:N79" si="73">IF(H77=0,0,L77/H77)</f>
        <v>0</v>
      </c>
      <c r="O77" s="13"/>
      <c r="P77" s="1">
        <f>SUM(OSRRefP22_12x_0)</f>
        <v>250.87</v>
      </c>
      <c r="Q77" s="1"/>
      <c r="R77" s="5">
        <f t="shared" ref="R77:R79" si="74">IF(P$12=0,0,P77/P$12)</f>
        <v>0</v>
      </c>
      <c r="S77" s="1"/>
      <c r="T77" s="1">
        <f>SUM(OSRRefT22_12x_0)</f>
        <v>0</v>
      </c>
      <c r="U77" s="1"/>
      <c r="V77" s="5">
        <f t="shared" ref="V77:V79" si="75">IF(T$12=0,0,T77/T$12)</f>
        <v>0</v>
      </c>
      <c r="W77" s="1"/>
      <c r="X77" s="1">
        <f t="shared" ref="X77:X79" si="76">+P77-T77</f>
        <v>250.87</v>
      </c>
      <c r="Y77" s="1"/>
      <c r="Z77" s="5">
        <f t="shared" ref="Z77:Z79" si="77">IF(T77=0,0,X77/T77)</f>
        <v>0</v>
      </c>
    </row>
    <row r="78" spans="1:26" s="24" customFormat="1" hidden="1" outlineLevel="2" x14ac:dyDescent="0.25">
      <c r="A78" s="25"/>
      <c r="B78" s="11" t="str">
        <f>CONCATENATE("          ", "6303", " - ", "DATA PHONE LINES")</f>
        <v xml:space="preserve">          6303 - DATA PHONE LINES</v>
      </c>
      <c r="C78" s="11"/>
      <c r="D78" s="7"/>
      <c r="E78" s="2"/>
      <c r="F78" s="6">
        <f t="shared" si="70"/>
        <v>0</v>
      </c>
      <c r="G78" s="2"/>
      <c r="H78" s="7">
        <v>0</v>
      </c>
      <c r="I78" s="2"/>
      <c r="J78" s="6">
        <f t="shared" si="71"/>
        <v>0</v>
      </c>
      <c r="K78" s="2"/>
      <c r="L78" s="7">
        <f t="shared" si="72"/>
        <v>0</v>
      </c>
      <c r="M78" s="2"/>
      <c r="N78" s="6">
        <f t="shared" si="73"/>
        <v>0</v>
      </c>
      <c r="O78" s="11"/>
      <c r="P78" s="7"/>
      <c r="Q78" s="2"/>
      <c r="R78" s="6">
        <f t="shared" si="74"/>
        <v>0</v>
      </c>
      <c r="S78" s="2"/>
      <c r="T78" s="7">
        <v>0</v>
      </c>
      <c r="U78" s="2"/>
      <c r="V78" s="6">
        <f t="shared" si="75"/>
        <v>0</v>
      </c>
      <c r="W78" s="2"/>
      <c r="X78" s="7">
        <f t="shared" si="76"/>
        <v>0</v>
      </c>
      <c r="Y78" s="2"/>
      <c r="Z78" s="6">
        <f t="shared" si="77"/>
        <v>0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7"/>
      <c r="E79" s="2"/>
      <c r="F79" s="6">
        <f t="shared" si="70"/>
        <v>0</v>
      </c>
      <c r="G79" s="2"/>
      <c r="H79" s="7"/>
      <c r="I79" s="2"/>
      <c r="J79" s="6">
        <f t="shared" si="71"/>
        <v>0</v>
      </c>
      <c r="K79" s="2"/>
      <c r="L79" s="7">
        <f t="shared" si="72"/>
        <v>0</v>
      </c>
      <c r="M79" s="2"/>
      <c r="N79" s="6">
        <f t="shared" si="73"/>
        <v>0</v>
      </c>
      <c r="O79" s="11"/>
      <c r="P79" s="7">
        <v>250.87</v>
      </c>
      <c r="Q79" s="2"/>
      <c r="R79" s="6">
        <f t="shared" si="74"/>
        <v>0</v>
      </c>
      <c r="S79" s="2"/>
      <c r="T79" s="7"/>
      <c r="U79" s="2"/>
      <c r="V79" s="6">
        <f t="shared" si="75"/>
        <v>0</v>
      </c>
      <c r="W79" s="2"/>
      <c r="X79" s="7">
        <f t="shared" si="76"/>
        <v>250.87</v>
      </c>
      <c r="Y79" s="2"/>
      <c r="Z79" s="6">
        <f t="shared" si="77"/>
        <v>0</v>
      </c>
    </row>
    <row r="80" spans="1:26" s="27" customFormat="1" outlineLevel="1" collapsed="1" x14ac:dyDescent="0.25">
      <c r="A80" s="26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SUM(OSRRefD22_13x_0)</f>
        <v>0</v>
      </c>
      <c r="E80" s="1"/>
      <c r="F80" s="5">
        <f t="shared" ref="F80:F81" si="78">IF(D$12=0,0,D80/D$12)</f>
        <v>0</v>
      </c>
      <c r="G80" s="1"/>
      <c r="H80" s="1">
        <f>SUM(OSRRefH22_13x_0)</f>
        <v>0</v>
      </c>
      <c r="I80" s="1"/>
      <c r="J80" s="5">
        <f t="shared" ref="J80:J81" si="79">IF(H$12=0,0,H80/H$12)</f>
        <v>0</v>
      </c>
      <c r="K80" s="1"/>
      <c r="L80" s="1">
        <f t="shared" ref="L80:L81" si="80">+D80-H80</f>
        <v>0</v>
      </c>
      <c r="M80" s="1"/>
      <c r="N80" s="5">
        <f t="shared" ref="N80:N81" si="81">IF(H80=0,0,L80/H80)</f>
        <v>0</v>
      </c>
      <c r="O80" s="13"/>
      <c r="P80" s="1">
        <f>SUM(OSRRefP22_13x_0)</f>
        <v>0</v>
      </c>
      <c r="Q80" s="1"/>
      <c r="R80" s="5">
        <f t="shared" ref="R80:R81" si="82">IF(P$12=0,0,P80/P$12)</f>
        <v>0</v>
      </c>
      <c r="S80" s="1"/>
      <c r="T80" s="1">
        <f>SUM(OSRRefT22_13x_0)</f>
        <v>0</v>
      </c>
      <c r="U80" s="1"/>
      <c r="V80" s="5">
        <f t="shared" ref="V80:V81" si="83">IF(T$12=0,0,T80/T$12)</f>
        <v>0</v>
      </c>
      <c r="W80" s="1"/>
      <c r="X80" s="1">
        <f t="shared" ref="X80:X81" si="84">+P80-T80</f>
        <v>0</v>
      </c>
      <c r="Y80" s="1"/>
      <c r="Z80" s="5">
        <f t="shared" ref="Z80:Z81" si="85">IF(T80=0,0,X80/T80)</f>
        <v>0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7"/>
      <c r="E81" s="2"/>
      <c r="F81" s="6">
        <f t="shared" si="78"/>
        <v>0</v>
      </c>
      <c r="G81" s="2"/>
      <c r="H81" s="7">
        <v>0</v>
      </c>
      <c r="I81" s="2"/>
      <c r="J81" s="6">
        <f t="shared" si="79"/>
        <v>0</v>
      </c>
      <c r="K81" s="2"/>
      <c r="L81" s="7">
        <f t="shared" si="80"/>
        <v>0</v>
      </c>
      <c r="M81" s="2"/>
      <c r="N81" s="6">
        <f t="shared" si="81"/>
        <v>0</v>
      </c>
      <c r="O81" s="11"/>
      <c r="P81" s="7"/>
      <c r="Q81" s="2"/>
      <c r="R81" s="6">
        <f t="shared" si="82"/>
        <v>0</v>
      </c>
      <c r="S81" s="2"/>
      <c r="T81" s="7">
        <v>0</v>
      </c>
      <c r="U81" s="2"/>
      <c r="V81" s="6">
        <f t="shared" si="83"/>
        <v>0</v>
      </c>
      <c r="W81" s="2"/>
      <c r="X81" s="7">
        <f t="shared" si="84"/>
        <v>0</v>
      </c>
      <c r="Y81" s="2"/>
      <c r="Z81" s="6">
        <f t="shared" si="85"/>
        <v>0</v>
      </c>
    </row>
    <row r="82" spans="1:26" s="56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9" t="s">
        <v>293</v>
      </c>
      <c r="C83" s="10"/>
      <c r="D83" s="4">
        <f>SUM(OSRRefD25x_0)</f>
        <v>0</v>
      </c>
      <c r="E83" s="4"/>
      <c r="F83" s="12">
        <f t="shared" ref="F83:F84" si="86">IF(D$12=0,0,D83/D$12)</f>
        <v>0</v>
      </c>
      <c r="G83" s="4"/>
      <c r="H83" s="4">
        <f>SUM(OSRRefH25x_0)</f>
        <v>0</v>
      </c>
      <c r="I83" s="4"/>
      <c r="J83" s="12">
        <f t="shared" ref="J83:J84" si="87">IF(H$12=0,0,H83/H$12)</f>
        <v>0</v>
      </c>
      <c r="K83" s="4"/>
      <c r="L83" s="4">
        <f t="shared" ref="L83:L84" si="88">+D83-H83</f>
        <v>0</v>
      </c>
      <c r="M83" s="4"/>
      <c r="N83" s="12">
        <f t="shared" ref="N83:N84" si="89">IF(H83=0,0,L83/H83)</f>
        <v>0</v>
      </c>
      <c r="O83" s="10"/>
      <c r="P83" s="4">
        <f>SUM(OSRRefP25x_0)</f>
        <v>111.42</v>
      </c>
      <c r="Q83" s="4"/>
      <c r="R83" s="12">
        <f t="shared" ref="R83:R84" si="90">IF(P$12=0,0,P83/P$12)</f>
        <v>0</v>
      </c>
      <c r="S83" s="4"/>
      <c r="T83" s="4">
        <f>SUM(OSRRefT25x_0)</f>
        <v>0</v>
      </c>
      <c r="U83" s="4"/>
      <c r="V83" s="12">
        <f t="shared" ref="V83:V84" si="91">IF(T$12=0,0,T83/T$12)</f>
        <v>0</v>
      </c>
      <c r="W83" s="4"/>
      <c r="X83" s="4">
        <f t="shared" ref="X83:X84" si="92">+P83-T83</f>
        <v>111.42</v>
      </c>
      <c r="Y83" s="4"/>
      <c r="Z83" s="12">
        <f t="shared" ref="Z83:Z84" si="93">IF(T83=0,0,X83/T83)</f>
        <v>0</v>
      </c>
    </row>
    <row r="84" spans="1:26" s="24" customFormat="1" hidden="1" outlineLevel="1" x14ac:dyDescent="0.25">
      <c r="A84" s="44"/>
      <c r="B84" s="11" t="str">
        <f>CONCATENATE("          ", "9150", " - ", "MISC. INCOME")</f>
        <v xml:space="preserve">          9150 - MISC. INCOME</v>
      </c>
      <c r="C84" s="11"/>
      <c r="D84" s="2">
        <f>0</f>
        <v>0</v>
      </c>
      <c r="E84" s="2"/>
      <c r="F84" s="19">
        <f t="shared" si="86"/>
        <v>0</v>
      </c>
      <c r="G84" s="2"/>
      <c r="H84" s="2"/>
      <c r="I84" s="2"/>
      <c r="J84" s="19">
        <f t="shared" si="87"/>
        <v>0</v>
      </c>
      <c r="K84" s="2"/>
      <c r="L84" s="2">
        <f t="shared" si="88"/>
        <v>0</v>
      </c>
      <c r="M84" s="2"/>
      <c r="N84" s="19">
        <f t="shared" si="89"/>
        <v>0</v>
      </c>
      <c r="O84" s="11"/>
      <c r="P84" s="2">
        <f>--111.42</f>
        <v>111.42</v>
      </c>
      <c r="Q84" s="2"/>
      <c r="R84" s="19">
        <f t="shared" si="90"/>
        <v>0</v>
      </c>
      <c r="S84" s="2"/>
      <c r="T84" s="2"/>
      <c r="U84" s="2"/>
      <c r="V84" s="19">
        <f t="shared" si="91"/>
        <v>0</v>
      </c>
      <c r="W84" s="2"/>
      <c r="X84" s="2">
        <f t="shared" si="92"/>
        <v>111.42</v>
      </c>
      <c r="Y84" s="2"/>
      <c r="Z84" s="19">
        <f t="shared" si="93"/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277</v>
      </c>
      <c r="C86" s="28"/>
      <c r="D86" s="20">
        <f>+D20-D22+D83</f>
        <v>-6925.17</v>
      </c>
      <c r="E86" s="14"/>
      <c r="F86" s="21">
        <f>IF(D$12=0,0,D86/D$12)</f>
        <v>0</v>
      </c>
      <c r="G86" s="14"/>
      <c r="H86" s="20">
        <f>+H20-H22+H83</f>
        <v>-6745</v>
      </c>
      <c r="I86" s="14"/>
      <c r="J86" s="21">
        <f>IF(H$12=0,0,H86/H$12)</f>
        <v>0</v>
      </c>
      <c r="K86" s="15"/>
      <c r="L86" s="20">
        <f>+D86-H86</f>
        <v>-180.17000000000007</v>
      </c>
      <c r="M86" s="15"/>
      <c r="N86" s="21">
        <f>IF(H86=0,0,L86/H86)</f>
        <v>2.6711638250555978E-2</v>
      </c>
      <c r="O86" s="29"/>
      <c r="P86" s="20">
        <f>+P20-P22+P83</f>
        <v>-87658.260000000009</v>
      </c>
      <c r="Q86" s="14"/>
      <c r="R86" s="21">
        <f>IF(P$12=0,0,P86/P$12)</f>
        <v>0</v>
      </c>
      <c r="S86" s="14"/>
      <c r="T86" s="20">
        <f>+T20-T22+T83</f>
        <v>-77294</v>
      </c>
      <c r="U86" s="14"/>
      <c r="V86" s="21">
        <f>IF(T$12=0,0,T86/T$12)</f>
        <v>0</v>
      </c>
      <c r="W86" s="15"/>
      <c r="X86" s="20">
        <f>+P86-T86</f>
        <v>-10364.260000000009</v>
      </c>
      <c r="Y86" s="15"/>
      <c r="Z86" s="21">
        <f>IF(T86=0,0,X86/T86)</f>
        <v>0.13408880378813373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128</v>
      </c>
      <c r="C88" s="10"/>
      <c r="D88" s="4"/>
      <c r="E88" s="4"/>
      <c r="F88" s="12">
        <f>IF(D$12=0,0,D88/D$12)</f>
        <v>0</v>
      </c>
      <c r="G88" s="4"/>
      <c r="H88" s="4"/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/>
      <c r="Q88" s="4"/>
      <c r="R88" s="12">
        <f>IF(P$12=0,0,P88/P$12)</f>
        <v>0</v>
      </c>
      <c r="S88" s="4"/>
      <c r="T88" s="4"/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126</v>
      </c>
      <c r="C90" s="28"/>
      <c r="D90" s="35">
        <f>+D86-D88</f>
        <v>-6925.17</v>
      </c>
      <c r="E90" s="14"/>
      <c r="F90" s="34">
        <f>IF(D$12=0,0,D90/D$12)</f>
        <v>0</v>
      </c>
      <c r="G90" s="14"/>
      <c r="H90" s="35">
        <f>+H86-H88</f>
        <v>-6745</v>
      </c>
      <c r="I90" s="14"/>
      <c r="J90" s="34">
        <f>IF(H$12=0,0,H90/H$12)</f>
        <v>0</v>
      </c>
      <c r="K90" s="15"/>
      <c r="L90" s="35">
        <f>D90-H90</f>
        <v>-180.17000000000007</v>
      </c>
      <c r="M90" s="15"/>
      <c r="N90" s="34">
        <f>IF(H90=0,0,L90/H90)</f>
        <v>2.6711638250555978E-2</v>
      </c>
      <c r="O90" s="29"/>
      <c r="P90" s="35">
        <f>+P86-P88</f>
        <v>-87658.260000000009</v>
      </c>
      <c r="Q90" s="14"/>
      <c r="R90" s="34">
        <f>IF(P$12=0,0,P90/P$12)</f>
        <v>0</v>
      </c>
      <c r="S90" s="14"/>
      <c r="T90" s="35">
        <f>+T86-T88</f>
        <v>-77294</v>
      </c>
      <c r="U90" s="14"/>
      <c r="V90" s="34">
        <f>IF(T$12=0,0,T90/T$12)</f>
        <v>0</v>
      </c>
      <c r="W90" s="15"/>
      <c r="X90" s="35">
        <f>P90-T90</f>
        <v>-10364.260000000009</v>
      </c>
      <c r="Y90" s="15"/>
      <c r="Z90" s="34">
        <f>IF(T90=0,0,X90/T90)</f>
        <v>0.13408880378813373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294</v>
      </c>
      <c r="C93" s="28"/>
      <c r="D93" s="33">
        <f>SUM(D90:D92)</f>
        <v>-6925.17</v>
      </c>
      <c r="E93" s="14"/>
      <c r="F93" s="32">
        <f>IF(D$12=0,0,D93/D$12)</f>
        <v>0</v>
      </c>
      <c r="G93" s="14"/>
      <c r="H93" s="33">
        <f>SUM(H90:H92)</f>
        <v>-6745</v>
      </c>
      <c r="I93" s="14"/>
      <c r="J93" s="32">
        <f>IF(H$12=0,0,H93/H$12)</f>
        <v>0</v>
      </c>
      <c r="K93" s="15"/>
      <c r="L93" s="33">
        <f>+D93-H93</f>
        <v>-180.17000000000007</v>
      </c>
      <c r="M93" s="15"/>
      <c r="N93" s="32">
        <f>IF(H93=0,0,L93/H93)</f>
        <v>2.6711638250555978E-2</v>
      </c>
      <c r="O93" s="29"/>
      <c r="P93" s="33">
        <f>SUM(P90:P92)</f>
        <v>-87658.260000000009</v>
      </c>
      <c r="Q93" s="14"/>
      <c r="R93" s="32">
        <f>IF(P$12=0,0,P93/P$12)</f>
        <v>0</v>
      </c>
      <c r="S93" s="14"/>
      <c r="T93" s="33">
        <f>SUM(T90:T92)</f>
        <v>-77294</v>
      </c>
      <c r="U93" s="14"/>
      <c r="V93" s="32">
        <f>IF(T$12=0,0,T93/T$12)</f>
        <v>0</v>
      </c>
      <c r="W93" s="15"/>
      <c r="X93" s="33">
        <f>+P93-T93</f>
        <v>-10364.260000000009</v>
      </c>
      <c r="Y93" s="15"/>
      <c r="Z93" s="32">
        <f>IF(T93=0,0,X93/T93)</f>
        <v>0.13408880378813373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60">
        <v>44356.891834571761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5" t="s">
        <v>56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63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","420", " - ", "Catering")</f>
        <v>Department 420 - Catering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47978.22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47978.22</v>
      </c>
      <c r="M12" s="4"/>
      <c r="N12" s="12">
        <f t="shared" ref="N12:N14" si="1">IF(H12=0,0,L12/H12)</f>
        <v>0</v>
      </c>
      <c r="O12" s="10"/>
      <c r="P12" s="4">
        <f>SUM(OSRRefP13x_0)</f>
        <v>440233.96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440233.96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--47978.22</f>
        <v>47978.22</v>
      </c>
      <c r="E13" s="2"/>
      <c r="F13" s="19"/>
      <c r="G13" s="2"/>
      <c r="H13" s="2"/>
      <c r="I13" s="2"/>
      <c r="J13" s="19"/>
      <c r="K13" s="2"/>
      <c r="L13" s="2">
        <f t="shared" si="0"/>
        <v>47978.22</v>
      </c>
      <c r="M13" s="2"/>
      <c r="N13" s="19">
        <f t="shared" si="1"/>
        <v>0</v>
      </c>
      <c r="O13" s="11"/>
      <c r="P13" s="2">
        <f>--428653.01</f>
        <v>428653.01</v>
      </c>
      <c r="Q13" s="2"/>
      <c r="R13" s="19"/>
      <c r="S13" s="2"/>
      <c r="T13" s="2"/>
      <c r="U13" s="2"/>
      <c r="V13" s="19"/>
      <c r="W13" s="2"/>
      <c r="X13" s="2">
        <f t="shared" si="2"/>
        <v>428653.01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0</f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--11580.95</f>
        <v>11580.95</v>
      </c>
      <c r="Q14" s="2"/>
      <c r="R14" s="19"/>
      <c r="S14" s="2"/>
      <c r="T14" s="2"/>
      <c r="U14" s="2"/>
      <c r="V14" s="19"/>
      <c r="W14" s="2"/>
      <c r="X14" s="2">
        <f t="shared" si="2"/>
        <v>11580.95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257</v>
      </c>
      <c r="C16" s="10"/>
      <c r="D16" s="4">
        <f>SUM(0)</f>
        <v>0</v>
      </c>
      <c r="E16" s="4"/>
      <c r="F16" s="12">
        <f>IF(D$12=0,0,D16/D$12)</f>
        <v>0</v>
      </c>
      <c r="G16" s="4"/>
      <c r="H16" s="4">
        <f>SUM(0)</f>
        <v>0</v>
      </c>
      <c r="I16" s="4"/>
      <c r="J16" s="12">
        <f>IF(H$12=0,0,H16/H$12)</f>
        <v>0</v>
      </c>
      <c r="K16" s="4"/>
      <c r="L16" s="4">
        <f>+D16-H16</f>
        <v>0</v>
      </c>
      <c r="M16" s="4"/>
      <c r="N16" s="12">
        <f>IF(H16=0,0,L16/H16)</f>
        <v>0</v>
      </c>
      <c r="O16" s="10"/>
      <c r="P16" s="4">
        <f>SUM(0)</f>
        <v>0</v>
      </c>
      <c r="Q16" s="4"/>
      <c r="R16" s="12">
        <f>IF(P$12=0,0,P16/P$12)</f>
        <v>0</v>
      </c>
      <c r="S16" s="4"/>
      <c r="T16" s="4">
        <f>SUM(0)</f>
        <v>0</v>
      </c>
      <c r="U16" s="4"/>
      <c r="V16" s="12">
        <f>IF(T$12=0,0,T16/T$12)</f>
        <v>0</v>
      </c>
      <c r="W16" s="4"/>
      <c r="X16" s="4">
        <f>+P16-T16</f>
        <v>0</v>
      </c>
      <c r="Y16" s="4"/>
      <c r="Z16" s="12">
        <f>IF(T16=0,0,X16/T16)</f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>
        <f>D12-D16</f>
        <v>47978.22</v>
      </c>
      <c r="E18" s="14"/>
      <c r="F18" s="21">
        <f>IF(D$12=0,0,D18/D$12)</f>
        <v>1</v>
      </c>
      <c r="G18" s="14"/>
      <c r="H18" s="20">
        <f>H12-H16</f>
        <v>0</v>
      </c>
      <c r="I18" s="14"/>
      <c r="J18" s="21">
        <f>IF(H$12=0,0,H18/H$12)</f>
        <v>0</v>
      </c>
      <c r="K18" s="15"/>
      <c r="L18" s="20">
        <f>+D18-H18</f>
        <v>47978.22</v>
      </c>
      <c r="M18" s="15"/>
      <c r="N18" s="21">
        <f>IF(H18=0,0,L18/H18)</f>
        <v>0</v>
      </c>
      <c r="O18" s="29"/>
      <c r="P18" s="20">
        <f>P12-P16</f>
        <v>440233.96</v>
      </c>
      <c r="Q18" s="14"/>
      <c r="R18" s="21">
        <f>IF(P$12=0,0,P18/P$12)</f>
        <v>1</v>
      </c>
      <c r="S18" s="14"/>
      <c r="T18" s="20">
        <f>T12-T16</f>
        <v>0</v>
      </c>
      <c r="U18" s="14"/>
      <c r="V18" s="21">
        <f>IF(T$12=0,0,T18/T$12)</f>
        <v>0</v>
      </c>
      <c r="W18" s="15"/>
      <c r="X18" s="20">
        <f>+P18-T18</f>
        <v>440233.96</v>
      </c>
      <c r="Y18" s="15"/>
      <c r="Z18" s="21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>
        <f>SUM(OSRRefD22x_0)</f>
        <v>0</v>
      </c>
      <c r="E20" s="22"/>
      <c r="F20" s="31">
        <f t="shared" ref="F20:F24" si="4">IF(D$12=0,0,D20/D$12)</f>
        <v>0</v>
      </c>
      <c r="G20" s="22"/>
      <c r="H20" s="22">
        <f>SUM(OSRRefH22x_0)</f>
        <v>0</v>
      </c>
      <c r="I20" s="22"/>
      <c r="J20" s="31">
        <f t="shared" ref="J20:J24" si="5">IF(H$12=0,0,H20/H$12)</f>
        <v>0</v>
      </c>
      <c r="K20" s="4"/>
      <c r="L20" s="22">
        <f t="shared" ref="L20:L24" si="6">+D20-H20</f>
        <v>0</v>
      </c>
      <c r="M20" s="4"/>
      <c r="N20" s="31">
        <f t="shared" ref="N20:N24" si="7">IF(H20=0,0,L20/H20)</f>
        <v>0</v>
      </c>
      <c r="O20" s="10"/>
      <c r="P20" s="22">
        <f>SUM(OSRRefP22x_0)</f>
        <v>349.08000000000004</v>
      </c>
      <c r="Q20" s="22"/>
      <c r="R20" s="31">
        <f t="shared" ref="R20:R24" si="8">IF(P$12=0,0,P20/P$12)</f>
        <v>7.9294200747257219E-4</v>
      </c>
      <c r="S20" s="22"/>
      <c r="T20" s="22">
        <f>SUM(OSRRefT22x_0)</f>
        <v>0</v>
      </c>
      <c r="U20" s="22"/>
      <c r="V20" s="31">
        <f t="shared" ref="V20:V24" si="9">IF(T$12=0,0,T20/T$12)</f>
        <v>0</v>
      </c>
      <c r="W20" s="4"/>
      <c r="X20" s="22">
        <f t="shared" ref="X20:X24" si="10">+P20-T20</f>
        <v>349.08000000000004</v>
      </c>
      <c r="Y20" s="4"/>
      <c r="Z20" s="31">
        <f t="shared" ref="Z20:Z24" si="11">IF(T20=0,0,X20/T20)</f>
        <v>0</v>
      </c>
    </row>
    <row r="21" spans="1:26" s="27" customFormat="1" outlineLevel="1" collapsed="1" x14ac:dyDescent="0.25">
      <c r="A21" s="26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0</v>
      </c>
      <c r="E21" s="1"/>
      <c r="F21" s="5">
        <f t="shared" si="4"/>
        <v>0</v>
      </c>
      <c r="G21" s="1"/>
      <c r="H21" s="1">
        <f>SUM(OSRRefH22_0x_0)</f>
        <v>0</v>
      </c>
      <c r="I21" s="1"/>
      <c r="J21" s="5">
        <f t="shared" si="5"/>
        <v>0</v>
      </c>
      <c r="K21" s="1"/>
      <c r="L21" s="1">
        <f t="shared" si="6"/>
        <v>0</v>
      </c>
      <c r="M21" s="1"/>
      <c r="N21" s="5">
        <f t="shared" si="7"/>
        <v>0</v>
      </c>
      <c r="O21" s="13"/>
      <c r="P21" s="1">
        <f>SUM(OSRRefP22_0x_0)</f>
        <v>7.86</v>
      </c>
      <c r="Q21" s="1"/>
      <c r="R21" s="5">
        <f t="shared" si="8"/>
        <v>1.7854142828963035E-5</v>
      </c>
      <c r="S21" s="1"/>
      <c r="T21" s="1">
        <f>SUM(OSRRefT22_0x_0)</f>
        <v>0</v>
      </c>
      <c r="U21" s="1"/>
      <c r="V21" s="5">
        <f t="shared" si="9"/>
        <v>0</v>
      </c>
      <c r="W21" s="1"/>
      <c r="X21" s="1">
        <f t="shared" si="10"/>
        <v>7.86</v>
      </c>
      <c r="Y21" s="1"/>
      <c r="Z21" s="5">
        <f t="shared" si="11"/>
        <v>0</v>
      </c>
    </row>
    <row r="22" spans="1:26" s="24" customFormat="1" hidden="1" outlineLevel="2" x14ac:dyDescent="0.25">
      <c r="A22" s="25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4"/>
        <v>0</v>
      </c>
      <c r="G22" s="2"/>
      <c r="H22" s="7"/>
      <c r="I22" s="2"/>
      <c r="J22" s="6">
        <f t="shared" si="5"/>
        <v>0</v>
      </c>
      <c r="K22" s="2"/>
      <c r="L22" s="7">
        <f t="shared" si="6"/>
        <v>0</v>
      </c>
      <c r="M22" s="2"/>
      <c r="N22" s="6">
        <f t="shared" si="7"/>
        <v>0</v>
      </c>
      <c r="O22" s="11"/>
      <c r="P22" s="7">
        <v>7.86</v>
      </c>
      <c r="Q22" s="2"/>
      <c r="R22" s="6">
        <f t="shared" si="8"/>
        <v>1.7854142828963035E-5</v>
      </c>
      <c r="S22" s="2"/>
      <c r="T22" s="7"/>
      <c r="U22" s="2"/>
      <c r="V22" s="6">
        <f t="shared" si="9"/>
        <v>0</v>
      </c>
      <c r="W22" s="2"/>
      <c r="X22" s="7">
        <f t="shared" si="10"/>
        <v>7.86</v>
      </c>
      <c r="Y22" s="2"/>
      <c r="Z22" s="6">
        <f t="shared" si="11"/>
        <v>0</v>
      </c>
    </row>
    <row r="23" spans="1:26" s="27" customFormat="1" outlineLevel="1" collapsed="1" x14ac:dyDescent="0.25">
      <c r="A23" s="26"/>
      <c r="B23" s="13" t="str">
        <f>CONCATENATE("     ","Repair and Maintenance                            ")</f>
        <v xml:space="preserve">     Repair and Maintenance                            </v>
      </c>
      <c r="C23" s="13"/>
      <c r="D23" s="1">
        <f>SUM(OSRRefD22_1x_0)</f>
        <v>0</v>
      </c>
      <c r="E23" s="1"/>
      <c r="F23" s="5">
        <f t="shared" si="4"/>
        <v>0</v>
      </c>
      <c r="G23" s="1"/>
      <c r="H23" s="1">
        <f>SUM(OSRRefH22_1x_0)</f>
        <v>0</v>
      </c>
      <c r="I23" s="1"/>
      <c r="J23" s="5">
        <f t="shared" si="5"/>
        <v>0</v>
      </c>
      <c r="K23" s="1"/>
      <c r="L23" s="1">
        <f t="shared" si="6"/>
        <v>0</v>
      </c>
      <c r="M23" s="1"/>
      <c r="N23" s="5">
        <f t="shared" si="7"/>
        <v>0</v>
      </c>
      <c r="O23" s="13"/>
      <c r="P23" s="1">
        <f>SUM(OSRRefP22_1x_0)</f>
        <v>341.22</v>
      </c>
      <c r="Q23" s="1"/>
      <c r="R23" s="5">
        <f t="shared" si="8"/>
        <v>7.7508786464360903E-4</v>
      </c>
      <c r="S23" s="1"/>
      <c r="T23" s="1">
        <f>SUM(OSRRefT22_1x_0)</f>
        <v>0</v>
      </c>
      <c r="U23" s="1"/>
      <c r="V23" s="5">
        <f t="shared" si="9"/>
        <v>0</v>
      </c>
      <c r="W23" s="1"/>
      <c r="X23" s="1">
        <f t="shared" si="10"/>
        <v>341.22</v>
      </c>
      <c r="Y23" s="1"/>
      <c r="Z23" s="5">
        <f t="shared" si="11"/>
        <v>0</v>
      </c>
    </row>
    <row r="24" spans="1:26" s="24" customFormat="1" hidden="1" outlineLevel="2" x14ac:dyDescent="0.25">
      <c r="A24" s="25"/>
      <c r="B24" s="11" t="str">
        <f>CONCATENATE("          ", "6375", " - ", "OUTSIDE REPAIRS &amp; MAINTENANCE")</f>
        <v xml:space="preserve">          6375 - OUTSIDE REPAIRS &amp; MAINTENANCE</v>
      </c>
      <c r="C24" s="11"/>
      <c r="D24" s="7"/>
      <c r="E24" s="2"/>
      <c r="F24" s="6">
        <f t="shared" si="4"/>
        <v>0</v>
      </c>
      <c r="G24" s="2"/>
      <c r="H24" s="7"/>
      <c r="I24" s="2"/>
      <c r="J24" s="6">
        <f t="shared" si="5"/>
        <v>0</v>
      </c>
      <c r="K24" s="2"/>
      <c r="L24" s="7">
        <f t="shared" si="6"/>
        <v>0</v>
      </c>
      <c r="M24" s="2"/>
      <c r="N24" s="6">
        <f t="shared" si="7"/>
        <v>0</v>
      </c>
      <c r="O24" s="11"/>
      <c r="P24" s="7">
        <v>341.22</v>
      </c>
      <c r="Q24" s="2"/>
      <c r="R24" s="6">
        <f t="shared" si="8"/>
        <v>7.7508786464360903E-4</v>
      </c>
      <c r="S24" s="2"/>
      <c r="T24" s="7"/>
      <c r="U24" s="2"/>
      <c r="V24" s="6">
        <f t="shared" si="9"/>
        <v>0</v>
      </c>
      <c r="W24" s="2"/>
      <c r="X24" s="7">
        <f t="shared" si="10"/>
        <v>341.22</v>
      </c>
      <c r="Y24" s="2"/>
      <c r="Z24" s="6">
        <f t="shared" si="11"/>
        <v>0</v>
      </c>
    </row>
    <row r="25" spans="1:26" s="56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277</v>
      </c>
      <c r="C28" s="28"/>
      <c r="D28" s="20">
        <f>+D18-D20+D26</f>
        <v>47978.22</v>
      </c>
      <c r="E28" s="14"/>
      <c r="F28" s="21">
        <f>IF(D$12=0,0,D28/D$12)</f>
        <v>1</v>
      </c>
      <c r="G28" s="14"/>
      <c r="H28" s="20">
        <f>+H18-H20+H26</f>
        <v>0</v>
      </c>
      <c r="I28" s="14"/>
      <c r="J28" s="21">
        <f>IF(H$12=0,0,H28/H$12)</f>
        <v>0</v>
      </c>
      <c r="K28" s="15"/>
      <c r="L28" s="20">
        <f>+D28-H28</f>
        <v>47978.22</v>
      </c>
      <c r="M28" s="15"/>
      <c r="N28" s="21">
        <f>IF(H28=0,0,L28/H28)</f>
        <v>0</v>
      </c>
      <c r="O28" s="29"/>
      <c r="P28" s="20">
        <f>+P18-P20+P26</f>
        <v>439884.88</v>
      </c>
      <c r="Q28" s="14"/>
      <c r="R28" s="21">
        <f>IF(P$12=0,0,P28/P$12)</f>
        <v>0.9992070579925274</v>
      </c>
      <c r="S28" s="14"/>
      <c r="T28" s="20">
        <f>+T18-T20+T26</f>
        <v>0</v>
      </c>
      <c r="U28" s="14"/>
      <c r="V28" s="21">
        <f>IF(T$12=0,0,T28/T$12)</f>
        <v>0</v>
      </c>
      <c r="W28" s="15"/>
      <c r="X28" s="20">
        <f>+P28-T28</f>
        <v>439884.88</v>
      </c>
      <c r="Y28" s="15"/>
      <c r="Z28" s="21">
        <f>IF(T28=0,0,X28/T28)</f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128</v>
      </c>
      <c r="C30" s="10"/>
      <c r="D30" s="4">
        <v>12012.33</v>
      </c>
      <c r="E30" s="4"/>
      <c r="F30" s="12">
        <f>IF(D$12=0,0,D30/D$12)</f>
        <v>0.25037048060557476</v>
      </c>
      <c r="G30" s="4"/>
      <c r="H30" s="4"/>
      <c r="I30" s="4"/>
      <c r="J30" s="12">
        <f>IF(H$12=0,0,H30/H$12)</f>
        <v>0</v>
      </c>
      <c r="K30" s="4"/>
      <c r="L30" s="4">
        <f>+D30-H30</f>
        <v>12012.33</v>
      </c>
      <c r="M30" s="4"/>
      <c r="N30" s="12">
        <f>IF(H30=0,0,L30/H30)</f>
        <v>0</v>
      </c>
      <c r="O30" s="10"/>
      <c r="P30" s="4">
        <v>94073.82</v>
      </c>
      <c r="Q30" s="4"/>
      <c r="R30" s="12">
        <f>IF(P$12=0,0,P30/P$12)</f>
        <v>0.21369051129085997</v>
      </c>
      <c r="S30" s="4"/>
      <c r="T30" s="4"/>
      <c r="U30" s="4"/>
      <c r="V30" s="12">
        <f>IF(T$12=0,0,T30/T$12)</f>
        <v>0</v>
      </c>
      <c r="W30" s="4"/>
      <c r="X30" s="4">
        <f>+P30-T30</f>
        <v>94073.82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8" t="s">
        <v>126</v>
      </c>
      <c r="C32" s="28"/>
      <c r="D32" s="35">
        <f>+D28-D30</f>
        <v>35965.89</v>
      </c>
      <c r="E32" s="14"/>
      <c r="F32" s="34">
        <f>IF(D$12=0,0,D32/D$12)</f>
        <v>0.74962951939442524</v>
      </c>
      <c r="G32" s="14"/>
      <c r="H32" s="35">
        <f>+H28-H30</f>
        <v>0</v>
      </c>
      <c r="I32" s="14"/>
      <c r="J32" s="34">
        <f>IF(H$12=0,0,H32/H$12)</f>
        <v>0</v>
      </c>
      <c r="K32" s="15"/>
      <c r="L32" s="35">
        <f>D32-H32</f>
        <v>35965.89</v>
      </c>
      <c r="M32" s="15"/>
      <c r="N32" s="34">
        <f>IF(H32=0,0,L32/H32)</f>
        <v>0</v>
      </c>
      <c r="O32" s="29"/>
      <c r="P32" s="35">
        <f>+P28-P30</f>
        <v>345811.06</v>
      </c>
      <c r="Q32" s="14"/>
      <c r="R32" s="34">
        <f>IF(P$12=0,0,P32/P$12)</f>
        <v>0.78551654670166737</v>
      </c>
      <c r="S32" s="14"/>
      <c r="T32" s="35">
        <f>+T28-T30</f>
        <v>0</v>
      </c>
      <c r="U32" s="14"/>
      <c r="V32" s="34">
        <f>IF(T$12=0,0,T32/T$12)</f>
        <v>0</v>
      </c>
      <c r="W32" s="15"/>
      <c r="X32" s="35">
        <f>P32-T32</f>
        <v>345811.06</v>
      </c>
      <c r="Y32" s="15"/>
      <c r="Z32" s="34">
        <f>IF(T32=0,0,X32/T32)</f>
        <v>0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8" t="s">
        <v>294</v>
      </c>
      <c r="C35" s="28"/>
      <c r="D35" s="33">
        <f>SUM(D32:D34)</f>
        <v>35965.89</v>
      </c>
      <c r="E35" s="14"/>
      <c r="F35" s="32">
        <f>IF(D$12=0,0,D35/D$12)</f>
        <v>0.74962951939442524</v>
      </c>
      <c r="G35" s="14"/>
      <c r="H35" s="33">
        <f>SUM(H32:H34)</f>
        <v>0</v>
      </c>
      <c r="I35" s="14"/>
      <c r="J35" s="32">
        <f>IF(H$12=0,0,H35/H$12)</f>
        <v>0</v>
      </c>
      <c r="K35" s="15"/>
      <c r="L35" s="33">
        <f>+D35-H35</f>
        <v>35965.89</v>
      </c>
      <c r="M35" s="15"/>
      <c r="N35" s="32">
        <f>IF(H35=0,0,L35/H35)</f>
        <v>0</v>
      </c>
      <c r="O35" s="29"/>
      <c r="P35" s="33">
        <f>SUM(P32:P34)</f>
        <v>345811.06</v>
      </c>
      <c r="Q35" s="14"/>
      <c r="R35" s="32">
        <f>IF(P$12=0,0,P35/P$12)</f>
        <v>0.78551654670166737</v>
      </c>
      <c r="S35" s="14"/>
      <c r="T35" s="33">
        <f>SUM(T32:T34)</f>
        <v>0</v>
      </c>
      <c r="U35" s="14"/>
      <c r="V35" s="32">
        <f>IF(T$12=0,0,T35/T$12)</f>
        <v>0</v>
      </c>
      <c r="W35" s="15"/>
      <c r="X35" s="33">
        <f>+P35-T35</f>
        <v>345811.06</v>
      </c>
      <c r="Y35" s="15"/>
      <c r="Z35" s="32">
        <f>IF(T35=0,0,X35/T35)</f>
        <v>0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60">
        <v>44356.891834571761</v>
      </c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5" t="s">
        <v>56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3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","423", " - ", "Contract/Vending Revenue")</f>
        <v>Department 423 - Contract/Vending Revenue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36</v>
      </c>
      <c r="E18" s="22"/>
      <c r="F18" s="31">
        <f t="shared" ref="F18:F27" si="0">IF(D$12=0,0,D18/D$12)</f>
        <v>0</v>
      </c>
      <c r="G18" s="22"/>
      <c r="H18" s="22">
        <f>SUM(OSRRefH22x_0)</f>
        <v>14393.621307692309</v>
      </c>
      <c r="I18" s="22"/>
      <c r="J18" s="31">
        <f t="shared" ref="J18:J27" si="1">IF(H$12=0,0,H18/H$12)</f>
        <v>0</v>
      </c>
      <c r="K18" s="4"/>
      <c r="L18" s="22">
        <f t="shared" ref="L18:L27" si="2">+D18-H18</f>
        <v>-14357.621307692309</v>
      </c>
      <c r="M18" s="4"/>
      <c r="N18" s="31">
        <f t="shared" ref="N18:N27" si="3">IF(H18=0,0,L18/H18)</f>
        <v>-0.99749889209737919</v>
      </c>
      <c r="O18" s="10"/>
      <c r="P18" s="22">
        <f>SUM(OSRRefP22x_0)</f>
        <v>3216.9900000000002</v>
      </c>
      <c r="Q18" s="22"/>
      <c r="R18" s="31">
        <f t="shared" ref="R18:R27" si="4">IF(P$12=0,0,P18/P$12)</f>
        <v>0</v>
      </c>
      <c r="S18" s="22"/>
      <c r="T18" s="22">
        <f>SUM(OSRRefT22x_0)</f>
        <v>174713.45569230756</v>
      </c>
      <c r="U18" s="22"/>
      <c r="V18" s="31">
        <f t="shared" ref="V18:V27" si="5">IF(T$12=0,0,T18/T$12)</f>
        <v>0</v>
      </c>
      <c r="W18" s="4"/>
      <c r="X18" s="22">
        <f t="shared" ref="X18:X27" si="6">+P18-T18</f>
        <v>-171496.46569230757</v>
      </c>
      <c r="Y18" s="4"/>
      <c r="Z18" s="31">
        <f t="shared" ref="Z18:Z27" si="7">IF(T18=0,0,X18/T18)</f>
        <v>-0.98158705070967445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4356.313615384619</v>
      </c>
      <c r="I19" s="1"/>
      <c r="J19" s="5">
        <f t="shared" si="1"/>
        <v>0</v>
      </c>
      <c r="K19" s="1"/>
      <c r="L19" s="1">
        <f t="shared" si="2"/>
        <v>-4356.313615384619</v>
      </c>
      <c r="M19" s="1"/>
      <c r="N19" s="5">
        <f t="shared" si="3"/>
        <v>-1</v>
      </c>
      <c r="O19" s="13"/>
      <c r="P19" s="1">
        <f>SUM(OSRRefP22_0x_0)</f>
        <v>2478.73</v>
      </c>
      <c r="Q19" s="1"/>
      <c r="R19" s="5">
        <f t="shared" si="4"/>
        <v>0</v>
      </c>
      <c r="S19" s="1"/>
      <c r="T19" s="1">
        <f>SUM(OSRRefT22_0x_0)</f>
        <v>50890.763384615537</v>
      </c>
      <c r="U19" s="1"/>
      <c r="V19" s="5">
        <f t="shared" si="5"/>
        <v>0</v>
      </c>
      <c r="W19" s="1"/>
      <c r="X19" s="1">
        <f t="shared" si="6"/>
        <v>-48412.033384615534</v>
      </c>
      <c r="Y19" s="1"/>
      <c r="Z19" s="5">
        <f t="shared" si="7"/>
        <v>-0.95129312599878724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847.12823076923098</v>
      </c>
      <c r="I20" s="2"/>
      <c r="J20" s="6">
        <f t="shared" si="1"/>
        <v>0</v>
      </c>
      <c r="K20" s="2"/>
      <c r="L20" s="7">
        <f t="shared" si="2"/>
        <v>-847.12823076923098</v>
      </c>
      <c r="M20" s="2"/>
      <c r="N20" s="6">
        <f t="shared" si="3"/>
        <v>-1</v>
      </c>
      <c r="O20" s="11"/>
      <c r="P20" s="7"/>
      <c r="Q20" s="2"/>
      <c r="R20" s="6">
        <f t="shared" si="4"/>
        <v>0</v>
      </c>
      <c r="S20" s="2"/>
      <c r="T20" s="7">
        <v>10165.5387692308</v>
      </c>
      <c r="U20" s="2"/>
      <c r="V20" s="6">
        <f t="shared" si="5"/>
        <v>0</v>
      </c>
      <c r="W20" s="2"/>
      <c r="X20" s="7">
        <f t="shared" si="6"/>
        <v>-10165.5387692308</v>
      </c>
      <c r="Y20" s="2"/>
      <c r="Z20" s="6">
        <f t="shared" si="7"/>
        <v>-1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36.528461538461499</v>
      </c>
      <c r="I21" s="2"/>
      <c r="J21" s="6">
        <f t="shared" si="1"/>
        <v>0</v>
      </c>
      <c r="K21" s="2"/>
      <c r="L21" s="7">
        <f t="shared" si="2"/>
        <v>-36.528461538461499</v>
      </c>
      <c r="M21" s="2"/>
      <c r="N21" s="6">
        <f t="shared" si="3"/>
        <v>-1</v>
      </c>
      <c r="O21" s="11"/>
      <c r="P21" s="7"/>
      <c r="Q21" s="2"/>
      <c r="R21" s="6">
        <f t="shared" si="4"/>
        <v>0</v>
      </c>
      <c r="S21" s="2"/>
      <c r="T21" s="7">
        <v>438.34153846153799</v>
      </c>
      <c r="U21" s="2"/>
      <c r="V21" s="6">
        <f t="shared" si="5"/>
        <v>0</v>
      </c>
      <c r="W21" s="2"/>
      <c r="X21" s="7">
        <f t="shared" si="6"/>
        <v>-438.34153846153799</v>
      </c>
      <c r="Y21" s="2"/>
      <c r="Z21" s="6">
        <f t="shared" si="7"/>
        <v>-1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1385</v>
      </c>
      <c r="I22" s="2"/>
      <c r="J22" s="6">
        <f t="shared" si="1"/>
        <v>0</v>
      </c>
      <c r="K22" s="2"/>
      <c r="L22" s="7">
        <f t="shared" si="2"/>
        <v>-1385</v>
      </c>
      <c r="M22" s="2"/>
      <c r="N22" s="6">
        <f t="shared" si="3"/>
        <v>-1</v>
      </c>
      <c r="O22" s="11"/>
      <c r="P22" s="7">
        <v>1868.2</v>
      </c>
      <c r="Q22" s="2"/>
      <c r="R22" s="6">
        <f t="shared" si="4"/>
        <v>0</v>
      </c>
      <c r="S22" s="2"/>
      <c r="T22" s="7">
        <v>15235</v>
      </c>
      <c r="U22" s="2"/>
      <c r="V22" s="6">
        <f t="shared" si="5"/>
        <v>0</v>
      </c>
      <c r="W22" s="2"/>
      <c r="X22" s="7">
        <f t="shared" si="6"/>
        <v>-13366.8</v>
      </c>
      <c r="Y22" s="2"/>
      <c r="Z22" s="6">
        <f t="shared" si="7"/>
        <v>-0.87737446668854602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28.78</v>
      </c>
      <c r="I23" s="2"/>
      <c r="J23" s="6">
        <f t="shared" si="1"/>
        <v>0</v>
      </c>
      <c r="K23" s="2"/>
      <c r="L23" s="7">
        <f t="shared" si="2"/>
        <v>-28.78</v>
      </c>
      <c r="M23" s="2"/>
      <c r="N23" s="6">
        <f t="shared" si="3"/>
        <v>-1</v>
      </c>
      <c r="O23" s="11"/>
      <c r="P23" s="7"/>
      <c r="Q23" s="2"/>
      <c r="R23" s="6">
        <f t="shared" si="4"/>
        <v>0</v>
      </c>
      <c r="S23" s="2"/>
      <c r="T23" s="7">
        <v>345.36</v>
      </c>
      <c r="U23" s="2"/>
      <c r="V23" s="6">
        <f t="shared" si="5"/>
        <v>0</v>
      </c>
      <c r="W23" s="2"/>
      <c r="X23" s="7">
        <f t="shared" si="6"/>
        <v>-345.36</v>
      </c>
      <c r="Y23" s="2"/>
      <c r="Z23" s="6">
        <f t="shared" si="7"/>
        <v>-1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951.95384615384603</v>
      </c>
      <c r="I24" s="2"/>
      <c r="J24" s="6">
        <f t="shared" si="1"/>
        <v>0</v>
      </c>
      <c r="K24" s="2"/>
      <c r="L24" s="7">
        <f t="shared" si="2"/>
        <v>-951.95384615384603</v>
      </c>
      <c r="M24" s="2"/>
      <c r="N24" s="6">
        <f t="shared" si="3"/>
        <v>-1</v>
      </c>
      <c r="O24" s="11"/>
      <c r="P24" s="7">
        <v>610.53</v>
      </c>
      <c r="Q24" s="2"/>
      <c r="R24" s="6">
        <f t="shared" si="4"/>
        <v>0</v>
      </c>
      <c r="S24" s="2"/>
      <c r="T24" s="7">
        <v>11423.4461538462</v>
      </c>
      <c r="U24" s="2"/>
      <c r="V24" s="6">
        <f t="shared" si="5"/>
        <v>0</v>
      </c>
      <c r="W24" s="2"/>
      <c r="X24" s="7">
        <f t="shared" si="6"/>
        <v>-10812.916153846199</v>
      </c>
      <c r="Y24" s="2"/>
      <c r="Z24" s="6">
        <f t="shared" si="7"/>
        <v>-0.94655465681917372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1106.9230769230801</v>
      </c>
      <c r="I26" s="2"/>
      <c r="J26" s="6">
        <f t="shared" si="1"/>
        <v>0</v>
      </c>
      <c r="K26" s="2"/>
      <c r="L26" s="7">
        <f t="shared" si="2"/>
        <v>-1106.9230769230801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13283.076923077</v>
      </c>
      <c r="U26" s="2"/>
      <c r="V26" s="6">
        <f t="shared" si="5"/>
        <v>0</v>
      </c>
      <c r="W26" s="2"/>
      <c r="X26" s="7">
        <f t="shared" si="6"/>
        <v>-13283.076923077</v>
      </c>
      <c r="Y26" s="2"/>
      <c r="Z26" s="6">
        <f t="shared" si="7"/>
        <v>-1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0</v>
      </c>
      <c r="M27" s="2"/>
      <c r="N27" s="6">
        <f t="shared" si="3"/>
        <v>0</v>
      </c>
      <c r="O27" s="11"/>
      <c r="P27" s="7"/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0</v>
      </c>
      <c r="Y27" s="2"/>
      <c r="Z27" s="6">
        <f t="shared" si="7"/>
        <v>0</v>
      </c>
    </row>
    <row r="28" spans="1:26" s="27" customFormat="1" outlineLevel="1" collapsed="1" x14ac:dyDescent="0.25">
      <c r="A28" s="26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9962.3076923076896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-9962.3076923076896</v>
      </c>
      <c r="M28" s="1"/>
      <c r="N28" s="5">
        <f t="shared" ref="N28:N38" si="11">IF(H28=0,0,L28/H28)</f>
        <v>-1</v>
      </c>
      <c r="O28" s="13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119547.69230769201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-119547.69230769201</v>
      </c>
      <c r="Y28" s="1"/>
      <c r="Z28" s="5">
        <f t="shared" ref="Z28:Z38" si="15">IF(T28=0,0,X28/T28)</f>
        <v>-1</v>
      </c>
    </row>
    <row r="29" spans="1:26" s="24" customFormat="1" hidden="1" outlineLevel="2" x14ac:dyDescent="0.25">
      <c r="A29" s="25"/>
      <c r="B29" s="11" t="str">
        <f>CONCATENATE("          ", "6001", " - ", "ADMINISTRATIVE SALARIES")</f>
        <v xml:space="preserve">          6001 - ADMINISTRATIVE SALARIES</v>
      </c>
      <c r="C29" s="11"/>
      <c r="D29" s="7"/>
      <c r="E29" s="2"/>
      <c r="F29" s="6">
        <f t="shared" si="8"/>
        <v>0</v>
      </c>
      <c r="G29" s="2"/>
      <c r="H29" s="7">
        <v>9962.3076923076896</v>
      </c>
      <c r="I29" s="2"/>
      <c r="J29" s="6">
        <f t="shared" si="9"/>
        <v>0</v>
      </c>
      <c r="K29" s="2"/>
      <c r="L29" s="7">
        <f t="shared" si="10"/>
        <v>-9962.3076923076896</v>
      </c>
      <c r="M29" s="2"/>
      <c r="N29" s="6">
        <f t="shared" si="11"/>
        <v>-1</v>
      </c>
      <c r="O29" s="11"/>
      <c r="P29" s="7"/>
      <c r="Q29" s="2"/>
      <c r="R29" s="6">
        <f t="shared" si="12"/>
        <v>0</v>
      </c>
      <c r="S29" s="2"/>
      <c r="T29" s="7">
        <v>119547.69230769201</v>
      </c>
      <c r="U29" s="2"/>
      <c r="V29" s="6">
        <f t="shared" si="13"/>
        <v>0</v>
      </c>
      <c r="W29" s="2"/>
      <c r="X29" s="7">
        <f t="shared" si="14"/>
        <v>-119547.69230769201</v>
      </c>
      <c r="Y29" s="2"/>
      <c r="Z29" s="6">
        <f t="shared" si="15"/>
        <v>-1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5"/>
      <c r="B31" s="11" t="str">
        <f>CONCATENATE("          ", "6003", " - ", "STAFF HOURLY-9 MONTH")</f>
        <v xml:space="preserve">          6003 - STAFF HOURLY-9 MONTH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5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"6009", " - ", "TEMPORARY-SEASONAL")</f>
        <v xml:space="preserve">          6009 - TEMPORARY-SEASONAL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"6010", " - ", "GRATUITY")</f>
        <v xml:space="preserve">          6010 - GRATUITY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7" customFormat="1" outlineLevel="1" collapsed="1" x14ac:dyDescent="0.25">
      <c r="A39" s="26"/>
      <c r="B39" s="13" t="str">
        <f>CONCATENATE("     ","General                                           ")</f>
        <v xml:space="preserve">     General                                           </v>
      </c>
      <c r="C39" s="13"/>
      <c r="D39" s="1">
        <f>SUM(OSRRefD22_2x_0)</f>
        <v>0</v>
      </c>
      <c r="E39" s="1"/>
      <c r="F39" s="5">
        <f t="shared" ref="F39:F43" si="16">IF(D$12=0,0,D39/D$12)</f>
        <v>0</v>
      </c>
      <c r="G39" s="1"/>
      <c r="H39" s="1">
        <f>SUM(OSRRefH22_2x_0)</f>
        <v>0</v>
      </c>
      <c r="I39" s="1"/>
      <c r="J39" s="5">
        <f t="shared" ref="J39:J43" si="17">IF(H$12=0,0,H39/H$12)</f>
        <v>0</v>
      </c>
      <c r="K39" s="1"/>
      <c r="L39" s="1">
        <f t="shared" ref="L39:L43" si="18">+D39-H39</f>
        <v>0</v>
      </c>
      <c r="M39" s="1"/>
      <c r="N39" s="5">
        <f t="shared" ref="N39:N43" si="19">IF(H39=0,0,L39/H39)</f>
        <v>0</v>
      </c>
      <c r="O39" s="13"/>
      <c r="P39" s="1">
        <f>SUM(OSRRefP22_2x_0)</f>
        <v>0</v>
      </c>
      <c r="Q39" s="1"/>
      <c r="R39" s="5">
        <f t="shared" ref="R39:R43" si="20">IF(P$12=0,0,P39/P$12)</f>
        <v>0</v>
      </c>
      <c r="S39" s="1"/>
      <c r="T39" s="1">
        <f>SUM(OSRRefT22_2x_0)</f>
        <v>3000</v>
      </c>
      <c r="U39" s="1"/>
      <c r="V39" s="5">
        <f t="shared" ref="V39:V43" si="21">IF(T$12=0,0,T39/T$12)</f>
        <v>0</v>
      </c>
      <c r="W39" s="1"/>
      <c r="X39" s="1">
        <f t="shared" ref="X39:X43" si="22">+P39-T39</f>
        <v>-3000</v>
      </c>
      <c r="Y39" s="1"/>
      <c r="Z39" s="5">
        <f t="shared" ref="Z39:Z43" si="23">IF(T39=0,0,X39/T39)</f>
        <v>-1</v>
      </c>
    </row>
    <row r="40" spans="1:26" s="24" customFormat="1" hidden="1" outlineLevel="2" x14ac:dyDescent="0.25">
      <c r="A40" s="25"/>
      <c r="B40" s="11" t="str">
        <f>CONCATENATE("          ", "6279", " - ", "GENERAL EXPENSE")</f>
        <v xml:space="preserve">          6279 - GENERAL EXPENSE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3000</v>
      </c>
      <c r="U40" s="2"/>
      <c r="V40" s="6">
        <f t="shared" si="21"/>
        <v>0</v>
      </c>
      <c r="W40" s="2"/>
      <c r="X40" s="7">
        <f t="shared" si="22"/>
        <v>-3000</v>
      </c>
      <c r="Y40" s="2"/>
      <c r="Z40" s="6">
        <f t="shared" si="23"/>
        <v>-1</v>
      </c>
    </row>
    <row r="41" spans="1:26" s="27" customFormat="1" outlineLevel="1" collapsed="1" x14ac:dyDescent="0.25">
      <c r="A41" s="26"/>
      <c r="B41" s="13" t="str">
        <f>CONCATENATE("     ","Services                                          ")</f>
        <v xml:space="preserve">     Services                                          </v>
      </c>
      <c r="C41" s="13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5"/>
      <c r="B42" s="11" t="str">
        <f>CONCATENATE("          ", "6282", " - ", "JANITORIAL/EXTERMINATOR EXPENS")</f>
        <v xml:space="preserve">          6282 - JANITORIAL/EXTERMINATOR EXPENS</v>
      </c>
      <c r="C42" s="11"/>
      <c r="D42" s="7"/>
      <c r="E42" s="2"/>
      <c r="F42" s="6">
        <f t="shared" si="16"/>
        <v>0</v>
      </c>
      <c r="G42" s="2"/>
      <c r="H42" s="7">
        <v>0</v>
      </c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0</v>
      </c>
      <c r="U42" s="2"/>
      <c r="V42" s="6">
        <f t="shared" si="21"/>
        <v>0</v>
      </c>
      <c r="W42" s="2"/>
      <c r="X42" s="7">
        <f t="shared" si="22"/>
        <v>0</v>
      </c>
      <c r="Y42" s="2"/>
      <c r="Z42" s="6">
        <f t="shared" si="23"/>
        <v>0</v>
      </c>
    </row>
    <row r="43" spans="1:26" s="24" customFormat="1" hidden="1" outlineLevel="2" x14ac:dyDescent="0.25">
      <c r="A43" s="25"/>
      <c r="B43" s="11" t="str">
        <f>CONCATENATE("          ", "6285", " - ", "JANITORIAL SERVICES")</f>
        <v xml:space="preserve">          6285 - JANITORIAL SERVICES</v>
      </c>
      <c r="C43" s="11"/>
      <c r="D43" s="7"/>
      <c r="E43" s="2"/>
      <c r="F43" s="6">
        <f t="shared" si="16"/>
        <v>0</v>
      </c>
      <c r="G43" s="2"/>
      <c r="H43" s="7">
        <v>0</v>
      </c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/>
      <c r="Q43" s="2"/>
      <c r="R43" s="6">
        <f t="shared" si="20"/>
        <v>0</v>
      </c>
      <c r="S43" s="2"/>
      <c r="T43" s="7">
        <v>0</v>
      </c>
      <c r="U43" s="2"/>
      <c r="V43" s="6">
        <f t="shared" si="21"/>
        <v>0</v>
      </c>
      <c r="W43" s="2"/>
      <c r="X43" s="7">
        <f t="shared" si="22"/>
        <v>0</v>
      </c>
      <c r="Y43" s="2"/>
      <c r="Z43" s="6">
        <f t="shared" si="23"/>
        <v>0</v>
      </c>
    </row>
    <row r="44" spans="1:26" s="27" customFormat="1" outlineLevel="1" collapsed="1" x14ac:dyDescent="0.25">
      <c r="A44" s="26"/>
      <c r="B44" s="13" t="str">
        <f>CONCATENATE("     ","Supplies                                          ")</f>
        <v xml:space="preserve">     Supplies                                          </v>
      </c>
      <c r="C44" s="13"/>
      <c r="D44" s="1">
        <f>SUM(OSRRefD22_4x_0)</f>
        <v>0</v>
      </c>
      <c r="E44" s="1"/>
      <c r="F44" s="5">
        <f t="shared" ref="F44:F49" si="24">IF(D$12=0,0,D44/D$12)</f>
        <v>0</v>
      </c>
      <c r="G44" s="1"/>
      <c r="H44" s="1">
        <f>SUM(OSRRefH22_4x_0)</f>
        <v>25</v>
      </c>
      <c r="I44" s="1"/>
      <c r="J44" s="5">
        <f t="shared" ref="J44:J49" si="25">IF(H$12=0,0,H44/H$12)</f>
        <v>0</v>
      </c>
      <c r="K44" s="1"/>
      <c r="L44" s="1">
        <f t="shared" ref="L44:L49" si="26">+D44-H44</f>
        <v>-25</v>
      </c>
      <c r="M44" s="1"/>
      <c r="N44" s="5">
        <f t="shared" ref="N44:N49" si="27">IF(H44=0,0,L44/H44)</f>
        <v>-1</v>
      </c>
      <c r="O44" s="13"/>
      <c r="P44" s="1">
        <f>SUM(OSRRefP22_4x_0)</f>
        <v>3.26</v>
      </c>
      <c r="Q44" s="1"/>
      <c r="R44" s="5">
        <f t="shared" ref="R44:R49" si="28">IF(P$12=0,0,P44/P$12)</f>
        <v>0</v>
      </c>
      <c r="S44" s="1"/>
      <c r="T44" s="1">
        <f>SUM(OSRRefT22_4x_0)</f>
        <v>275</v>
      </c>
      <c r="U44" s="1"/>
      <c r="V44" s="5">
        <f t="shared" ref="V44:V49" si="29">IF(T$12=0,0,T44/T$12)</f>
        <v>0</v>
      </c>
      <c r="W44" s="1"/>
      <c r="X44" s="1">
        <f t="shared" ref="X44:X49" si="30">+P44-T44</f>
        <v>-271.74</v>
      </c>
      <c r="Y44" s="1"/>
      <c r="Z44" s="5">
        <f t="shared" ref="Z44:Z49" si="31">IF(T44=0,0,X44/T44)</f>
        <v>-0.98814545454545455</v>
      </c>
    </row>
    <row r="45" spans="1:26" s="24" customFormat="1" hidden="1" outlineLevel="2" x14ac:dyDescent="0.25">
      <c r="A45" s="25"/>
      <c r="B45" s="11" t="str">
        <f>CONCATENATE("          ", "6241", " - ", "OFFICE EXPENSE")</f>
        <v xml:space="preserve">          6241 - OFFICE EXPENSE</v>
      </c>
      <c r="C45" s="11"/>
      <c r="D45" s="7"/>
      <c r="E45" s="2"/>
      <c r="F45" s="6">
        <f t="shared" si="24"/>
        <v>0</v>
      </c>
      <c r="G45" s="2"/>
      <c r="H45" s="7">
        <v>25</v>
      </c>
      <c r="I45" s="2"/>
      <c r="J45" s="6">
        <f t="shared" si="25"/>
        <v>0</v>
      </c>
      <c r="K45" s="2"/>
      <c r="L45" s="7">
        <f t="shared" si="26"/>
        <v>-25</v>
      </c>
      <c r="M45" s="2"/>
      <c r="N45" s="6">
        <f t="shared" si="27"/>
        <v>-1</v>
      </c>
      <c r="O45" s="11"/>
      <c r="P45" s="7">
        <v>3.26</v>
      </c>
      <c r="Q45" s="2"/>
      <c r="R45" s="6">
        <f t="shared" si="28"/>
        <v>0</v>
      </c>
      <c r="S45" s="2"/>
      <c r="T45" s="7">
        <v>275</v>
      </c>
      <c r="U45" s="2"/>
      <c r="V45" s="6">
        <f t="shared" si="29"/>
        <v>0</v>
      </c>
      <c r="W45" s="2"/>
      <c r="X45" s="7">
        <f t="shared" si="30"/>
        <v>-271.74</v>
      </c>
      <c r="Y45" s="2"/>
      <c r="Z45" s="6">
        <f t="shared" si="31"/>
        <v>-0.98814545454545455</v>
      </c>
    </row>
    <row r="46" spans="1:26" s="27" customFormat="1" outlineLevel="1" collapsed="1" x14ac:dyDescent="0.25">
      <c r="A46" s="26"/>
      <c r="B46" s="13" t="str">
        <f>CONCATENATE("     ","Telephone/Data Lines                              ")</f>
        <v xml:space="preserve">     Telephone/Data Lines                              </v>
      </c>
      <c r="C46" s="13"/>
      <c r="D46" s="1">
        <f>SUM(OSRRefD22_5x_0)</f>
        <v>36</v>
      </c>
      <c r="E46" s="1"/>
      <c r="F46" s="5">
        <f t="shared" si="24"/>
        <v>0</v>
      </c>
      <c r="G46" s="1"/>
      <c r="H46" s="1">
        <f>SUM(OSRRefH22_5x_0)</f>
        <v>50</v>
      </c>
      <c r="I46" s="1"/>
      <c r="J46" s="5">
        <f t="shared" si="25"/>
        <v>0</v>
      </c>
      <c r="K46" s="1"/>
      <c r="L46" s="1">
        <f t="shared" si="26"/>
        <v>-14</v>
      </c>
      <c r="M46" s="1"/>
      <c r="N46" s="5">
        <f t="shared" si="27"/>
        <v>-0.28000000000000003</v>
      </c>
      <c r="O46" s="13"/>
      <c r="P46" s="1">
        <f>SUM(OSRRefP22_5x_0)</f>
        <v>735</v>
      </c>
      <c r="Q46" s="1"/>
      <c r="R46" s="5">
        <f t="shared" si="28"/>
        <v>0</v>
      </c>
      <c r="S46" s="1"/>
      <c r="T46" s="1">
        <f>SUM(OSRRefT22_5x_0)</f>
        <v>1000</v>
      </c>
      <c r="U46" s="1"/>
      <c r="V46" s="5">
        <f t="shared" si="29"/>
        <v>0</v>
      </c>
      <c r="W46" s="1"/>
      <c r="X46" s="1">
        <f t="shared" si="30"/>
        <v>-265</v>
      </c>
      <c r="Y46" s="1"/>
      <c r="Z46" s="5">
        <f t="shared" si="31"/>
        <v>-0.26500000000000001</v>
      </c>
    </row>
    <row r="47" spans="1:26" s="24" customFormat="1" hidden="1" outlineLevel="2" x14ac:dyDescent="0.25">
      <c r="A47" s="25"/>
      <c r="B47" s="11" t="str">
        <f>CONCATENATE("          ", "6309", " - ", "TELEPHONE")</f>
        <v xml:space="preserve">          6309 - TELEPHONE</v>
      </c>
      <c r="C47" s="11"/>
      <c r="D47" s="7">
        <v>36</v>
      </c>
      <c r="E47" s="2"/>
      <c r="F47" s="6">
        <f t="shared" si="24"/>
        <v>0</v>
      </c>
      <c r="G47" s="2"/>
      <c r="H47" s="7">
        <v>50</v>
      </c>
      <c r="I47" s="2"/>
      <c r="J47" s="6">
        <f t="shared" si="25"/>
        <v>0</v>
      </c>
      <c r="K47" s="2"/>
      <c r="L47" s="7">
        <f t="shared" si="26"/>
        <v>-14</v>
      </c>
      <c r="M47" s="2"/>
      <c r="N47" s="6">
        <f t="shared" si="27"/>
        <v>-0.28000000000000003</v>
      </c>
      <c r="O47" s="11"/>
      <c r="P47" s="7">
        <v>735</v>
      </c>
      <c r="Q47" s="2"/>
      <c r="R47" s="6">
        <f t="shared" si="28"/>
        <v>0</v>
      </c>
      <c r="S47" s="2"/>
      <c r="T47" s="7">
        <v>1000</v>
      </c>
      <c r="U47" s="2"/>
      <c r="V47" s="6">
        <f t="shared" si="29"/>
        <v>0</v>
      </c>
      <c r="W47" s="2"/>
      <c r="X47" s="7">
        <f t="shared" si="30"/>
        <v>-265</v>
      </c>
      <c r="Y47" s="2"/>
      <c r="Z47" s="6">
        <f t="shared" si="31"/>
        <v>-0.26500000000000001</v>
      </c>
    </row>
    <row r="48" spans="1:26" s="27" customFormat="1" outlineLevel="1" collapsed="1" x14ac:dyDescent="0.25">
      <c r="A48" s="26"/>
      <c r="B48" s="13" t="str">
        <f>CONCATENATE("     ","Utilities                                         ")</f>
        <v xml:space="preserve">     Utilities                                         </v>
      </c>
      <c r="C48" s="13"/>
      <c r="D48" s="1">
        <f>SUM(OSRRefD22_6x_0)</f>
        <v>0</v>
      </c>
      <c r="E48" s="1"/>
      <c r="F48" s="5">
        <f t="shared" si="24"/>
        <v>0</v>
      </c>
      <c r="G48" s="1"/>
      <c r="H48" s="1">
        <f>SUM(OSRRefH22_6x_0)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3"/>
      <c r="P48" s="1">
        <f>SUM(OSRRefP22_6x_0)</f>
        <v>0</v>
      </c>
      <c r="Q48" s="1"/>
      <c r="R48" s="5">
        <f t="shared" si="28"/>
        <v>0</v>
      </c>
      <c r="S48" s="1"/>
      <c r="T48" s="1">
        <f>SUM(OSRRefT22_6x_0)</f>
        <v>0</v>
      </c>
      <c r="U48" s="1"/>
      <c r="V48" s="5">
        <f t="shared" si="29"/>
        <v>0</v>
      </c>
      <c r="W48" s="1"/>
      <c r="X48" s="1">
        <f t="shared" si="30"/>
        <v>0</v>
      </c>
      <c r="Y48" s="1"/>
      <c r="Z48" s="5">
        <f t="shared" si="31"/>
        <v>0</v>
      </c>
    </row>
    <row r="49" spans="1:26" s="24" customFormat="1" hidden="1" outlineLevel="2" x14ac:dyDescent="0.25">
      <c r="A49" s="25"/>
      <c r="B49" s="11" t="str">
        <f>CONCATENATE("          ", "6274", " - ", "UTILITIES")</f>
        <v xml:space="preserve">          6274 - UTILITIES</v>
      </c>
      <c r="C49" s="11"/>
      <c r="D49" s="7"/>
      <c r="E49" s="2"/>
      <c r="F49" s="6">
        <f t="shared" si="24"/>
        <v>0</v>
      </c>
      <c r="G49" s="2"/>
      <c r="H49" s="7">
        <v>0</v>
      </c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0</v>
      </c>
      <c r="U49" s="2"/>
      <c r="V49" s="6">
        <f t="shared" si="29"/>
        <v>0</v>
      </c>
      <c r="W49" s="2"/>
      <c r="X49" s="7">
        <f t="shared" si="30"/>
        <v>0</v>
      </c>
      <c r="Y49" s="2"/>
      <c r="Z49" s="6">
        <f t="shared" si="31"/>
        <v>0</v>
      </c>
    </row>
    <row r="50" spans="1:26" s="56" customFormat="1" x14ac:dyDescent="0.25">
      <c r="A50" s="36"/>
      <c r="B50" s="36"/>
      <c r="C50" s="36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collapsed="1" x14ac:dyDescent="0.25">
      <c r="A51" s="10"/>
      <c r="B51" s="29" t="s">
        <v>293</v>
      </c>
      <c r="C51" s="10"/>
      <c r="D51" s="4">
        <f>SUM(OSRRefD25x_0)</f>
        <v>0</v>
      </c>
      <c r="E51" s="4"/>
      <c r="F51" s="12">
        <f t="shared" ref="F51:F54" si="32">IF(D$12=0,0,D51/D$12)</f>
        <v>0</v>
      </c>
      <c r="G51" s="4"/>
      <c r="H51" s="4">
        <f>SUM(OSRRefH25x_0)</f>
        <v>15263</v>
      </c>
      <c r="I51" s="4"/>
      <c r="J51" s="12">
        <f t="shared" ref="J51:J54" si="33">IF(H$12=0,0,H51/H$12)</f>
        <v>0</v>
      </c>
      <c r="K51" s="4"/>
      <c r="L51" s="4">
        <f t="shared" ref="L51:L54" si="34">+D51-H51</f>
        <v>-15263</v>
      </c>
      <c r="M51" s="4"/>
      <c r="N51" s="12">
        <f t="shared" ref="N51:N54" si="35">IF(H51=0,0,L51/H51)</f>
        <v>-1</v>
      </c>
      <c r="O51" s="10"/>
      <c r="P51" s="4">
        <f>SUM(OSRRefP25x_0)</f>
        <v>0</v>
      </c>
      <c r="Q51" s="4"/>
      <c r="R51" s="12">
        <f t="shared" ref="R51:R54" si="36">IF(P$12=0,0,P51/P$12)</f>
        <v>0</v>
      </c>
      <c r="S51" s="4"/>
      <c r="T51" s="4">
        <f>SUM(OSRRefT25x_0)</f>
        <v>78950</v>
      </c>
      <c r="U51" s="4"/>
      <c r="V51" s="12">
        <f t="shared" ref="V51:V54" si="37">IF(T$12=0,0,T51/T$12)</f>
        <v>0</v>
      </c>
      <c r="W51" s="4"/>
      <c r="X51" s="4">
        <f t="shared" ref="X51:X54" si="38">+P51-T51</f>
        <v>-78950</v>
      </c>
      <c r="Y51" s="4"/>
      <c r="Z51" s="12">
        <f t="shared" ref="Z51:Z54" si="39">IF(T51=0,0,X51/T51)</f>
        <v>-1</v>
      </c>
    </row>
    <row r="52" spans="1:26" s="24" customFormat="1" hidden="1" outlineLevel="1" x14ac:dyDescent="0.25">
      <c r="A52" s="44"/>
      <c r="B52" s="11" t="str">
        <f>CONCATENATE("          ", "9150", " - ", "MISC. INCOME")</f>
        <v xml:space="preserve">          9150 - MISC. INCOME</v>
      </c>
      <c r="C52" s="11"/>
      <c r="D52" s="2">
        <f t="shared" ref="D52:D54" si="40">0</f>
        <v>0</v>
      </c>
      <c r="E52" s="2"/>
      <c r="F52" s="19">
        <f t="shared" si="32"/>
        <v>0</v>
      </c>
      <c r="G52" s="2"/>
      <c r="H52" s="2">
        <v>3557</v>
      </c>
      <c r="I52" s="2"/>
      <c r="J52" s="19">
        <f t="shared" si="33"/>
        <v>0</v>
      </c>
      <c r="K52" s="2"/>
      <c r="L52" s="2">
        <f t="shared" si="34"/>
        <v>-3557</v>
      </c>
      <c r="M52" s="2"/>
      <c r="N52" s="19">
        <f t="shared" si="35"/>
        <v>-1</v>
      </c>
      <c r="O52" s="11"/>
      <c r="P52" s="2">
        <f t="shared" ref="P52:P54" si="41">0</f>
        <v>0</v>
      </c>
      <c r="Q52" s="2"/>
      <c r="R52" s="19">
        <f t="shared" si="36"/>
        <v>0</v>
      </c>
      <c r="S52" s="2"/>
      <c r="T52" s="2">
        <v>27061</v>
      </c>
      <c r="U52" s="2"/>
      <c r="V52" s="19">
        <f t="shared" si="37"/>
        <v>0</v>
      </c>
      <c r="W52" s="2"/>
      <c r="X52" s="2">
        <f t="shared" si="38"/>
        <v>-27061</v>
      </c>
      <c r="Y52" s="2"/>
      <c r="Z52" s="19">
        <f t="shared" si="39"/>
        <v>-1</v>
      </c>
    </row>
    <row r="53" spans="1:26" s="24" customFormat="1" hidden="1" outlineLevel="1" x14ac:dyDescent="0.25">
      <c r="A53" s="44"/>
      <c r="B53" s="11" t="str">
        <f>CONCATENATE("          ", "9151", " - ", "MISC. INCOME")</f>
        <v xml:space="preserve">          9151 - MISC. INCOME</v>
      </c>
      <c r="C53" s="11"/>
      <c r="D53" s="2">
        <f t="shared" si="40"/>
        <v>0</v>
      </c>
      <c r="E53" s="2"/>
      <c r="F53" s="19">
        <f t="shared" si="32"/>
        <v>0</v>
      </c>
      <c r="G53" s="2"/>
      <c r="H53" s="2">
        <v>6027</v>
      </c>
      <c r="I53" s="2"/>
      <c r="J53" s="19">
        <f t="shared" si="33"/>
        <v>0</v>
      </c>
      <c r="K53" s="2"/>
      <c r="L53" s="2">
        <f t="shared" si="34"/>
        <v>-6027</v>
      </c>
      <c r="M53" s="2"/>
      <c r="N53" s="19">
        <f t="shared" si="35"/>
        <v>-1</v>
      </c>
      <c r="O53" s="11"/>
      <c r="P53" s="2">
        <f t="shared" si="41"/>
        <v>0</v>
      </c>
      <c r="Q53" s="2"/>
      <c r="R53" s="19">
        <f t="shared" si="36"/>
        <v>0</v>
      </c>
      <c r="S53" s="2"/>
      <c r="T53" s="2">
        <v>35395</v>
      </c>
      <c r="U53" s="2"/>
      <c r="V53" s="19">
        <f t="shared" si="37"/>
        <v>0</v>
      </c>
      <c r="W53" s="2"/>
      <c r="X53" s="2">
        <f t="shared" si="38"/>
        <v>-35395</v>
      </c>
      <c r="Y53" s="2"/>
      <c r="Z53" s="19">
        <f t="shared" si="39"/>
        <v>-1</v>
      </c>
    </row>
    <row r="54" spans="1:26" s="24" customFormat="1" hidden="1" outlineLevel="1" x14ac:dyDescent="0.25">
      <c r="A54" s="44"/>
      <c r="B54" s="11" t="str">
        <f>CONCATENATE("          ", "9160", " - ", "MISC. INCOME")</f>
        <v xml:space="preserve">          9160 - MISC. INCOME</v>
      </c>
      <c r="C54" s="11"/>
      <c r="D54" s="2">
        <f t="shared" si="40"/>
        <v>0</v>
      </c>
      <c r="E54" s="2"/>
      <c r="F54" s="19">
        <f t="shared" si="32"/>
        <v>0</v>
      </c>
      <c r="G54" s="2"/>
      <c r="H54" s="2">
        <v>5679</v>
      </c>
      <c r="I54" s="2"/>
      <c r="J54" s="19">
        <f t="shared" si="33"/>
        <v>0</v>
      </c>
      <c r="K54" s="2"/>
      <c r="L54" s="2">
        <f t="shared" si="34"/>
        <v>-5679</v>
      </c>
      <c r="M54" s="2"/>
      <c r="N54" s="19">
        <f t="shared" si="35"/>
        <v>-1</v>
      </c>
      <c r="O54" s="11"/>
      <c r="P54" s="2">
        <f t="shared" si="41"/>
        <v>0</v>
      </c>
      <c r="Q54" s="2"/>
      <c r="R54" s="19">
        <f t="shared" si="36"/>
        <v>0</v>
      </c>
      <c r="S54" s="2"/>
      <c r="T54" s="2">
        <v>16494</v>
      </c>
      <c r="U54" s="2"/>
      <c r="V54" s="19">
        <f t="shared" si="37"/>
        <v>0</v>
      </c>
      <c r="W54" s="2"/>
      <c r="X54" s="2">
        <f t="shared" si="38"/>
        <v>-16494</v>
      </c>
      <c r="Y54" s="2"/>
      <c r="Z54" s="19">
        <f t="shared" si="39"/>
        <v>-1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8" t="s">
        <v>277</v>
      </c>
      <c r="C56" s="28"/>
      <c r="D56" s="20">
        <f>+D16-D18+D51</f>
        <v>-36</v>
      </c>
      <c r="E56" s="14"/>
      <c r="F56" s="21">
        <f>IF(D$12=0,0,D56/D$12)</f>
        <v>0</v>
      </c>
      <c r="G56" s="14"/>
      <c r="H56" s="20">
        <f>+H16-H18+H51</f>
        <v>869.37869230769138</v>
      </c>
      <c r="I56" s="14"/>
      <c r="J56" s="21">
        <f>IF(H$12=0,0,H56/H$12)</f>
        <v>0</v>
      </c>
      <c r="K56" s="15"/>
      <c r="L56" s="20">
        <f>+D56-H56</f>
        <v>-905.37869230769138</v>
      </c>
      <c r="M56" s="15"/>
      <c r="N56" s="21">
        <f>IF(H56=0,0,L56/H56)</f>
        <v>-1.0414088823645322</v>
      </c>
      <c r="O56" s="29"/>
      <c r="P56" s="20">
        <f>+P16-P18+P51</f>
        <v>-3216.9900000000002</v>
      </c>
      <c r="Q56" s="14"/>
      <c r="R56" s="21">
        <f>IF(P$12=0,0,P56/P$12)</f>
        <v>0</v>
      </c>
      <c r="S56" s="14"/>
      <c r="T56" s="20">
        <f>+T16-T18+T51</f>
        <v>-95763.455692307558</v>
      </c>
      <c r="U56" s="14"/>
      <c r="V56" s="21">
        <f>IF(T$12=0,0,T56/T$12)</f>
        <v>0</v>
      </c>
      <c r="W56" s="15"/>
      <c r="X56" s="20">
        <f>+P56-T56</f>
        <v>92546.465692307553</v>
      </c>
      <c r="Y56" s="15"/>
      <c r="Z56" s="21">
        <f>IF(T56=0,0,X56/T56)</f>
        <v>-0.96640691402849599</v>
      </c>
    </row>
    <row r="57" spans="1:26" x14ac:dyDescent="0.25">
      <c r="A57" s="9"/>
      <c r="B57" s="10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52"/>
      <c r="B58" s="10" t="s">
        <v>128</v>
      </c>
      <c r="C58" s="10"/>
      <c r="D58" s="4"/>
      <c r="E58" s="4"/>
      <c r="F58" s="12">
        <f>IF(D$12=0,0,D58/D$12)</f>
        <v>0</v>
      </c>
      <c r="G58" s="4"/>
      <c r="H58" s="4"/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/>
      <c r="Q58" s="4"/>
      <c r="R58" s="12">
        <f>IF(P$12=0,0,P58/P$12)</f>
        <v>0</v>
      </c>
      <c r="S58" s="4"/>
      <c r="T58" s="4"/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8" t="s">
        <v>126</v>
      </c>
      <c r="C60" s="28"/>
      <c r="D60" s="35">
        <f>+D56-D58</f>
        <v>-36</v>
      </c>
      <c r="E60" s="14"/>
      <c r="F60" s="34">
        <f>IF(D$12=0,0,D60/D$12)</f>
        <v>0</v>
      </c>
      <c r="G60" s="14"/>
      <c r="H60" s="35">
        <f>+H56-H58</f>
        <v>869.37869230769138</v>
      </c>
      <c r="I60" s="14"/>
      <c r="J60" s="34">
        <f>IF(H$12=0,0,H60/H$12)</f>
        <v>0</v>
      </c>
      <c r="K60" s="15"/>
      <c r="L60" s="35">
        <f>D60-H60</f>
        <v>-905.37869230769138</v>
      </c>
      <c r="M60" s="15"/>
      <c r="N60" s="34">
        <f>IF(H60=0,0,L60/H60)</f>
        <v>-1.0414088823645322</v>
      </c>
      <c r="O60" s="29"/>
      <c r="P60" s="35">
        <f>+P56-P58</f>
        <v>-3216.9900000000002</v>
      </c>
      <c r="Q60" s="14"/>
      <c r="R60" s="34">
        <f>IF(P$12=0,0,P60/P$12)</f>
        <v>0</v>
      </c>
      <c r="S60" s="14"/>
      <c r="T60" s="35">
        <f>+T56-T58</f>
        <v>-95763.455692307558</v>
      </c>
      <c r="U60" s="14"/>
      <c r="V60" s="34">
        <f>IF(T$12=0,0,T60/T$12)</f>
        <v>0</v>
      </c>
      <c r="W60" s="15"/>
      <c r="X60" s="35">
        <f>P60-T60</f>
        <v>92546.465692307553</v>
      </c>
      <c r="Y60" s="15"/>
      <c r="Z60" s="34">
        <f>IF(T60=0,0,X60/T60)</f>
        <v>-0.96640691402849599</v>
      </c>
    </row>
    <row r="61" spans="1:26" ht="15.75" thickTop="1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8" t="s">
        <v>294</v>
      </c>
      <c r="C63" s="28"/>
      <c r="D63" s="33">
        <f>SUM(D60:D62)</f>
        <v>-36</v>
      </c>
      <c r="E63" s="14"/>
      <c r="F63" s="32">
        <f>IF(D$12=0,0,D63/D$12)</f>
        <v>0</v>
      </c>
      <c r="G63" s="14"/>
      <c r="H63" s="33">
        <f>SUM(H60:H62)</f>
        <v>869.37869230769138</v>
      </c>
      <c r="I63" s="14"/>
      <c r="J63" s="32">
        <f>IF(H$12=0,0,H63/H$12)</f>
        <v>0</v>
      </c>
      <c r="K63" s="15"/>
      <c r="L63" s="33">
        <f>+D63-H63</f>
        <v>-905.37869230769138</v>
      </c>
      <c r="M63" s="15"/>
      <c r="N63" s="32">
        <f>IF(H63=0,0,L63/H63)</f>
        <v>-1.0414088823645322</v>
      </c>
      <c r="O63" s="29"/>
      <c r="P63" s="33">
        <f>SUM(P60:P62)</f>
        <v>-3216.9900000000002</v>
      </c>
      <c r="Q63" s="14"/>
      <c r="R63" s="32">
        <f>IF(P$12=0,0,P63/P$12)</f>
        <v>0</v>
      </c>
      <c r="S63" s="14"/>
      <c r="T63" s="33">
        <f>SUM(T60:T62)</f>
        <v>-95763.455692307558</v>
      </c>
      <c r="U63" s="14"/>
      <c r="V63" s="32">
        <f>IF(T$12=0,0,T63/T$12)</f>
        <v>0</v>
      </c>
      <c r="W63" s="15"/>
      <c r="X63" s="33">
        <f>+P63-T63</f>
        <v>92546.465692307553</v>
      </c>
      <c r="Y63" s="15"/>
      <c r="Z63" s="32">
        <f>IF(T63=0,0,X63/T63)</f>
        <v>-0.96640691402849599</v>
      </c>
    </row>
    <row r="64" spans="1:26" ht="15.75" thickTop="1" x14ac:dyDescent="0.25">
      <c r="A64" s="9"/>
      <c r="C64" s="9"/>
      <c r="D64" s="18"/>
      <c r="E64" s="18"/>
      <c r="G64" s="18"/>
      <c r="H64" s="18"/>
      <c r="I64" s="18"/>
      <c r="J64" s="42"/>
      <c r="K64" s="18"/>
      <c r="L64" s="18"/>
      <c r="M64" s="18"/>
      <c r="P64" s="18"/>
      <c r="Q64" s="18"/>
      <c r="R64" s="42"/>
      <c r="S64" s="18"/>
      <c r="T64" s="18"/>
      <c r="U64" s="18"/>
      <c r="V64" s="42"/>
      <c r="W64" s="18"/>
      <c r="X64" s="18"/>
    </row>
    <row r="65" spans="1:24" x14ac:dyDescent="0.25">
      <c r="A65" s="9"/>
      <c r="B65" s="60">
        <v>44356.891834571761</v>
      </c>
      <c r="D65" s="18"/>
      <c r="E65" s="18"/>
      <c r="G65" s="18"/>
      <c r="H65" s="18"/>
      <c r="I65" s="18"/>
      <c r="J65" s="42"/>
      <c r="K65" s="18"/>
      <c r="L65" s="18"/>
      <c r="M65" s="18"/>
      <c r="P65" s="18"/>
      <c r="Q65" s="18"/>
      <c r="R65" s="42"/>
      <c r="S65" s="18"/>
      <c r="T65" s="18"/>
      <c r="U65" s="18"/>
      <c r="V65" s="42"/>
      <c r="W65" s="18"/>
      <c r="X65" s="18"/>
    </row>
    <row r="66" spans="1:24" x14ac:dyDescent="0.25">
      <c r="A66" s="9"/>
      <c r="B66" s="55" t="s">
        <v>56</v>
      </c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4" x14ac:dyDescent="0.25">
      <c r="A67" s="9"/>
      <c r="B67" s="63"/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4" x14ac:dyDescent="0.25"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","424", " - ", "Blair Field")</f>
        <v>Department 424 - Blair Field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479.29</v>
      </c>
      <c r="E18" s="22"/>
      <c r="F18" s="31">
        <f t="shared" ref="F18:F26" si="0">IF(D$12=0,0,D18/D$12)</f>
        <v>0</v>
      </c>
      <c r="G18" s="22"/>
      <c r="H18" s="22">
        <f>SUM(OSRRefH22x_0)</f>
        <v>479</v>
      </c>
      <c r="I18" s="22"/>
      <c r="J18" s="31">
        <f t="shared" ref="J18:J26" si="1">IF(H$12=0,0,H18/H$12)</f>
        <v>0</v>
      </c>
      <c r="K18" s="4"/>
      <c r="L18" s="22">
        <f t="shared" ref="L18:L26" si="2">+D18-H18</f>
        <v>0.29000000000002046</v>
      </c>
      <c r="M18" s="4"/>
      <c r="N18" s="31">
        <f t="shared" ref="N18:N26" si="3">IF(H18=0,0,L18/H18)</f>
        <v>6.054279749478506E-4</v>
      </c>
      <c r="O18" s="10"/>
      <c r="P18" s="22">
        <f>SUM(OSRRefP22x_0)</f>
        <v>6833.08</v>
      </c>
      <c r="Q18" s="22"/>
      <c r="R18" s="31">
        <f t="shared" ref="R18:R26" si="4">IF(P$12=0,0,P18/P$12)</f>
        <v>0</v>
      </c>
      <c r="S18" s="22"/>
      <c r="T18" s="22">
        <f>SUM(OSRRefT22x_0)</f>
        <v>5269</v>
      </c>
      <c r="U18" s="22"/>
      <c r="V18" s="31">
        <f t="shared" ref="V18:V26" si="5">IF(T$12=0,0,T18/T$12)</f>
        <v>0</v>
      </c>
      <c r="W18" s="4"/>
      <c r="X18" s="22">
        <f t="shared" ref="X18:X26" si="6">+P18-T18</f>
        <v>1564.08</v>
      </c>
      <c r="Y18" s="4"/>
      <c r="Z18" s="31">
        <f t="shared" ref="Z18:Z26" si="7">IF(T18=0,0,X18/T18)</f>
        <v>0.29684570127158855</v>
      </c>
    </row>
    <row r="19" spans="1:26" s="27" customFormat="1" outlineLevel="1" collapsed="1" x14ac:dyDescent="0.25">
      <c r="A19" s="26"/>
      <c r="B19" s="13" t="str">
        <f>CONCATENATE("     ","Depreciation                                      ")</f>
        <v xml:space="preserve">     Depreciation                                      </v>
      </c>
      <c r="C19" s="13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3"/>
      <c r="P19" s="1">
        <f>SUM(OSRRefP22_0x_0)</f>
        <v>5272.19</v>
      </c>
      <c r="Q19" s="1"/>
      <c r="R19" s="5">
        <f t="shared" si="4"/>
        <v>0</v>
      </c>
      <c r="S19" s="1"/>
      <c r="T19" s="1">
        <f>SUM(OSRRefT22_0x_0)</f>
        <v>5269</v>
      </c>
      <c r="U19" s="1"/>
      <c r="V19" s="5">
        <f t="shared" si="5"/>
        <v>0</v>
      </c>
      <c r="W19" s="1"/>
      <c r="X19" s="1">
        <f t="shared" si="6"/>
        <v>3.1899999999995998</v>
      </c>
      <c r="Y19" s="1"/>
      <c r="Z19" s="5">
        <f t="shared" si="7"/>
        <v>6.0542797494773199E-4</v>
      </c>
    </row>
    <row r="20" spans="1:26" s="24" customFormat="1" hidden="1" outlineLevel="2" x14ac:dyDescent="0.25">
      <c r="A20" s="25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479.29</v>
      </c>
      <c r="E20" s="2"/>
      <c r="F20" s="6">
        <f t="shared" si="0"/>
        <v>0</v>
      </c>
      <c r="G20" s="2"/>
      <c r="H20" s="7">
        <v>479</v>
      </c>
      <c r="I20" s="2"/>
      <c r="J20" s="6">
        <f t="shared" si="1"/>
        <v>0</v>
      </c>
      <c r="K20" s="2"/>
      <c r="L20" s="7">
        <f t="shared" si="2"/>
        <v>0.29000000000002046</v>
      </c>
      <c r="M20" s="2"/>
      <c r="N20" s="6">
        <f t="shared" si="3"/>
        <v>6.054279749478506E-4</v>
      </c>
      <c r="O20" s="11"/>
      <c r="P20" s="7">
        <v>5272.19</v>
      </c>
      <c r="Q20" s="2"/>
      <c r="R20" s="6">
        <f t="shared" si="4"/>
        <v>0</v>
      </c>
      <c r="S20" s="2"/>
      <c r="T20" s="7">
        <v>5269</v>
      </c>
      <c r="U20" s="2"/>
      <c r="V20" s="6">
        <f t="shared" si="5"/>
        <v>0</v>
      </c>
      <c r="W20" s="2"/>
      <c r="X20" s="7">
        <f t="shared" si="6"/>
        <v>3.1899999999995998</v>
      </c>
      <c r="Y20" s="2"/>
      <c r="Z20" s="6">
        <f t="shared" si="7"/>
        <v>6.0542797494773199E-4</v>
      </c>
    </row>
    <row r="21" spans="1:26" s="27" customFormat="1" outlineLevel="1" collapsed="1" x14ac:dyDescent="0.25">
      <c r="A21" s="26"/>
      <c r="B21" s="13" t="str">
        <f>CONCATENATE("     ","General                                           ")</f>
        <v xml:space="preserve">     General                                           </v>
      </c>
      <c r="C21" s="13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3"/>
      <c r="P21" s="1">
        <f>SUM(OSRRefP22_1x_0)</f>
        <v>978.55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978.55</v>
      </c>
      <c r="Y21" s="1"/>
      <c r="Z21" s="5">
        <f t="shared" si="7"/>
        <v>0</v>
      </c>
    </row>
    <row r="22" spans="1:26" s="24" customFormat="1" hidden="1" outlineLevel="2" x14ac:dyDescent="0.25">
      <c r="A22" s="25"/>
      <c r="B22" s="11" t="str">
        <f>CONCATENATE("          ", "6279", " - ", "GENERAL EXPENSE")</f>
        <v xml:space="preserve">          6279 - GENERAL EXPENSE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978.55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978.55</v>
      </c>
      <c r="Y22" s="2"/>
      <c r="Z22" s="6">
        <f t="shared" si="7"/>
        <v>0</v>
      </c>
    </row>
    <row r="23" spans="1:26" s="27" customFormat="1" outlineLevel="1" collapsed="1" x14ac:dyDescent="0.25">
      <c r="A23" s="26"/>
      <c r="B23" s="13" t="str">
        <f>CONCATENATE("     ","Repair and Maintenance                            ")</f>
        <v xml:space="preserve">     Repair and Maintenance                            </v>
      </c>
      <c r="C23" s="13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3"/>
      <c r="P23" s="1">
        <f>SUM(OSRRefP22_2x_0)</f>
        <v>154.33000000000001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154.33000000000001</v>
      </c>
      <c r="Y23" s="1"/>
      <c r="Z23" s="5">
        <f t="shared" si="7"/>
        <v>0</v>
      </c>
    </row>
    <row r="24" spans="1:26" s="24" customFormat="1" hidden="1" outlineLevel="2" x14ac:dyDescent="0.25">
      <c r="A24" s="25"/>
      <c r="B24" s="11" t="str">
        <f>CONCATENATE("          ", "6373", " - ", "MAINTENANCE CONTRACTS")</f>
        <v xml:space="preserve">          6373 - MAINTENANCE CONTRACTS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154.33000000000001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154.33000000000001</v>
      </c>
      <c r="Y24" s="2"/>
      <c r="Z24" s="6">
        <f t="shared" si="7"/>
        <v>0</v>
      </c>
    </row>
    <row r="25" spans="1:26" s="27" customFormat="1" outlineLevel="1" collapsed="1" x14ac:dyDescent="0.25">
      <c r="A25" s="26"/>
      <c r="B25" s="13" t="str">
        <f>CONCATENATE("     ","Telephone/Data Lines                              ")</f>
        <v xml:space="preserve">     Telephone/Data Lines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428.01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428.01</v>
      </c>
      <c r="Y25" s="1"/>
      <c r="Z25" s="5">
        <f t="shared" si="7"/>
        <v>0</v>
      </c>
    </row>
    <row r="26" spans="1:26" s="24" customFormat="1" hidden="1" outlineLevel="2" x14ac:dyDescent="0.25">
      <c r="A26" s="25"/>
      <c r="B26" s="11" t="str">
        <f>CONCATENATE("          ", "6309", " - ", "TELEPHONE")</f>
        <v xml:space="preserve">          6309 - TELEPHONE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428.01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428.01</v>
      </c>
      <c r="Y26" s="2"/>
      <c r="Z26" s="6">
        <f t="shared" si="7"/>
        <v>0</v>
      </c>
    </row>
    <row r="27" spans="1:26" s="56" customFormat="1" x14ac:dyDescent="0.2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293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277</v>
      </c>
      <c r="C30" s="28"/>
      <c r="D30" s="20">
        <f>+D16-D18+D28</f>
        <v>-479.29</v>
      </c>
      <c r="E30" s="14"/>
      <c r="F30" s="21">
        <f>IF(D$12=0,0,D30/D$12)</f>
        <v>0</v>
      </c>
      <c r="G30" s="14"/>
      <c r="H30" s="20">
        <f>+H16-H18+H28</f>
        <v>-479</v>
      </c>
      <c r="I30" s="14"/>
      <c r="J30" s="21">
        <f>IF(H$12=0,0,H30/H$12)</f>
        <v>0</v>
      </c>
      <c r="K30" s="15"/>
      <c r="L30" s="20">
        <f>+D30-H30</f>
        <v>-0.29000000000002046</v>
      </c>
      <c r="M30" s="15"/>
      <c r="N30" s="21">
        <f>IF(H30=0,0,L30/H30)</f>
        <v>6.054279749478506E-4</v>
      </c>
      <c r="O30" s="29"/>
      <c r="P30" s="20">
        <f>+P16-P18+P28</f>
        <v>-6833.08</v>
      </c>
      <c r="Q30" s="14"/>
      <c r="R30" s="21">
        <f>IF(P$12=0,0,P30/P$12)</f>
        <v>0</v>
      </c>
      <c r="S30" s="14"/>
      <c r="T30" s="20">
        <f>+T16-T18+T28</f>
        <v>-5269</v>
      </c>
      <c r="U30" s="14"/>
      <c r="V30" s="21">
        <f>IF(T$12=0,0,T30/T$12)</f>
        <v>0</v>
      </c>
      <c r="W30" s="15"/>
      <c r="X30" s="20">
        <f>+P30-T30</f>
        <v>-1564.08</v>
      </c>
      <c r="Y30" s="15"/>
      <c r="Z30" s="21">
        <f>IF(T30=0,0,X30/T30)</f>
        <v>0.29684570127158855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2"/>
      <c r="B32" s="10" t="s">
        <v>128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8" t="s">
        <v>126</v>
      </c>
      <c r="C34" s="28"/>
      <c r="D34" s="35">
        <f>+D30-D32</f>
        <v>-479.29</v>
      </c>
      <c r="E34" s="14"/>
      <c r="F34" s="34">
        <f>IF(D$12=0,0,D34/D$12)</f>
        <v>0</v>
      </c>
      <c r="G34" s="14"/>
      <c r="H34" s="35">
        <f>+H30-H32</f>
        <v>-479</v>
      </c>
      <c r="I34" s="14"/>
      <c r="J34" s="34">
        <f>IF(H$12=0,0,H34/H$12)</f>
        <v>0</v>
      </c>
      <c r="K34" s="15"/>
      <c r="L34" s="35">
        <f>D34-H34</f>
        <v>-0.29000000000002046</v>
      </c>
      <c r="M34" s="15"/>
      <c r="N34" s="34">
        <f>IF(H34=0,0,L34/H34)</f>
        <v>6.054279749478506E-4</v>
      </c>
      <c r="O34" s="29"/>
      <c r="P34" s="35">
        <f>+P30-P32</f>
        <v>-6833.08</v>
      </c>
      <c r="Q34" s="14"/>
      <c r="R34" s="34">
        <f>IF(P$12=0,0,P34/P$12)</f>
        <v>0</v>
      </c>
      <c r="S34" s="14"/>
      <c r="T34" s="35">
        <f>+T30-T32</f>
        <v>-5269</v>
      </c>
      <c r="U34" s="14"/>
      <c r="V34" s="34">
        <f>IF(T$12=0,0,T34/T$12)</f>
        <v>0</v>
      </c>
      <c r="W34" s="15"/>
      <c r="X34" s="35">
        <f>P34-T34</f>
        <v>-1564.08</v>
      </c>
      <c r="Y34" s="15"/>
      <c r="Z34" s="34">
        <f>IF(T34=0,0,X34/T34)</f>
        <v>0.29684570127158855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294</v>
      </c>
      <c r="C37" s="28"/>
      <c r="D37" s="33">
        <f>SUM(D34:D36)</f>
        <v>-479.29</v>
      </c>
      <c r="E37" s="14"/>
      <c r="F37" s="32">
        <f>IF(D$12=0,0,D37/D$12)</f>
        <v>0</v>
      </c>
      <c r="G37" s="14"/>
      <c r="H37" s="33">
        <f>SUM(H34:H36)</f>
        <v>-479</v>
      </c>
      <c r="I37" s="14"/>
      <c r="J37" s="32">
        <f>IF(H$12=0,0,H37/H$12)</f>
        <v>0</v>
      </c>
      <c r="K37" s="15"/>
      <c r="L37" s="33">
        <f>+D37-H37</f>
        <v>-0.29000000000002046</v>
      </c>
      <c r="M37" s="15"/>
      <c r="N37" s="32">
        <f>IF(H37=0,0,L37/H37)</f>
        <v>6.054279749478506E-4</v>
      </c>
      <c r="O37" s="29"/>
      <c r="P37" s="33">
        <f>SUM(P34:P36)</f>
        <v>-6833.08</v>
      </c>
      <c r="Q37" s="14"/>
      <c r="R37" s="32">
        <f>IF(P$12=0,0,P37/P$12)</f>
        <v>0</v>
      </c>
      <c r="S37" s="14"/>
      <c r="T37" s="33">
        <f>SUM(T34:T36)</f>
        <v>-5269</v>
      </c>
      <c r="U37" s="14"/>
      <c r="V37" s="32">
        <f>IF(T$12=0,0,T37/T$12)</f>
        <v>0</v>
      </c>
      <c r="W37" s="15"/>
      <c r="X37" s="33">
        <f>+P37-T37</f>
        <v>-1564.08</v>
      </c>
      <c r="Y37" s="15"/>
      <c r="Z37" s="32">
        <f>IF(T37=0,0,X37/T37)</f>
        <v>0.29684570127158855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0">
        <v>44356.891834571761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5" t="s">
        <v>56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63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5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","425", " - ", "Events Center")</f>
        <v>Department 425 - Events Center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257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-6593.4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-6593.4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-6593.4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-6593.4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0">
        <f>D12-D14</f>
        <v>0</v>
      </c>
      <c r="E17" s="14"/>
      <c r="F17" s="21">
        <f>IF(D$12=0,0,D17/D$12)</f>
        <v>0</v>
      </c>
      <c r="G17" s="14"/>
      <c r="H17" s="20">
        <f>H12-H14</f>
        <v>0</v>
      </c>
      <c r="I17" s="14"/>
      <c r="J17" s="21">
        <f>IF(H$12=0,0,H17/H$12)</f>
        <v>0</v>
      </c>
      <c r="K17" s="15"/>
      <c r="L17" s="20">
        <f>+D17-H17</f>
        <v>0</v>
      </c>
      <c r="M17" s="15"/>
      <c r="N17" s="21">
        <f>IF(H17=0,0,L17/H17)</f>
        <v>0</v>
      </c>
      <c r="O17" s="29"/>
      <c r="P17" s="20">
        <f>P12-P14</f>
        <v>6593.4</v>
      </c>
      <c r="Q17" s="14"/>
      <c r="R17" s="21">
        <f>IF(P$12=0,0,P17/P$12)</f>
        <v>0</v>
      </c>
      <c r="S17" s="14"/>
      <c r="T17" s="20">
        <f>T12-T14</f>
        <v>0</v>
      </c>
      <c r="U17" s="14"/>
      <c r="V17" s="21">
        <f>IF(T$12=0,0,T17/T$12)</f>
        <v>0</v>
      </c>
      <c r="W17" s="15"/>
      <c r="X17" s="20">
        <f>+P17-T17</f>
        <v>6593.4</v>
      </c>
      <c r="Y17" s="15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2">
        <f>SUM(OSRRefD22x_0)</f>
        <v>1000.91</v>
      </c>
      <c r="E19" s="22"/>
      <c r="F19" s="31">
        <f t="shared" ref="F19:F25" si="8">IF(D$12=0,0,D19/D$12)</f>
        <v>0</v>
      </c>
      <c r="G19" s="22"/>
      <c r="H19" s="22">
        <f>SUM(OSRRefH22x_0)</f>
        <v>1001</v>
      </c>
      <c r="I19" s="22"/>
      <c r="J19" s="31">
        <f t="shared" ref="J19:J25" si="9">IF(H$12=0,0,H19/H$12)</f>
        <v>0</v>
      </c>
      <c r="K19" s="4"/>
      <c r="L19" s="22">
        <f t="shared" ref="L19:L25" si="10">+D19-H19</f>
        <v>-9.0000000000031832E-2</v>
      </c>
      <c r="M19" s="4"/>
      <c r="N19" s="31">
        <f t="shared" ref="N19:N25" si="11">IF(H19=0,0,L19/H19)</f>
        <v>-8.9910089910121704E-5</v>
      </c>
      <c r="O19" s="10"/>
      <c r="P19" s="22">
        <f>SUM(OSRRefP22x_0)</f>
        <v>14638.689999999999</v>
      </c>
      <c r="Q19" s="22"/>
      <c r="R19" s="31">
        <f t="shared" ref="R19:R25" si="12">IF(P$12=0,0,P19/P$12)</f>
        <v>0</v>
      </c>
      <c r="S19" s="22"/>
      <c r="T19" s="22">
        <f>SUM(OSRRefT22x_0)</f>
        <v>11011</v>
      </c>
      <c r="U19" s="22"/>
      <c r="V19" s="31">
        <f t="shared" ref="V19:V25" si="13">IF(T$12=0,0,T19/T$12)</f>
        <v>0</v>
      </c>
      <c r="W19" s="4"/>
      <c r="X19" s="22">
        <f t="shared" ref="X19:X25" si="14">+P19-T19</f>
        <v>3627.6899999999987</v>
      </c>
      <c r="Y19" s="4"/>
      <c r="Z19" s="31">
        <f t="shared" ref="Z19:Z25" si="15">IF(T19=0,0,X19/T19)</f>
        <v>0.32946053946053933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0</v>
      </c>
      <c r="M20" s="1"/>
      <c r="N20" s="5">
        <f t="shared" si="11"/>
        <v>0</v>
      </c>
      <c r="O20" s="13"/>
      <c r="P20" s="1">
        <f>SUM(OSRRefP22_0x_0)</f>
        <v>1420.5</v>
      </c>
      <c r="Q20" s="1"/>
      <c r="R20" s="5">
        <f t="shared" si="12"/>
        <v>0</v>
      </c>
      <c r="S20" s="1"/>
      <c r="T20" s="1">
        <f>SUM(OSRRefT22_0x_0)</f>
        <v>0</v>
      </c>
      <c r="U20" s="1"/>
      <c r="V20" s="5">
        <f t="shared" si="13"/>
        <v>0</v>
      </c>
      <c r="W20" s="1"/>
      <c r="X20" s="1">
        <f t="shared" si="14"/>
        <v>1420.5</v>
      </c>
      <c r="Y20" s="1"/>
      <c r="Z20" s="5">
        <f t="shared" si="15"/>
        <v>0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7"/>
      <c r="E21" s="2"/>
      <c r="F21" s="6">
        <f t="shared" si="8"/>
        <v>0</v>
      </c>
      <c r="G21" s="2"/>
      <c r="H21" s="7"/>
      <c r="I21" s="2"/>
      <c r="J21" s="6">
        <f t="shared" si="9"/>
        <v>0</v>
      </c>
      <c r="K21" s="2"/>
      <c r="L21" s="7">
        <f t="shared" si="10"/>
        <v>0</v>
      </c>
      <c r="M21" s="2"/>
      <c r="N21" s="6">
        <f t="shared" si="11"/>
        <v>0</v>
      </c>
      <c r="O21" s="11"/>
      <c r="P21" s="7">
        <v>171.54</v>
      </c>
      <c r="Q21" s="2"/>
      <c r="R21" s="6">
        <f t="shared" si="12"/>
        <v>0</v>
      </c>
      <c r="S21" s="2"/>
      <c r="T21" s="7"/>
      <c r="U21" s="2"/>
      <c r="V21" s="6">
        <f t="shared" si="13"/>
        <v>0</v>
      </c>
      <c r="W21" s="2"/>
      <c r="X21" s="7">
        <f t="shared" si="14"/>
        <v>171.54</v>
      </c>
      <c r="Y21" s="2"/>
      <c r="Z21" s="6">
        <f t="shared" si="15"/>
        <v>0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8"/>
        <v>0</v>
      </c>
      <c r="G22" s="2"/>
      <c r="H22" s="7"/>
      <c r="I22" s="2"/>
      <c r="J22" s="6">
        <f t="shared" si="9"/>
        <v>0</v>
      </c>
      <c r="K22" s="2"/>
      <c r="L22" s="7">
        <f t="shared" si="10"/>
        <v>0</v>
      </c>
      <c r="M22" s="2"/>
      <c r="N22" s="6">
        <f t="shared" si="11"/>
        <v>0</v>
      </c>
      <c r="O22" s="11"/>
      <c r="P22" s="7">
        <v>699.3</v>
      </c>
      <c r="Q22" s="2"/>
      <c r="R22" s="6">
        <f t="shared" si="12"/>
        <v>0</v>
      </c>
      <c r="S22" s="2"/>
      <c r="T22" s="7"/>
      <c r="U22" s="2"/>
      <c r="V22" s="6">
        <f t="shared" si="13"/>
        <v>0</v>
      </c>
      <c r="W22" s="2"/>
      <c r="X22" s="7">
        <f t="shared" si="14"/>
        <v>699.3</v>
      </c>
      <c r="Y22" s="2"/>
      <c r="Z22" s="6">
        <f t="shared" si="15"/>
        <v>0</v>
      </c>
    </row>
    <row r="23" spans="1:26" s="24" customFormat="1" hidden="1" outlineLevel="2" x14ac:dyDescent="0.25">
      <c r="A23" s="25"/>
      <c r="B23" s="11" t="str">
        <f>CONCATENATE("          ", "6115", " - ", "P.E.R.S.")</f>
        <v xml:space="preserve">          6115 - P.E.R.S.</v>
      </c>
      <c r="C23" s="11"/>
      <c r="D23" s="7"/>
      <c r="E23" s="2"/>
      <c r="F23" s="6">
        <f t="shared" si="8"/>
        <v>0</v>
      </c>
      <c r="G23" s="2"/>
      <c r="H23" s="7"/>
      <c r="I23" s="2"/>
      <c r="J23" s="6">
        <f t="shared" si="9"/>
        <v>0</v>
      </c>
      <c r="K23" s="2"/>
      <c r="L23" s="7">
        <f t="shared" si="10"/>
        <v>0</v>
      </c>
      <c r="M23" s="2"/>
      <c r="N23" s="6">
        <f t="shared" si="11"/>
        <v>0</v>
      </c>
      <c r="O23" s="11"/>
      <c r="P23" s="7">
        <v>355.22</v>
      </c>
      <c r="Q23" s="2"/>
      <c r="R23" s="6">
        <f t="shared" si="12"/>
        <v>0</v>
      </c>
      <c r="S23" s="2"/>
      <c r="T23" s="7"/>
      <c r="U23" s="2"/>
      <c r="V23" s="6">
        <f t="shared" si="13"/>
        <v>0</v>
      </c>
      <c r="W23" s="2"/>
      <c r="X23" s="7">
        <f t="shared" si="14"/>
        <v>355.22</v>
      </c>
      <c r="Y23" s="2"/>
      <c r="Z23" s="6">
        <f t="shared" si="15"/>
        <v>0</v>
      </c>
    </row>
    <row r="24" spans="1:26" s="24" customFormat="1" hidden="1" outlineLevel="2" x14ac:dyDescent="0.25">
      <c r="A24" s="25"/>
      <c r="B24" s="11" t="str">
        <f>CONCATENATE("          ", "6118", " - ", "VACATION")</f>
        <v xml:space="preserve">          6118 - VACATION</v>
      </c>
      <c r="C24" s="11"/>
      <c r="D24" s="7"/>
      <c r="E24" s="2"/>
      <c r="F24" s="6">
        <f t="shared" si="8"/>
        <v>0</v>
      </c>
      <c r="G24" s="2"/>
      <c r="H24" s="7"/>
      <c r="I24" s="2"/>
      <c r="J24" s="6">
        <f t="shared" si="9"/>
        <v>0</v>
      </c>
      <c r="K24" s="2"/>
      <c r="L24" s="7">
        <f t="shared" si="10"/>
        <v>0</v>
      </c>
      <c r="M24" s="2"/>
      <c r="N24" s="6">
        <f t="shared" si="11"/>
        <v>0</v>
      </c>
      <c r="O24" s="11"/>
      <c r="P24" s="7">
        <v>88.46</v>
      </c>
      <c r="Q24" s="2"/>
      <c r="R24" s="6">
        <f t="shared" si="12"/>
        <v>0</v>
      </c>
      <c r="S24" s="2"/>
      <c r="T24" s="7"/>
      <c r="U24" s="2"/>
      <c r="V24" s="6">
        <f t="shared" si="13"/>
        <v>0</v>
      </c>
      <c r="W24" s="2"/>
      <c r="X24" s="7">
        <f t="shared" si="14"/>
        <v>88.46</v>
      </c>
      <c r="Y24" s="2"/>
      <c r="Z24" s="6">
        <f t="shared" si="15"/>
        <v>0</v>
      </c>
    </row>
    <row r="25" spans="1:26" s="24" customFormat="1" hidden="1" outlineLevel="2" x14ac:dyDescent="0.25">
      <c r="A25" s="25"/>
      <c r="B25" s="11" t="str">
        <f>CONCATENATE("          ", "6119", " - ", "SICK LEAVE")</f>
        <v xml:space="preserve">          6119 - SICK LEAVE</v>
      </c>
      <c r="C25" s="11"/>
      <c r="D25" s="7"/>
      <c r="E25" s="2"/>
      <c r="F25" s="6">
        <f t="shared" si="8"/>
        <v>0</v>
      </c>
      <c r="G25" s="2"/>
      <c r="H25" s="7"/>
      <c r="I25" s="2"/>
      <c r="J25" s="6">
        <f t="shared" si="9"/>
        <v>0</v>
      </c>
      <c r="K25" s="2"/>
      <c r="L25" s="7">
        <f t="shared" si="10"/>
        <v>0</v>
      </c>
      <c r="M25" s="2"/>
      <c r="N25" s="6">
        <f t="shared" si="11"/>
        <v>0</v>
      </c>
      <c r="O25" s="11"/>
      <c r="P25" s="7">
        <v>105.98</v>
      </c>
      <c r="Q25" s="2"/>
      <c r="R25" s="6">
        <f t="shared" si="12"/>
        <v>0</v>
      </c>
      <c r="S25" s="2"/>
      <c r="T25" s="7"/>
      <c r="U25" s="2"/>
      <c r="V25" s="6">
        <f t="shared" si="13"/>
        <v>0</v>
      </c>
      <c r="W25" s="2"/>
      <c r="X25" s="7">
        <f t="shared" si="14"/>
        <v>105.98</v>
      </c>
      <c r="Y25" s="2"/>
      <c r="Z25" s="6">
        <f t="shared" si="15"/>
        <v>0</v>
      </c>
    </row>
    <row r="26" spans="1:26" s="27" customFormat="1" outlineLevel="1" collapsed="1" x14ac:dyDescent="0.25">
      <c r="A26" s="26"/>
      <c r="B26" s="13" t="str">
        <f>CONCATENATE("     ","*Payroll                                          ")</f>
        <v xml:space="preserve">     *Payroll                                          </v>
      </c>
      <c r="C26" s="13"/>
      <c r="D26" s="1">
        <f>SUM(OSRRefD22_1x_0)</f>
        <v>0</v>
      </c>
      <c r="E26" s="1"/>
      <c r="F26" s="5">
        <f t="shared" ref="F26:F34" si="16">IF(D$12=0,0,D26/D$12)</f>
        <v>0</v>
      </c>
      <c r="G26" s="1"/>
      <c r="H26" s="1">
        <f>SUM(OSRRefH22_1x_0)</f>
        <v>0</v>
      </c>
      <c r="I26" s="1"/>
      <c r="J26" s="5">
        <f t="shared" ref="J26:J34" si="17">IF(H$12=0,0,H26/H$12)</f>
        <v>0</v>
      </c>
      <c r="K26" s="1"/>
      <c r="L26" s="1">
        <f t="shared" ref="L26:L34" si="18">+D26-H26</f>
        <v>0</v>
      </c>
      <c r="M26" s="1"/>
      <c r="N26" s="5">
        <f t="shared" ref="N26:N34" si="19">IF(H26=0,0,L26/H26)</f>
        <v>0</v>
      </c>
      <c r="O26" s="13"/>
      <c r="P26" s="1">
        <f>SUM(OSRRefP22_1x_0)</f>
        <v>1378.61</v>
      </c>
      <c r="Q26" s="1"/>
      <c r="R26" s="5">
        <f t="shared" ref="R26:R34" si="20">IF(P$12=0,0,P26/P$12)</f>
        <v>0</v>
      </c>
      <c r="S26" s="1"/>
      <c r="T26" s="1">
        <f>SUM(OSRRefT22_1x_0)</f>
        <v>0</v>
      </c>
      <c r="U26" s="1"/>
      <c r="V26" s="5">
        <f t="shared" ref="V26:V34" si="21">IF(T$12=0,0,T26/T$12)</f>
        <v>0</v>
      </c>
      <c r="W26" s="1"/>
      <c r="X26" s="1">
        <f t="shared" ref="X26:X34" si="22">+P26-T26</f>
        <v>1378.61</v>
      </c>
      <c r="Y26" s="1"/>
      <c r="Z26" s="5">
        <f t="shared" ref="Z26:Z34" si="23">IF(T26=0,0,X26/T26)</f>
        <v>0</v>
      </c>
    </row>
    <row r="27" spans="1:26" s="24" customFormat="1" hidden="1" outlineLevel="2" x14ac:dyDescent="0.25">
      <c r="A27" s="25"/>
      <c r="B27" s="11" t="str">
        <f>CONCATENATE("          ", "6002", " - ", "STAFF SALARIES")</f>
        <v xml:space="preserve">          6002 - STAFF SALARIES</v>
      </c>
      <c r="C27" s="11"/>
      <c r="D27" s="7"/>
      <c r="E27" s="2"/>
      <c r="F27" s="6">
        <f t="shared" si="16"/>
        <v>0</v>
      </c>
      <c r="G27" s="2"/>
      <c r="H27" s="7"/>
      <c r="I27" s="2"/>
      <c r="J27" s="6">
        <f t="shared" si="17"/>
        <v>0</v>
      </c>
      <c r="K27" s="2"/>
      <c r="L27" s="7">
        <f t="shared" si="18"/>
        <v>0</v>
      </c>
      <c r="M27" s="2"/>
      <c r="N27" s="6">
        <f t="shared" si="19"/>
        <v>0</v>
      </c>
      <c r="O27" s="11"/>
      <c r="P27" s="7">
        <v>1378.61</v>
      </c>
      <c r="Q27" s="2"/>
      <c r="R27" s="6">
        <f t="shared" si="20"/>
        <v>0</v>
      </c>
      <c r="S27" s="2"/>
      <c r="T27" s="7"/>
      <c r="U27" s="2"/>
      <c r="V27" s="6">
        <f t="shared" si="21"/>
        <v>0</v>
      </c>
      <c r="W27" s="2"/>
      <c r="X27" s="7">
        <f t="shared" si="22"/>
        <v>1378.61</v>
      </c>
      <c r="Y27" s="2"/>
      <c r="Z27" s="6">
        <f t="shared" si="23"/>
        <v>0</v>
      </c>
    </row>
    <row r="28" spans="1:26" s="27" customFormat="1" outlineLevel="1" collapsed="1" x14ac:dyDescent="0.25">
      <c r="A28" s="26"/>
      <c r="B28" s="13" t="str">
        <f>CONCATENATE("     ","Depreciation                                      ")</f>
        <v xml:space="preserve">     Depreciation                                      </v>
      </c>
      <c r="C28" s="13"/>
      <c r="D28" s="1">
        <f>SUM(OSRRefD22_2x_0)</f>
        <v>1000.91</v>
      </c>
      <c r="E28" s="1"/>
      <c r="F28" s="5">
        <f t="shared" si="16"/>
        <v>0</v>
      </c>
      <c r="G28" s="1"/>
      <c r="H28" s="1">
        <f>SUM(OSRRefH22_2x_0)</f>
        <v>1001</v>
      </c>
      <c r="I28" s="1"/>
      <c r="J28" s="5">
        <f t="shared" si="17"/>
        <v>0</v>
      </c>
      <c r="K28" s="1"/>
      <c r="L28" s="1">
        <f t="shared" si="18"/>
        <v>-9.0000000000031832E-2</v>
      </c>
      <c r="M28" s="1"/>
      <c r="N28" s="5">
        <f t="shared" si="19"/>
        <v>-8.9910089910121704E-5</v>
      </c>
      <c r="O28" s="13"/>
      <c r="P28" s="1">
        <f>SUM(OSRRefP22_2x_0)</f>
        <v>11010.01</v>
      </c>
      <c r="Q28" s="1"/>
      <c r="R28" s="5">
        <f t="shared" si="20"/>
        <v>0</v>
      </c>
      <c r="S28" s="1"/>
      <c r="T28" s="1">
        <f>SUM(OSRRefT22_2x_0)</f>
        <v>11011</v>
      </c>
      <c r="U28" s="1"/>
      <c r="V28" s="5">
        <f t="shared" si="21"/>
        <v>0</v>
      </c>
      <c r="W28" s="1"/>
      <c r="X28" s="1">
        <f t="shared" si="22"/>
        <v>-0.98999999999978172</v>
      </c>
      <c r="Y28" s="1"/>
      <c r="Z28" s="5">
        <f t="shared" si="23"/>
        <v>-8.9910089910070083E-5</v>
      </c>
    </row>
    <row r="29" spans="1:26" s="24" customFormat="1" hidden="1" outlineLevel="2" x14ac:dyDescent="0.25">
      <c r="A29" s="25"/>
      <c r="B29" s="11" t="str">
        <f>CONCATENATE("          ", "6322", " - ", "EQUIPMENT DEPRECIATION EXPENSE")</f>
        <v xml:space="preserve">          6322 - EQUIPMENT DEPRECIATION EXPENSE</v>
      </c>
      <c r="C29" s="11"/>
      <c r="D29" s="7">
        <v>1000.91</v>
      </c>
      <c r="E29" s="2"/>
      <c r="F29" s="6">
        <f t="shared" si="16"/>
        <v>0</v>
      </c>
      <c r="G29" s="2"/>
      <c r="H29" s="7">
        <v>1001</v>
      </c>
      <c r="I29" s="2"/>
      <c r="J29" s="6">
        <f t="shared" si="17"/>
        <v>0</v>
      </c>
      <c r="K29" s="2"/>
      <c r="L29" s="7">
        <f t="shared" si="18"/>
        <v>-9.0000000000031832E-2</v>
      </c>
      <c r="M29" s="2"/>
      <c r="N29" s="6">
        <f t="shared" si="19"/>
        <v>-8.9910089910121704E-5</v>
      </c>
      <c r="O29" s="11"/>
      <c r="P29" s="7">
        <v>11010.01</v>
      </c>
      <c r="Q29" s="2"/>
      <c r="R29" s="6">
        <f t="shared" si="20"/>
        <v>0</v>
      </c>
      <c r="S29" s="2"/>
      <c r="T29" s="7">
        <v>11011</v>
      </c>
      <c r="U29" s="2"/>
      <c r="V29" s="6">
        <f t="shared" si="21"/>
        <v>0</v>
      </c>
      <c r="W29" s="2"/>
      <c r="X29" s="7">
        <f t="shared" si="22"/>
        <v>-0.98999999999978172</v>
      </c>
      <c r="Y29" s="2"/>
      <c r="Z29" s="6">
        <f t="shared" si="23"/>
        <v>-8.9910089910070083E-5</v>
      </c>
    </row>
    <row r="30" spans="1:26" s="27" customFormat="1" outlineLevel="1" collapsed="1" x14ac:dyDescent="0.25">
      <c r="A30" s="26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SUM(OSRRefD22_3x_0)</f>
        <v>0</v>
      </c>
      <c r="E30" s="1"/>
      <c r="F30" s="5">
        <f t="shared" si="16"/>
        <v>0</v>
      </c>
      <c r="G30" s="1"/>
      <c r="H30" s="1">
        <f>SUM(OSRRefH22_3x_0)</f>
        <v>0</v>
      </c>
      <c r="I30" s="1"/>
      <c r="J30" s="5">
        <f t="shared" si="17"/>
        <v>0</v>
      </c>
      <c r="K30" s="1"/>
      <c r="L30" s="1">
        <f t="shared" si="18"/>
        <v>0</v>
      </c>
      <c r="M30" s="1"/>
      <c r="N30" s="5">
        <f t="shared" si="19"/>
        <v>0</v>
      </c>
      <c r="O30" s="13"/>
      <c r="P30" s="1">
        <f>SUM(OSRRefP22_3x_0)</f>
        <v>455</v>
      </c>
      <c r="Q30" s="1"/>
      <c r="R30" s="5">
        <f t="shared" si="20"/>
        <v>0</v>
      </c>
      <c r="S30" s="1"/>
      <c r="T30" s="1">
        <f>SUM(OSRRefT22_3x_0)</f>
        <v>0</v>
      </c>
      <c r="U30" s="1"/>
      <c r="V30" s="5">
        <f t="shared" si="21"/>
        <v>0</v>
      </c>
      <c r="W30" s="1"/>
      <c r="X30" s="1">
        <f t="shared" si="22"/>
        <v>455</v>
      </c>
      <c r="Y30" s="1"/>
      <c r="Z30" s="5">
        <f t="shared" si="23"/>
        <v>0</v>
      </c>
    </row>
    <row r="31" spans="1:26" s="24" customFormat="1" hidden="1" outlineLevel="2" x14ac:dyDescent="0.25">
      <c r="A31" s="25"/>
      <c r="B31" s="11" t="str">
        <f>CONCATENATE("          ", "6279", " - ", "GENERAL EXPENSE")</f>
        <v xml:space="preserve">          6279 - GENERAL EXPENSE</v>
      </c>
      <c r="C31" s="11"/>
      <c r="D31" s="7"/>
      <c r="E31" s="2"/>
      <c r="F31" s="6">
        <f t="shared" si="16"/>
        <v>0</v>
      </c>
      <c r="G31" s="2"/>
      <c r="H31" s="7"/>
      <c r="I31" s="2"/>
      <c r="J31" s="6">
        <f t="shared" si="17"/>
        <v>0</v>
      </c>
      <c r="K31" s="2"/>
      <c r="L31" s="7">
        <f t="shared" si="18"/>
        <v>0</v>
      </c>
      <c r="M31" s="2"/>
      <c r="N31" s="6">
        <f t="shared" si="19"/>
        <v>0</v>
      </c>
      <c r="O31" s="11"/>
      <c r="P31" s="7">
        <v>455</v>
      </c>
      <c r="Q31" s="2"/>
      <c r="R31" s="6">
        <f t="shared" si="20"/>
        <v>0</v>
      </c>
      <c r="S31" s="2"/>
      <c r="T31" s="7"/>
      <c r="U31" s="2"/>
      <c r="V31" s="6">
        <f t="shared" si="21"/>
        <v>0</v>
      </c>
      <c r="W31" s="2"/>
      <c r="X31" s="7">
        <f t="shared" si="22"/>
        <v>455</v>
      </c>
      <c r="Y31" s="2"/>
      <c r="Z31" s="6">
        <f t="shared" si="23"/>
        <v>0</v>
      </c>
    </row>
    <row r="32" spans="1:26" s="27" customFormat="1" outlineLevel="1" collapsed="1" x14ac:dyDescent="0.25">
      <c r="A32" s="26"/>
      <c r="B32" s="13" t="str">
        <f>CONCATENATE("     ","Repair and Maintenance                            ")</f>
        <v xml:space="preserve">     Repair and Maintenance                            </v>
      </c>
      <c r="C32" s="13"/>
      <c r="D32" s="1">
        <f>SUM(OSRRefD22_4x_0)</f>
        <v>0</v>
      </c>
      <c r="E32" s="1"/>
      <c r="F32" s="5">
        <f t="shared" si="16"/>
        <v>0</v>
      </c>
      <c r="G32" s="1"/>
      <c r="H32" s="1">
        <f>SUM(OSRRefH22_4x_0)</f>
        <v>0</v>
      </c>
      <c r="I32" s="1"/>
      <c r="J32" s="5">
        <f t="shared" si="17"/>
        <v>0</v>
      </c>
      <c r="K32" s="1"/>
      <c r="L32" s="1">
        <f t="shared" si="18"/>
        <v>0</v>
      </c>
      <c r="M32" s="1"/>
      <c r="N32" s="5">
        <f t="shared" si="19"/>
        <v>0</v>
      </c>
      <c r="O32" s="13"/>
      <c r="P32" s="1">
        <f>SUM(OSRRefP22_4x_0)</f>
        <v>242.03</v>
      </c>
      <c r="Q32" s="1"/>
      <c r="R32" s="5">
        <f t="shared" si="20"/>
        <v>0</v>
      </c>
      <c r="S32" s="1"/>
      <c r="T32" s="1">
        <f>SUM(OSRRefT22_4x_0)</f>
        <v>0</v>
      </c>
      <c r="U32" s="1"/>
      <c r="V32" s="5">
        <f t="shared" si="21"/>
        <v>0</v>
      </c>
      <c r="W32" s="1"/>
      <c r="X32" s="1">
        <f t="shared" si="22"/>
        <v>242.03</v>
      </c>
      <c r="Y32" s="1"/>
      <c r="Z32" s="5">
        <f t="shared" si="23"/>
        <v>0</v>
      </c>
    </row>
    <row r="33" spans="1:26" s="24" customFormat="1" hidden="1" outlineLevel="2" x14ac:dyDescent="0.25">
      <c r="A33" s="25"/>
      <c r="B33" s="11" t="str">
        <f>CONCATENATE("          ", "6373", " - ", "MAINTENANCE CONTRACTS")</f>
        <v xml:space="preserve">          6373 - MAINTENANCE CONTRACTS</v>
      </c>
      <c r="C33" s="11"/>
      <c r="D33" s="7"/>
      <c r="E33" s="2"/>
      <c r="F33" s="6">
        <f t="shared" si="16"/>
        <v>0</v>
      </c>
      <c r="G33" s="2"/>
      <c r="H33" s="7"/>
      <c r="I33" s="2"/>
      <c r="J33" s="6">
        <f t="shared" si="17"/>
        <v>0</v>
      </c>
      <c r="K33" s="2"/>
      <c r="L33" s="7">
        <f t="shared" si="18"/>
        <v>0</v>
      </c>
      <c r="M33" s="2"/>
      <c r="N33" s="6">
        <f t="shared" si="19"/>
        <v>0</v>
      </c>
      <c r="O33" s="11"/>
      <c r="P33" s="7">
        <v>235.8</v>
      </c>
      <c r="Q33" s="2"/>
      <c r="R33" s="6">
        <f t="shared" si="20"/>
        <v>0</v>
      </c>
      <c r="S33" s="2"/>
      <c r="T33" s="7"/>
      <c r="U33" s="2"/>
      <c r="V33" s="6">
        <f t="shared" si="21"/>
        <v>0</v>
      </c>
      <c r="W33" s="2"/>
      <c r="X33" s="7">
        <f t="shared" si="22"/>
        <v>235.8</v>
      </c>
      <c r="Y33" s="2"/>
      <c r="Z33" s="6">
        <f t="shared" si="23"/>
        <v>0</v>
      </c>
    </row>
    <row r="34" spans="1:26" s="24" customFormat="1" hidden="1" outlineLevel="2" x14ac:dyDescent="0.25">
      <c r="A34" s="25"/>
      <c r="B34" s="11" t="str">
        <f>CONCATENATE("          ", "6375", " - ", "OUTSIDE REPAIRS &amp; MAINTENANCE")</f>
        <v xml:space="preserve">          6375 - OUTSIDE REPAIRS &amp; MAINTENANCE</v>
      </c>
      <c r="C34" s="11"/>
      <c r="D34" s="7"/>
      <c r="E34" s="2"/>
      <c r="F34" s="6">
        <f t="shared" si="16"/>
        <v>0</v>
      </c>
      <c r="G34" s="2"/>
      <c r="H34" s="7"/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>
        <v>6.23</v>
      </c>
      <c r="Q34" s="2"/>
      <c r="R34" s="6">
        <f t="shared" si="20"/>
        <v>0</v>
      </c>
      <c r="S34" s="2"/>
      <c r="T34" s="7"/>
      <c r="U34" s="2"/>
      <c r="V34" s="6">
        <f t="shared" si="21"/>
        <v>0</v>
      </c>
      <c r="W34" s="2"/>
      <c r="X34" s="7">
        <f t="shared" si="22"/>
        <v>6.23</v>
      </c>
      <c r="Y34" s="2"/>
      <c r="Z34" s="6">
        <f t="shared" si="23"/>
        <v>0</v>
      </c>
    </row>
    <row r="35" spans="1:26" s="27" customFormat="1" outlineLevel="1" collapsed="1" x14ac:dyDescent="0.25">
      <c r="A35" s="26"/>
      <c r="B35" s="13" t="str">
        <f>CONCATENATE("     ","Telephone/Data Lines                              ")</f>
        <v xml:space="preserve">     Telephone/Data Lines                              </v>
      </c>
      <c r="C35" s="13"/>
      <c r="D35" s="1">
        <f>SUM(OSRRefD22_5x_0)</f>
        <v>0</v>
      </c>
      <c r="E35" s="1"/>
      <c r="F35" s="5">
        <f t="shared" ref="F35:F36" si="24">IF(D$12=0,0,D35/D$12)</f>
        <v>0</v>
      </c>
      <c r="G35" s="1"/>
      <c r="H35" s="1">
        <f>SUM(OSRRefH22_5x_0)</f>
        <v>0</v>
      </c>
      <c r="I35" s="1"/>
      <c r="J35" s="5">
        <f t="shared" ref="J35:J36" si="25">IF(H$12=0,0,H35/H$12)</f>
        <v>0</v>
      </c>
      <c r="K35" s="1"/>
      <c r="L35" s="1">
        <f t="shared" ref="L35:L36" si="26">+D35-H35</f>
        <v>0</v>
      </c>
      <c r="M35" s="1"/>
      <c r="N35" s="5">
        <f t="shared" ref="N35:N36" si="27">IF(H35=0,0,L35/H35)</f>
        <v>0</v>
      </c>
      <c r="O35" s="13"/>
      <c r="P35" s="1">
        <f>SUM(OSRRefP22_5x_0)</f>
        <v>132.54</v>
      </c>
      <c r="Q35" s="1"/>
      <c r="R35" s="5">
        <f t="shared" ref="R35:R36" si="28">IF(P$12=0,0,P35/P$12)</f>
        <v>0</v>
      </c>
      <c r="S35" s="1"/>
      <c r="T35" s="1">
        <f>SUM(OSRRefT22_5x_0)</f>
        <v>0</v>
      </c>
      <c r="U35" s="1"/>
      <c r="V35" s="5">
        <f t="shared" ref="V35:V36" si="29">IF(T$12=0,0,T35/T$12)</f>
        <v>0</v>
      </c>
      <c r="W35" s="1"/>
      <c r="X35" s="1">
        <f t="shared" ref="X35:X36" si="30">+P35-T35</f>
        <v>132.54</v>
      </c>
      <c r="Y35" s="1"/>
      <c r="Z35" s="5">
        <f t="shared" ref="Z35:Z36" si="31">IF(T35=0,0,X35/T35)</f>
        <v>0</v>
      </c>
    </row>
    <row r="36" spans="1:26" s="24" customFormat="1" hidden="1" outlineLevel="2" x14ac:dyDescent="0.25">
      <c r="A36" s="25"/>
      <c r="B36" s="11" t="str">
        <f>CONCATENATE("          ", "6309", " - ", "TELEPHONE")</f>
        <v xml:space="preserve">          6309 - TELEPHONE</v>
      </c>
      <c r="C36" s="11"/>
      <c r="D36" s="7"/>
      <c r="E36" s="2"/>
      <c r="F36" s="6">
        <f t="shared" si="24"/>
        <v>0</v>
      </c>
      <c r="G36" s="2"/>
      <c r="H36" s="7"/>
      <c r="I36" s="2"/>
      <c r="J36" s="6">
        <f t="shared" si="25"/>
        <v>0</v>
      </c>
      <c r="K36" s="2"/>
      <c r="L36" s="7">
        <f t="shared" si="26"/>
        <v>0</v>
      </c>
      <c r="M36" s="2"/>
      <c r="N36" s="6">
        <f t="shared" si="27"/>
        <v>0</v>
      </c>
      <c r="O36" s="11"/>
      <c r="P36" s="7">
        <v>132.54</v>
      </c>
      <c r="Q36" s="2"/>
      <c r="R36" s="6">
        <f t="shared" si="28"/>
        <v>0</v>
      </c>
      <c r="S36" s="2"/>
      <c r="T36" s="7"/>
      <c r="U36" s="2"/>
      <c r="V36" s="6">
        <f t="shared" si="29"/>
        <v>0</v>
      </c>
      <c r="W36" s="2"/>
      <c r="X36" s="7">
        <f t="shared" si="30"/>
        <v>132.54</v>
      </c>
      <c r="Y36" s="2"/>
      <c r="Z36" s="6">
        <f t="shared" si="31"/>
        <v>0</v>
      </c>
    </row>
    <row r="37" spans="1:26" s="56" customFormat="1" x14ac:dyDescent="0.25">
      <c r="A37" s="36"/>
      <c r="B37" s="36"/>
      <c r="C37" s="36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6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9" t="s">
        <v>293</v>
      </c>
      <c r="C38" s="10"/>
      <c r="D38" s="4">
        <f>SUM(0)</f>
        <v>0</v>
      </c>
      <c r="E38" s="4"/>
      <c r="F38" s="12">
        <f>IF(D$12=0,0,D38/D$12)</f>
        <v>0</v>
      </c>
      <c r="G38" s="4"/>
      <c r="H38" s="4">
        <f>SUM(0)</f>
        <v>0</v>
      </c>
      <c r="I38" s="4"/>
      <c r="J38" s="12">
        <f>IF(H$12=0,0,H38/H$12)</f>
        <v>0</v>
      </c>
      <c r="K38" s="4"/>
      <c r="L38" s="4">
        <f>+D38-H38</f>
        <v>0</v>
      </c>
      <c r="M38" s="4"/>
      <c r="N38" s="12">
        <f>IF(H38=0,0,L38/H38)</f>
        <v>0</v>
      </c>
      <c r="O38" s="10"/>
      <c r="P38" s="4">
        <f>SUM(0)</f>
        <v>0</v>
      </c>
      <c r="Q38" s="4"/>
      <c r="R38" s="12">
        <f>IF(P$12=0,0,P38/P$12)</f>
        <v>0</v>
      </c>
      <c r="S38" s="4"/>
      <c r="T38" s="4">
        <f>SUM(0)</f>
        <v>0</v>
      </c>
      <c r="U38" s="4"/>
      <c r="V38" s="12">
        <f>IF(T$12=0,0,T38/T$12)</f>
        <v>0</v>
      </c>
      <c r="W38" s="4"/>
      <c r="X38" s="4">
        <f>+P38-T38</f>
        <v>0</v>
      </c>
      <c r="Y38" s="4"/>
      <c r="Z38" s="12">
        <f>IF(T38=0,0,X38/T38)</f>
        <v>0</v>
      </c>
    </row>
    <row r="39" spans="1:26" x14ac:dyDescent="0.25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25">
      <c r="A40" s="10"/>
      <c r="B40" s="28" t="s">
        <v>277</v>
      </c>
      <c r="C40" s="28"/>
      <c r="D40" s="20">
        <f>+D17-D19+D38</f>
        <v>-1000.91</v>
      </c>
      <c r="E40" s="14"/>
      <c r="F40" s="21">
        <f>IF(D$12=0,0,D40/D$12)</f>
        <v>0</v>
      </c>
      <c r="G40" s="14"/>
      <c r="H40" s="20">
        <f>+H17-H19+H38</f>
        <v>-1001</v>
      </c>
      <c r="I40" s="14"/>
      <c r="J40" s="21">
        <f>IF(H$12=0,0,H40/H$12)</f>
        <v>0</v>
      </c>
      <c r="K40" s="15"/>
      <c r="L40" s="20">
        <f>+D40-H40</f>
        <v>9.0000000000031832E-2</v>
      </c>
      <c r="M40" s="15"/>
      <c r="N40" s="21">
        <f>IF(H40=0,0,L40/H40)</f>
        <v>-8.9910089910121704E-5</v>
      </c>
      <c r="O40" s="29"/>
      <c r="P40" s="20">
        <f>+P17-P19+P38</f>
        <v>-8045.2899999999991</v>
      </c>
      <c r="Q40" s="14"/>
      <c r="R40" s="21">
        <f>IF(P$12=0,0,P40/P$12)</f>
        <v>0</v>
      </c>
      <c r="S40" s="14"/>
      <c r="T40" s="20">
        <f>+T17-T19+T38</f>
        <v>-11011</v>
      </c>
      <c r="U40" s="14"/>
      <c r="V40" s="21">
        <f>IF(T$12=0,0,T40/T$12)</f>
        <v>0</v>
      </c>
      <c r="W40" s="15"/>
      <c r="X40" s="20">
        <f>+P40-T40</f>
        <v>2965.7100000000009</v>
      </c>
      <c r="Y40" s="15"/>
      <c r="Z40" s="21">
        <f>IF(T40=0,0,X40/T40)</f>
        <v>-0.26934065934065943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25">
      <c r="A42" s="52"/>
      <c r="B42" s="10" t="s">
        <v>128</v>
      </c>
      <c r="C42" s="10"/>
      <c r="D42" s="4"/>
      <c r="E42" s="4"/>
      <c r="F42" s="12">
        <f>IF(D$12=0,0,D42/D$12)</f>
        <v>0</v>
      </c>
      <c r="G42" s="4"/>
      <c r="H42" s="4"/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/>
      <c r="Q42" s="4"/>
      <c r="R42" s="12">
        <f>IF(P$12=0,0,P42/P$12)</f>
        <v>0</v>
      </c>
      <c r="S42" s="4"/>
      <c r="T42" s="4"/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25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ht="15.75" thickBot="1" x14ac:dyDescent="0.3">
      <c r="A44" s="10"/>
      <c r="B44" s="28" t="s">
        <v>126</v>
      </c>
      <c r="C44" s="28"/>
      <c r="D44" s="35">
        <f>+D40-D42</f>
        <v>-1000.91</v>
      </c>
      <c r="E44" s="14"/>
      <c r="F44" s="34">
        <f>IF(D$12=0,0,D44/D$12)</f>
        <v>0</v>
      </c>
      <c r="G44" s="14"/>
      <c r="H44" s="35">
        <f>+H40-H42</f>
        <v>-1001</v>
      </c>
      <c r="I44" s="14"/>
      <c r="J44" s="34">
        <f>IF(H$12=0,0,H44/H$12)</f>
        <v>0</v>
      </c>
      <c r="K44" s="15"/>
      <c r="L44" s="35">
        <f>D44-H44</f>
        <v>9.0000000000031832E-2</v>
      </c>
      <c r="M44" s="15"/>
      <c r="N44" s="34">
        <f>IF(H44=0,0,L44/H44)</f>
        <v>-8.9910089910121704E-5</v>
      </c>
      <c r="O44" s="29"/>
      <c r="P44" s="35">
        <f>+P40-P42</f>
        <v>-8045.2899999999991</v>
      </c>
      <c r="Q44" s="14"/>
      <c r="R44" s="34">
        <f>IF(P$12=0,0,P44/P$12)</f>
        <v>0</v>
      </c>
      <c r="S44" s="14"/>
      <c r="T44" s="35">
        <f>+T40-T42</f>
        <v>-11011</v>
      </c>
      <c r="U44" s="14"/>
      <c r="V44" s="34">
        <f>IF(T$12=0,0,T44/T$12)</f>
        <v>0</v>
      </c>
      <c r="W44" s="15"/>
      <c r="X44" s="35">
        <f>P44-T44</f>
        <v>2965.7100000000009</v>
      </c>
      <c r="Y44" s="15"/>
      <c r="Z44" s="34">
        <f>IF(T44=0,0,X44/T44)</f>
        <v>-0.26934065934065943</v>
      </c>
    </row>
    <row r="45" spans="1:26" ht="15.75" thickTop="1" x14ac:dyDescent="0.25">
      <c r="A45" s="9"/>
      <c r="B45" s="9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x14ac:dyDescent="0.25">
      <c r="A46" s="9"/>
      <c r="B46" s="9"/>
      <c r="C46" s="9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8" t="s">
        <v>294</v>
      </c>
      <c r="C47" s="28"/>
      <c r="D47" s="33">
        <f>SUM(D44:D46)</f>
        <v>-1000.91</v>
      </c>
      <c r="E47" s="14"/>
      <c r="F47" s="32">
        <f>IF(D$12=0,0,D47/D$12)</f>
        <v>0</v>
      </c>
      <c r="G47" s="14"/>
      <c r="H47" s="33">
        <f>SUM(H44:H46)</f>
        <v>-1001</v>
      </c>
      <c r="I47" s="14"/>
      <c r="J47" s="32">
        <f>IF(H$12=0,0,H47/H$12)</f>
        <v>0</v>
      </c>
      <c r="K47" s="15"/>
      <c r="L47" s="33">
        <f>+D47-H47</f>
        <v>9.0000000000031832E-2</v>
      </c>
      <c r="M47" s="15"/>
      <c r="N47" s="32">
        <f>IF(H47=0,0,L47/H47)</f>
        <v>-8.9910089910121704E-5</v>
      </c>
      <c r="O47" s="29"/>
      <c r="P47" s="33">
        <f>SUM(P44:P46)</f>
        <v>-8045.2899999999991</v>
      </c>
      <c r="Q47" s="14"/>
      <c r="R47" s="32">
        <f>IF(P$12=0,0,P47/P$12)</f>
        <v>0</v>
      </c>
      <c r="S47" s="14"/>
      <c r="T47" s="33">
        <f>SUM(T44:T46)</f>
        <v>-11011</v>
      </c>
      <c r="U47" s="14"/>
      <c r="V47" s="32">
        <f>IF(T$12=0,0,T47/T$12)</f>
        <v>0</v>
      </c>
      <c r="W47" s="15"/>
      <c r="X47" s="33">
        <f>+P47-T47</f>
        <v>2965.7100000000009</v>
      </c>
      <c r="Y47" s="15"/>
      <c r="Z47" s="32">
        <f>IF(T47=0,0,X47/T47)</f>
        <v>-0.26934065934065943</v>
      </c>
    </row>
    <row r="48" spans="1:26" ht="15.75" thickTop="1" x14ac:dyDescent="0.25">
      <c r="A48" s="9"/>
      <c r="C48" s="9"/>
      <c r="D48" s="18"/>
      <c r="E48" s="18"/>
      <c r="G48" s="18"/>
      <c r="H48" s="18"/>
      <c r="I48" s="18"/>
      <c r="J48" s="42"/>
      <c r="K48" s="18"/>
      <c r="L48" s="18"/>
      <c r="M48" s="18"/>
      <c r="P48" s="18"/>
      <c r="Q48" s="18"/>
      <c r="R48" s="42"/>
      <c r="S48" s="18"/>
      <c r="T48" s="18"/>
      <c r="U48" s="18"/>
      <c r="V48" s="42"/>
      <c r="W48" s="18"/>
      <c r="X48" s="18"/>
    </row>
    <row r="49" spans="1:24" x14ac:dyDescent="0.25">
      <c r="A49" s="9"/>
      <c r="B49" s="60">
        <v>44356.891834571761</v>
      </c>
      <c r="D49" s="18"/>
      <c r="E49" s="18"/>
      <c r="G49" s="18"/>
      <c r="H49" s="18"/>
      <c r="I49" s="18"/>
      <c r="J49" s="42"/>
      <c r="K49" s="18"/>
      <c r="L49" s="18"/>
      <c r="M49" s="18"/>
      <c r="P49" s="18"/>
      <c r="Q49" s="18"/>
      <c r="R49" s="42"/>
      <c r="S49" s="18"/>
      <c r="T49" s="18"/>
      <c r="U49" s="18"/>
      <c r="V49" s="42"/>
      <c r="W49" s="18"/>
      <c r="X49" s="18"/>
    </row>
    <row r="50" spans="1:24" x14ac:dyDescent="0.25">
      <c r="A50" s="9"/>
      <c r="B50" s="55" t="s">
        <v>56</v>
      </c>
      <c r="D50" s="18"/>
      <c r="E50" s="18"/>
      <c r="G50" s="18"/>
      <c r="H50" s="18"/>
      <c r="I50" s="18"/>
      <c r="J50" s="42"/>
      <c r="K50" s="18"/>
      <c r="L50" s="18"/>
      <c r="M50" s="18"/>
      <c r="P50" s="18"/>
      <c r="Q50" s="18"/>
      <c r="R50" s="42"/>
      <c r="S50" s="18"/>
      <c r="T50" s="18"/>
      <c r="U50" s="18"/>
      <c r="V50" s="42"/>
      <c r="W50" s="18"/>
      <c r="X50" s="18"/>
    </row>
    <row r="51" spans="1:24" x14ac:dyDescent="0.25">
      <c r="A51" s="9"/>
      <c r="B51" s="63"/>
      <c r="D51" s="18"/>
      <c r="E51" s="18"/>
      <c r="G51" s="18"/>
      <c r="H51" s="18"/>
      <c r="I51" s="18"/>
      <c r="J51" s="42"/>
      <c r="K51" s="18"/>
      <c r="L51" s="18"/>
      <c r="M51" s="18"/>
      <c r="P51" s="18"/>
      <c r="Q51" s="18"/>
      <c r="R51" s="42"/>
      <c r="S51" s="18"/>
      <c r="T51" s="18"/>
      <c r="U51" s="18"/>
      <c r="V51" s="42"/>
      <c r="W51" s="18"/>
      <c r="X51" s="18"/>
    </row>
    <row r="52" spans="1:24" x14ac:dyDescent="0.25">
      <c r="D52" s="18"/>
      <c r="E52" s="18"/>
      <c r="G52" s="18"/>
      <c r="H52" s="18"/>
      <c r="I52" s="18"/>
      <c r="J52" s="42"/>
      <c r="K52" s="18"/>
      <c r="L52" s="18"/>
      <c r="M52" s="18"/>
      <c r="P52" s="18"/>
      <c r="Q52" s="18"/>
      <c r="R52" s="42"/>
      <c r="S52" s="18"/>
      <c r="T52" s="18"/>
      <c r="U52" s="18"/>
      <c r="V52" s="42"/>
      <c r="W52" s="18"/>
      <c r="X52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","455", " - ", "Vending (old)")</f>
        <v>Department 455 - Vending (old)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SUM(0)</f>
        <v>0</v>
      </c>
      <c r="E18" s="22"/>
      <c r="F18" s="31">
        <f>IF(D$12=0,0,D18/D$12)</f>
        <v>0</v>
      </c>
      <c r="G18" s="22"/>
      <c r="H18" s="22">
        <f>SUM(0)</f>
        <v>0</v>
      </c>
      <c r="I18" s="22"/>
      <c r="J18" s="31">
        <f>IF(H$12=0,0,H18/H$12)</f>
        <v>0</v>
      </c>
      <c r="K18" s="4"/>
      <c r="L18" s="22">
        <f>+D18-H18</f>
        <v>0</v>
      </c>
      <c r="M18" s="4"/>
      <c r="N18" s="31">
        <f>IF(H18=0,0,L18/H18)</f>
        <v>0</v>
      </c>
      <c r="O18" s="10"/>
      <c r="P18" s="22">
        <f>SUM(0)</f>
        <v>0</v>
      </c>
      <c r="Q18" s="22"/>
      <c r="R18" s="31">
        <f>IF(P$12=0,0,P18/P$12)</f>
        <v>0</v>
      </c>
      <c r="S18" s="22"/>
      <c r="T18" s="22">
        <f>SUM(0)</f>
        <v>0</v>
      </c>
      <c r="U18" s="22"/>
      <c r="V18" s="31">
        <f>IF(T$12=0,0,T18/T$12)</f>
        <v>0</v>
      </c>
      <c r="W18" s="4"/>
      <c r="X18" s="22">
        <f>+P18-T18</f>
        <v>0</v>
      </c>
      <c r="Y18" s="4"/>
      <c r="Z18" s="31">
        <f>IF(T18=0,0,X18/T18)</f>
        <v>0</v>
      </c>
    </row>
    <row r="19" spans="1:26" s="56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25">
      <c r="A20" s="10"/>
      <c r="B20" s="29" t="s">
        <v>293</v>
      </c>
      <c r="C20" s="10"/>
      <c r="D20" s="4">
        <f>SUM(OSRRefD25x_0)</f>
        <v>32.82</v>
      </c>
      <c r="E20" s="4"/>
      <c r="F20" s="12">
        <f t="shared" ref="F20:F22" si="0">IF(D$12=0,0,D20/D$12)</f>
        <v>0</v>
      </c>
      <c r="G20" s="4"/>
      <c r="H20" s="4">
        <f>SUM(OSRRefH25x_0)</f>
        <v>0</v>
      </c>
      <c r="I20" s="4"/>
      <c r="J20" s="12">
        <f t="shared" ref="J20:J22" si="1">IF(H$12=0,0,H20/H$12)</f>
        <v>0</v>
      </c>
      <c r="K20" s="4"/>
      <c r="L20" s="4">
        <f t="shared" ref="L20:L22" si="2">+D20-H20</f>
        <v>32.82</v>
      </c>
      <c r="M20" s="4"/>
      <c r="N20" s="12">
        <f t="shared" ref="N20:N22" si="3">IF(H20=0,0,L20/H20)</f>
        <v>0</v>
      </c>
      <c r="O20" s="10"/>
      <c r="P20" s="4">
        <f>SUM(OSRRefP25x_0)</f>
        <v>16320.39</v>
      </c>
      <c r="Q20" s="4"/>
      <c r="R20" s="12">
        <f t="shared" ref="R20:R22" si="4">IF(P$12=0,0,P20/P$12)</f>
        <v>0</v>
      </c>
      <c r="S20" s="4"/>
      <c r="T20" s="4">
        <f>SUM(OSRRefT25x_0)</f>
        <v>0</v>
      </c>
      <c r="U20" s="4"/>
      <c r="V20" s="12">
        <f t="shared" ref="V20:V22" si="5">IF(T$12=0,0,T20/T$12)</f>
        <v>0</v>
      </c>
      <c r="W20" s="4"/>
      <c r="X20" s="4">
        <f t="shared" ref="X20:X22" si="6">+P20-T20</f>
        <v>16320.39</v>
      </c>
      <c r="Y20" s="4"/>
      <c r="Z20" s="12">
        <f t="shared" ref="Z20:Z22" si="7">IF(T20=0,0,X20/T20)</f>
        <v>0</v>
      </c>
    </row>
    <row r="21" spans="1:26" s="24" customFormat="1" hidden="1" outlineLevel="1" x14ac:dyDescent="0.25">
      <c r="A21" s="44"/>
      <c r="B21" s="11" t="str">
        <f>CONCATENATE("          ", "9160", " - ", "MISC. INCOME")</f>
        <v xml:space="preserve">          9160 - MISC. INCOME</v>
      </c>
      <c r="C21" s="11"/>
      <c r="D21" s="2">
        <f>0</f>
        <v>0</v>
      </c>
      <c r="E21" s="2"/>
      <c r="F21" s="19">
        <f t="shared" si="0"/>
        <v>0</v>
      </c>
      <c r="G21" s="2"/>
      <c r="H21" s="2"/>
      <c r="I21" s="2"/>
      <c r="J21" s="19">
        <f t="shared" si="1"/>
        <v>0</v>
      </c>
      <c r="K21" s="2"/>
      <c r="L21" s="2">
        <f t="shared" si="2"/>
        <v>0</v>
      </c>
      <c r="M21" s="2"/>
      <c r="N21" s="19">
        <f t="shared" si="3"/>
        <v>0</v>
      </c>
      <c r="O21" s="11"/>
      <c r="P21" s="2">
        <f>--12798.71</f>
        <v>12798.71</v>
      </c>
      <c r="Q21" s="2"/>
      <c r="R21" s="19">
        <f t="shared" si="4"/>
        <v>0</v>
      </c>
      <c r="S21" s="2"/>
      <c r="T21" s="2"/>
      <c r="U21" s="2"/>
      <c r="V21" s="19">
        <f t="shared" si="5"/>
        <v>0</v>
      </c>
      <c r="W21" s="2"/>
      <c r="X21" s="2">
        <f t="shared" si="6"/>
        <v>12798.71</v>
      </c>
      <c r="Y21" s="2"/>
      <c r="Z21" s="19">
        <f t="shared" si="7"/>
        <v>0</v>
      </c>
    </row>
    <row r="22" spans="1:26" s="24" customFormat="1" hidden="1" outlineLevel="1" x14ac:dyDescent="0.25">
      <c r="A22" s="44"/>
      <c r="B22" s="11" t="str">
        <f>CONCATENATE("          ", "9165", " - ", "OTHER INCOME")</f>
        <v xml:space="preserve">          9165 - OTHER INCOME</v>
      </c>
      <c r="C22" s="11"/>
      <c r="D22" s="2">
        <f>--32.82</f>
        <v>32.82</v>
      </c>
      <c r="E22" s="2"/>
      <c r="F22" s="19">
        <f t="shared" si="0"/>
        <v>0</v>
      </c>
      <c r="G22" s="2"/>
      <c r="H22" s="2"/>
      <c r="I22" s="2"/>
      <c r="J22" s="19">
        <f t="shared" si="1"/>
        <v>0</v>
      </c>
      <c r="K22" s="2"/>
      <c r="L22" s="2">
        <f t="shared" si="2"/>
        <v>32.82</v>
      </c>
      <c r="M22" s="2"/>
      <c r="N22" s="19">
        <f t="shared" si="3"/>
        <v>0</v>
      </c>
      <c r="O22" s="11"/>
      <c r="P22" s="2">
        <f>--3521.68</f>
        <v>3521.68</v>
      </c>
      <c r="Q22" s="2"/>
      <c r="R22" s="19">
        <f t="shared" si="4"/>
        <v>0</v>
      </c>
      <c r="S22" s="2"/>
      <c r="T22" s="2"/>
      <c r="U22" s="2"/>
      <c r="V22" s="19">
        <f t="shared" si="5"/>
        <v>0</v>
      </c>
      <c r="W22" s="2"/>
      <c r="X22" s="2">
        <f t="shared" si="6"/>
        <v>3521.68</v>
      </c>
      <c r="Y22" s="2"/>
      <c r="Z22" s="19">
        <f t="shared" si="7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277</v>
      </c>
      <c r="C24" s="28"/>
      <c r="D24" s="20">
        <f>+D16-D18+D20</f>
        <v>32.82</v>
      </c>
      <c r="E24" s="14"/>
      <c r="F24" s="21">
        <f>IF(D$12=0,0,D24/D$12)</f>
        <v>0</v>
      </c>
      <c r="G24" s="14"/>
      <c r="H24" s="20">
        <f>+H16-H18+H20</f>
        <v>0</v>
      </c>
      <c r="I24" s="14"/>
      <c r="J24" s="21">
        <f>IF(H$12=0,0,H24/H$12)</f>
        <v>0</v>
      </c>
      <c r="K24" s="15"/>
      <c r="L24" s="20">
        <f>+D24-H24</f>
        <v>32.82</v>
      </c>
      <c r="M24" s="15"/>
      <c r="N24" s="21">
        <f>IF(H24=0,0,L24/H24)</f>
        <v>0</v>
      </c>
      <c r="O24" s="29"/>
      <c r="P24" s="20">
        <f>+P16-P18+P20</f>
        <v>16320.39</v>
      </c>
      <c r="Q24" s="14"/>
      <c r="R24" s="21">
        <f>IF(P$12=0,0,P24/P$12)</f>
        <v>0</v>
      </c>
      <c r="S24" s="14"/>
      <c r="T24" s="20">
        <f>+T16-T18+T20</f>
        <v>0</v>
      </c>
      <c r="U24" s="14"/>
      <c r="V24" s="21">
        <f>IF(T$12=0,0,T24/T$12)</f>
        <v>0</v>
      </c>
      <c r="W24" s="15"/>
      <c r="X24" s="20">
        <f>+P24-T24</f>
        <v>16320.39</v>
      </c>
      <c r="Y24" s="15"/>
      <c r="Z24" s="21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128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8" t="s">
        <v>126</v>
      </c>
      <c r="C28" s="28"/>
      <c r="D28" s="35">
        <f>+D24-D26</f>
        <v>32.82</v>
      </c>
      <c r="E28" s="14"/>
      <c r="F28" s="34">
        <f>IF(D$12=0,0,D28/D$12)</f>
        <v>0</v>
      </c>
      <c r="G28" s="14"/>
      <c r="H28" s="35">
        <f>+H24-H26</f>
        <v>0</v>
      </c>
      <c r="I28" s="14"/>
      <c r="J28" s="34">
        <f>IF(H$12=0,0,H28/H$12)</f>
        <v>0</v>
      </c>
      <c r="K28" s="15"/>
      <c r="L28" s="35">
        <f>D28-H28</f>
        <v>32.82</v>
      </c>
      <c r="M28" s="15"/>
      <c r="N28" s="34">
        <f>IF(H28=0,0,L28/H28)</f>
        <v>0</v>
      </c>
      <c r="O28" s="29"/>
      <c r="P28" s="35">
        <f>+P24-P26</f>
        <v>16320.39</v>
      </c>
      <c r="Q28" s="14"/>
      <c r="R28" s="34">
        <f>IF(P$12=0,0,P28/P$12)</f>
        <v>0</v>
      </c>
      <c r="S28" s="14"/>
      <c r="T28" s="35">
        <f>+T24-T26</f>
        <v>0</v>
      </c>
      <c r="U28" s="14"/>
      <c r="V28" s="34">
        <f>IF(T$12=0,0,T28/T$12)</f>
        <v>0</v>
      </c>
      <c r="W28" s="15"/>
      <c r="X28" s="35">
        <f>P28-T28</f>
        <v>16320.39</v>
      </c>
      <c r="Y28" s="15"/>
      <c r="Z28" s="34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294</v>
      </c>
      <c r="C31" s="28"/>
      <c r="D31" s="33">
        <f>SUM(D28:D30)</f>
        <v>32.82</v>
      </c>
      <c r="E31" s="14"/>
      <c r="F31" s="32">
        <f>IF(D$12=0,0,D31/D$12)</f>
        <v>0</v>
      </c>
      <c r="G31" s="14"/>
      <c r="H31" s="33">
        <f>SUM(H28:H30)</f>
        <v>0</v>
      </c>
      <c r="I31" s="14"/>
      <c r="J31" s="32">
        <f>IF(H$12=0,0,H31/H$12)</f>
        <v>0</v>
      </c>
      <c r="K31" s="15"/>
      <c r="L31" s="33">
        <f>+D31-H31</f>
        <v>32.82</v>
      </c>
      <c r="M31" s="15"/>
      <c r="N31" s="32">
        <f>IF(H31=0,0,L31/H31)</f>
        <v>0</v>
      </c>
      <c r="O31" s="29"/>
      <c r="P31" s="33">
        <f>SUM(P28:P30)</f>
        <v>16320.39</v>
      </c>
      <c r="Q31" s="14"/>
      <c r="R31" s="32">
        <f>IF(P$12=0,0,P31/P$12)</f>
        <v>0</v>
      </c>
      <c r="S31" s="14"/>
      <c r="T31" s="33">
        <f>SUM(T28:T30)</f>
        <v>0</v>
      </c>
      <c r="U31" s="14"/>
      <c r="V31" s="32">
        <f>IF(T$12=0,0,T31/T$12)</f>
        <v>0</v>
      </c>
      <c r="W31" s="15"/>
      <c r="X31" s="33">
        <f>+P31-T31</f>
        <v>16320.39</v>
      </c>
      <c r="Y31" s="15"/>
      <c r="Z31" s="32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60">
        <v>44356.891834571761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5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63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183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50528.700000000004</v>
      </c>
      <c r="E12" s="4"/>
      <c r="F12" s="12"/>
      <c r="G12" s="4"/>
      <c r="H12" s="4">
        <f>SUM(OSRRefH13x_0)</f>
        <v>288541</v>
      </c>
      <c r="I12" s="4"/>
      <c r="J12" s="12"/>
      <c r="K12" s="4"/>
      <c r="L12" s="4">
        <f t="shared" ref="L12:L16" si="0">+D12-H12</f>
        <v>-238012.3</v>
      </c>
      <c r="M12" s="4"/>
      <c r="N12" s="12">
        <f t="shared" ref="N12:N16" si="1">IF(H12=0,0,L12/H12)</f>
        <v>-0.82488207914993017</v>
      </c>
      <c r="O12" s="10"/>
      <c r="P12" s="4">
        <f>SUM(OSRRefP13x_0)</f>
        <v>991884.6</v>
      </c>
      <c r="Q12" s="4"/>
      <c r="R12" s="12"/>
      <c r="S12" s="4"/>
      <c r="T12" s="4">
        <f>SUM(OSRRefT13x_0)</f>
        <v>3936272</v>
      </c>
      <c r="U12" s="4"/>
      <c r="V12" s="12"/>
      <c r="W12" s="4"/>
      <c r="X12" s="4">
        <f t="shared" ref="X12:X16" si="2">+P12-T12</f>
        <v>-2944387.4</v>
      </c>
      <c r="Y12" s="4"/>
      <c r="Z12" s="12">
        <f t="shared" ref="Z12:Z16" si="3">IF(T12=0,0,X12/T12)</f>
        <v>-0.74801421243247412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--21.66</f>
        <v>21.66</v>
      </c>
      <c r="E13" s="2"/>
      <c r="F13" s="19"/>
      <c r="G13" s="2"/>
      <c r="H13" s="2"/>
      <c r="I13" s="2"/>
      <c r="J13" s="19"/>
      <c r="K13" s="2"/>
      <c r="L13" s="2">
        <f t="shared" si="0"/>
        <v>21.66</v>
      </c>
      <c r="M13" s="2"/>
      <c r="N13" s="19">
        <f t="shared" si="1"/>
        <v>0</v>
      </c>
      <c r="O13" s="11"/>
      <c r="P13" s="2">
        <f>--1106.56</f>
        <v>1106.56</v>
      </c>
      <c r="Q13" s="2"/>
      <c r="R13" s="19"/>
      <c r="S13" s="2"/>
      <c r="T13" s="2"/>
      <c r="U13" s="2"/>
      <c r="V13" s="19"/>
      <c r="W13" s="2"/>
      <c r="X13" s="2">
        <f t="shared" si="2"/>
        <v>1106.56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288541</v>
      </c>
      <c r="I14" s="2"/>
      <c r="J14" s="19"/>
      <c r="K14" s="2"/>
      <c r="L14" s="2">
        <f t="shared" si="0"/>
        <v>-288541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3936272</v>
      </c>
      <c r="U14" s="2"/>
      <c r="V14" s="19"/>
      <c r="W14" s="2"/>
      <c r="X14" s="2">
        <f t="shared" si="2"/>
        <v>-3936272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--47615</f>
        <v>47615</v>
      </c>
      <c r="E15" s="2"/>
      <c r="F15" s="19"/>
      <c r="G15" s="2"/>
      <c r="H15" s="2"/>
      <c r="I15" s="2"/>
      <c r="J15" s="19"/>
      <c r="K15" s="2"/>
      <c r="L15" s="2">
        <f t="shared" si="0"/>
        <v>47615</v>
      </c>
      <c r="M15" s="2"/>
      <c r="N15" s="19">
        <f t="shared" si="1"/>
        <v>0</v>
      </c>
      <c r="O15" s="11"/>
      <c r="P15" s="2">
        <f>--940443.72</f>
        <v>940443.72</v>
      </c>
      <c r="Q15" s="2"/>
      <c r="R15" s="19"/>
      <c r="S15" s="2"/>
      <c r="T15" s="2"/>
      <c r="U15" s="2"/>
      <c r="V15" s="19"/>
      <c r="W15" s="2"/>
      <c r="X15" s="2">
        <f t="shared" si="2"/>
        <v>940443.72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--2892.04</f>
        <v>2892.04</v>
      </c>
      <c r="E16" s="2"/>
      <c r="F16" s="19"/>
      <c r="G16" s="2"/>
      <c r="H16" s="2"/>
      <c r="I16" s="2"/>
      <c r="J16" s="19"/>
      <c r="K16" s="2"/>
      <c r="L16" s="2">
        <f t="shared" si="0"/>
        <v>2892.04</v>
      </c>
      <c r="M16" s="2"/>
      <c r="N16" s="19">
        <f t="shared" si="1"/>
        <v>0</v>
      </c>
      <c r="O16" s="11"/>
      <c r="P16" s="2">
        <f>--50334.32</f>
        <v>50334.32</v>
      </c>
      <c r="Q16" s="2"/>
      <c r="R16" s="19"/>
      <c r="S16" s="2"/>
      <c r="T16" s="2"/>
      <c r="U16" s="2"/>
      <c r="V16" s="19"/>
      <c r="W16" s="2"/>
      <c r="X16" s="2">
        <f t="shared" si="2"/>
        <v>50334.32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257</v>
      </c>
      <c r="C18" s="10"/>
      <c r="D18" s="4">
        <f>SUM(OSRRefD16x_0)</f>
        <v>25181.79</v>
      </c>
      <c r="E18" s="4"/>
      <c r="F18" s="12">
        <f t="shared" ref="F18:F21" si="4">IF(D$12=0,0,D18/D$12)</f>
        <v>0.49836607710073677</v>
      </c>
      <c r="G18" s="4"/>
      <c r="H18" s="4">
        <f>SUM(OSRRefH16x_0)</f>
        <v>79516</v>
      </c>
      <c r="I18" s="4"/>
      <c r="J18" s="12">
        <f t="shared" ref="J18:J21" si="5">IF(H$12=0,0,H18/H$12)</f>
        <v>0.27557955368561138</v>
      </c>
      <c r="K18" s="4"/>
      <c r="L18" s="4">
        <f t="shared" ref="L18:L21" si="6">+D18-H18</f>
        <v>-54334.21</v>
      </c>
      <c r="M18" s="4"/>
      <c r="N18" s="12">
        <f t="shared" ref="N18:N21" si="7">IF(H18=0,0,L18/H18)</f>
        <v>-0.6833116605463051</v>
      </c>
      <c r="O18" s="10"/>
      <c r="P18" s="4">
        <f>SUM(OSRRefP16x_0)</f>
        <v>441071.97</v>
      </c>
      <c r="Q18" s="4"/>
      <c r="R18" s="12">
        <f t="shared" ref="R18:R21" si="8">IF(P$12=0,0,P18/P$12)</f>
        <v>0.44468073201257485</v>
      </c>
      <c r="S18" s="4"/>
      <c r="T18" s="4">
        <f>SUM(OSRRefT16x_0)</f>
        <v>1064271</v>
      </c>
      <c r="U18" s="4"/>
      <c r="V18" s="12">
        <f t="shared" ref="V18:V21" si="9">IF(T$12=0,0,T18/T$12)</f>
        <v>0.27037537040123244</v>
      </c>
      <c r="W18" s="4"/>
      <c r="X18" s="4">
        <f t="shared" ref="X18:X21" si="10">+P18-T18</f>
        <v>-623199.03</v>
      </c>
      <c r="Y18" s="4"/>
      <c r="Z18" s="12">
        <f t="shared" ref="Z18:Z21" si="11">IF(T18=0,0,X18/T18)</f>
        <v>-0.58556423129071455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79516</v>
      </c>
      <c r="I19" s="2"/>
      <c r="J19" s="19">
        <f t="shared" si="5"/>
        <v>0.27557955368561138</v>
      </c>
      <c r="K19" s="2"/>
      <c r="L19" s="2">
        <f t="shared" si="6"/>
        <v>-79516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1064271</v>
      </c>
      <c r="U19" s="2"/>
      <c r="V19" s="19">
        <f t="shared" si="9"/>
        <v>0.27037537040123244</v>
      </c>
      <c r="W19" s="2"/>
      <c r="X19" s="2">
        <f t="shared" si="10"/>
        <v>-1064271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24078.79</v>
      </c>
      <c r="E20" s="2"/>
      <c r="F20" s="19">
        <f t="shared" si="4"/>
        <v>0.47653689883175304</v>
      </c>
      <c r="G20" s="2"/>
      <c r="H20" s="2"/>
      <c r="I20" s="2"/>
      <c r="J20" s="19">
        <f t="shared" si="5"/>
        <v>0</v>
      </c>
      <c r="K20" s="2"/>
      <c r="L20" s="2">
        <f t="shared" si="6"/>
        <v>24078.79</v>
      </c>
      <c r="M20" s="2"/>
      <c r="N20" s="19">
        <f t="shared" si="7"/>
        <v>0</v>
      </c>
      <c r="O20" s="11"/>
      <c r="P20" s="2">
        <v>443748.67</v>
      </c>
      <c r="Q20" s="2"/>
      <c r="R20" s="19">
        <f t="shared" si="8"/>
        <v>0.44737933223280207</v>
      </c>
      <c r="S20" s="2"/>
      <c r="T20" s="2"/>
      <c r="U20" s="2"/>
      <c r="V20" s="19">
        <f t="shared" si="9"/>
        <v>0</v>
      </c>
      <c r="W20" s="2"/>
      <c r="X20" s="2">
        <f t="shared" si="10"/>
        <v>443748.67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1103</v>
      </c>
      <c r="E21" s="2"/>
      <c r="F21" s="19">
        <f t="shared" si="4"/>
        <v>2.1829178268983764E-2</v>
      </c>
      <c r="G21" s="2"/>
      <c r="H21" s="2"/>
      <c r="I21" s="2"/>
      <c r="J21" s="19">
        <f t="shared" si="5"/>
        <v>0</v>
      </c>
      <c r="K21" s="2"/>
      <c r="L21" s="2">
        <f t="shared" si="6"/>
        <v>1103</v>
      </c>
      <c r="M21" s="2"/>
      <c r="N21" s="19">
        <f t="shared" si="7"/>
        <v>0</v>
      </c>
      <c r="O21" s="11"/>
      <c r="P21" s="2">
        <v>-2676.7</v>
      </c>
      <c r="Q21" s="2"/>
      <c r="R21" s="19">
        <f t="shared" si="8"/>
        <v>-2.6986002202272321E-3</v>
      </c>
      <c r="S21" s="2"/>
      <c r="T21" s="2"/>
      <c r="U21" s="2"/>
      <c r="V21" s="19">
        <f t="shared" si="9"/>
        <v>0</v>
      </c>
      <c r="W21" s="2"/>
      <c r="X21" s="2">
        <f t="shared" si="10"/>
        <v>-2676.7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0">
        <f>D12-D18</f>
        <v>25346.910000000003</v>
      </c>
      <c r="E23" s="14"/>
      <c r="F23" s="21">
        <f>IF(D$12=0,0,D23/D$12)</f>
        <v>0.50163392289926323</v>
      </c>
      <c r="G23" s="14"/>
      <c r="H23" s="20">
        <f>H12-H18</f>
        <v>209025</v>
      </c>
      <c r="I23" s="14"/>
      <c r="J23" s="21">
        <f>IF(H$12=0,0,H23/H$12)</f>
        <v>0.72442044631438862</v>
      </c>
      <c r="K23" s="15"/>
      <c r="L23" s="20">
        <f>+D23-H23</f>
        <v>-183678.09</v>
      </c>
      <c r="M23" s="15"/>
      <c r="N23" s="21">
        <f>IF(H23=0,0,L23/H23)</f>
        <v>-0.87873742375313957</v>
      </c>
      <c r="O23" s="29"/>
      <c r="P23" s="20">
        <f>P12-P18</f>
        <v>550812.63</v>
      </c>
      <c r="Q23" s="14"/>
      <c r="R23" s="21">
        <f>IF(P$12=0,0,P23/P$12)</f>
        <v>0.55531926798742515</v>
      </c>
      <c r="S23" s="14"/>
      <c r="T23" s="20">
        <f>T12-T18</f>
        <v>2872001</v>
      </c>
      <c r="U23" s="14"/>
      <c r="V23" s="21">
        <f>IF(T$12=0,0,T23/T$12)</f>
        <v>0.72962462959876762</v>
      </c>
      <c r="W23" s="15"/>
      <c r="X23" s="20">
        <f>+P23-T23</f>
        <v>-2321188.37</v>
      </c>
      <c r="Y23" s="15"/>
      <c r="Z23" s="21">
        <f>IF(T23=0,0,X23/T23)</f>
        <v>-0.80821293934089855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2">
        <f>SUM(OSRRefD22x_0)</f>
        <v>200452.86000000002</v>
      </c>
      <c r="E25" s="22"/>
      <c r="F25" s="31">
        <f t="shared" ref="F25:F36" si="12">IF(D$12=0,0,D25/D$12)</f>
        <v>3.9671089895445557</v>
      </c>
      <c r="G25" s="22"/>
      <c r="H25" s="22">
        <f>SUM(OSRRefH22x_0)</f>
        <v>333603.49231137615</v>
      </c>
      <c r="I25" s="22"/>
      <c r="J25" s="31">
        <f t="shared" ref="J25:J36" si="13">IF(H$12=0,0,H25/H$12)</f>
        <v>1.1561736193864169</v>
      </c>
      <c r="K25" s="4"/>
      <c r="L25" s="22">
        <f t="shared" ref="L25:L36" si="14">+D25-H25</f>
        <v>-133150.63231137613</v>
      </c>
      <c r="M25" s="4"/>
      <c r="N25" s="31">
        <f t="shared" ref="N25:N36" si="15">IF(H25=0,0,L25/H25)</f>
        <v>-0.39912841256199161</v>
      </c>
      <c r="O25" s="10"/>
      <c r="P25" s="22">
        <f>SUM(OSRRefP22x_0)</f>
        <v>2467799.77</v>
      </c>
      <c r="Q25" s="22"/>
      <c r="R25" s="31">
        <f t="shared" ref="R25:R36" si="16">IF(P$12=0,0,P25/P$12)</f>
        <v>2.4879908106245425</v>
      </c>
      <c r="S25" s="22"/>
      <c r="T25" s="22">
        <f>SUM(OSRRefT22x_0)</f>
        <v>4028894.1735495129</v>
      </c>
      <c r="U25" s="22"/>
      <c r="V25" s="31">
        <f t="shared" ref="V25:V36" si="17">IF(T$12=0,0,T25/T$12)</f>
        <v>1.0235304302013462</v>
      </c>
      <c r="W25" s="4"/>
      <c r="X25" s="22">
        <f t="shared" ref="X25:X36" si="18">+P25-T25</f>
        <v>-1561094.4035495128</v>
      </c>
      <c r="Y25" s="4"/>
      <c r="Z25" s="31">
        <f t="shared" ref="Z25:Z36" si="19">IF(T25=0,0,X25/T25)</f>
        <v>-0.38747466086312377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75679.17</v>
      </c>
      <c r="E26" s="1"/>
      <c r="F26" s="5">
        <f t="shared" si="12"/>
        <v>1.4977462313497081</v>
      </c>
      <c r="G26" s="1"/>
      <c r="H26" s="1">
        <f>SUM(OSRRefH22_0x_0)</f>
        <v>97427.104917914636</v>
      </c>
      <c r="I26" s="1"/>
      <c r="J26" s="5">
        <f t="shared" si="13"/>
        <v>0.33765428454852042</v>
      </c>
      <c r="K26" s="1"/>
      <c r="L26" s="1">
        <f t="shared" si="14"/>
        <v>-21747.934917914637</v>
      </c>
      <c r="M26" s="1"/>
      <c r="N26" s="5">
        <f t="shared" si="15"/>
        <v>-0.22322263333430617</v>
      </c>
      <c r="O26" s="13"/>
      <c r="P26" s="1">
        <f>SUM(OSRRefP22_0x_0)</f>
        <v>848883.86</v>
      </c>
      <c r="Q26" s="1"/>
      <c r="R26" s="5">
        <f t="shared" si="16"/>
        <v>0.8558292567502308</v>
      </c>
      <c r="S26" s="1"/>
      <c r="T26" s="1">
        <f>SUM(OSRRefT22_0x_0)</f>
        <v>1146515.1412079751</v>
      </c>
      <c r="U26" s="1"/>
      <c r="V26" s="5">
        <f t="shared" si="17"/>
        <v>0.29126928759190807</v>
      </c>
      <c r="W26" s="1"/>
      <c r="X26" s="1">
        <f t="shared" si="18"/>
        <v>-297631.28120797512</v>
      </c>
      <c r="Y26" s="1"/>
      <c r="Z26" s="5">
        <f t="shared" si="19"/>
        <v>-0.25959646803651371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7100.5</v>
      </c>
      <c r="E27" s="2"/>
      <c r="F27" s="6">
        <f t="shared" si="12"/>
        <v>0.14052409818578351</v>
      </c>
      <c r="G27" s="2"/>
      <c r="H27" s="7">
        <v>10035.7691323569</v>
      </c>
      <c r="I27" s="2"/>
      <c r="J27" s="6">
        <f t="shared" si="13"/>
        <v>3.4781085295874418E-2</v>
      </c>
      <c r="K27" s="2"/>
      <c r="L27" s="7">
        <f t="shared" si="14"/>
        <v>-2935.2691323568997</v>
      </c>
      <c r="M27" s="2"/>
      <c r="N27" s="6">
        <f t="shared" si="15"/>
        <v>-0.29248073502340044</v>
      </c>
      <c r="O27" s="11"/>
      <c r="P27" s="7">
        <v>89288.51</v>
      </c>
      <c r="Q27" s="2"/>
      <c r="R27" s="6">
        <f t="shared" si="16"/>
        <v>9.0019050603265746E-2</v>
      </c>
      <c r="S27" s="2"/>
      <c r="T27" s="7">
        <v>119306.457958283</v>
      </c>
      <c r="U27" s="2"/>
      <c r="V27" s="6">
        <f t="shared" si="17"/>
        <v>3.0309505531701825E-2</v>
      </c>
      <c r="W27" s="2"/>
      <c r="X27" s="7">
        <f t="shared" si="18"/>
        <v>-30017.94795828301</v>
      </c>
      <c r="Y27" s="2"/>
      <c r="Z27" s="6">
        <f t="shared" si="19"/>
        <v>-0.25160371426649142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6532.49</v>
      </c>
      <c r="E28" s="2"/>
      <c r="F28" s="6">
        <f t="shared" si="12"/>
        <v>0.12928276405290456</v>
      </c>
      <c r="G28" s="2"/>
      <c r="H28" s="7">
        <v>6899.2331083500003</v>
      </c>
      <c r="I28" s="2"/>
      <c r="J28" s="6">
        <f t="shared" si="13"/>
        <v>2.3910754826350501E-2</v>
      </c>
      <c r="K28" s="2"/>
      <c r="L28" s="7">
        <f t="shared" si="14"/>
        <v>-366.74310835000051</v>
      </c>
      <c r="M28" s="2"/>
      <c r="N28" s="6">
        <f t="shared" si="15"/>
        <v>-5.3157083199020898E-2</v>
      </c>
      <c r="O28" s="11"/>
      <c r="P28" s="7">
        <v>55307.93</v>
      </c>
      <c r="Q28" s="2"/>
      <c r="R28" s="6">
        <f t="shared" si="16"/>
        <v>5.576044834247855E-2</v>
      </c>
      <c r="S28" s="2"/>
      <c r="T28" s="7">
        <v>83582.119803599999</v>
      </c>
      <c r="U28" s="2"/>
      <c r="V28" s="6">
        <f t="shared" si="17"/>
        <v>2.1233827287240312E-2</v>
      </c>
      <c r="W28" s="2"/>
      <c r="X28" s="7">
        <f t="shared" si="18"/>
        <v>-28274.189803599998</v>
      </c>
      <c r="Y28" s="2"/>
      <c r="Z28" s="6">
        <f t="shared" si="19"/>
        <v>-0.3382803627143971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44830.89</v>
      </c>
      <c r="E29" s="2"/>
      <c r="F29" s="6">
        <f t="shared" si="12"/>
        <v>0.88723616479347367</v>
      </c>
      <c r="G29" s="2"/>
      <c r="H29" s="7">
        <v>59594.230769230802</v>
      </c>
      <c r="I29" s="2"/>
      <c r="J29" s="6">
        <f t="shared" si="13"/>
        <v>0.2065364394288188</v>
      </c>
      <c r="K29" s="2"/>
      <c r="L29" s="7">
        <f t="shared" si="14"/>
        <v>-14763.340769230803</v>
      </c>
      <c r="M29" s="2"/>
      <c r="N29" s="6">
        <f t="shared" si="15"/>
        <v>-0.24773104004646854</v>
      </c>
      <c r="O29" s="11"/>
      <c r="P29" s="7">
        <v>493517.74</v>
      </c>
      <c r="Q29" s="2"/>
      <c r="R29" s="6">
        <f t="shared" si="16"/>
        <v>0.49755560273846372</v>
      </c>
      <c r="S29" s="2"/>
      <c r="T29" s="7">
        <v>695925.76923076902</v>
      </c>
      <c r="U29" s="2"/>
      <c r="V29" s="6">
        <f t="shared" si="17"/>
        <v>0.17679819108810799</v>
      </c>
      <c r="W29" s="2"/>
      <c r="X29" s="7">
        <f t="shared" si="18"/>
        <v>-202408.02923076903</v>
      </c>
      <c r="Y29" s="2"/>
      <c r="Z29" s="6">
        <f t="shared" si="19"/>
        <v>-0.29084715379126952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395.91</v>
      </c>
      <c r="E30" s="2"/>
      <c r="F30" s="6">
        <f t="shared" si="12"/>
        <v>7.8353490194681442E-3</v>
      </c>
      <c r="G30" s="2"/>
      <c r="H30" s="7">
        <v>418.13533990000002</v>
      </c>
      <c r="I30" s="2"/>
      <c r="J30" s="6">
        <f t="shared" si="13"/>
        <v>1.4491366561424548E-3</v>
      </c>
      <c r="K30" s="2"/>
      <c r="L30" s="7">
        <f t="shared" si="14"/>
        <v>-22.225339899999994</v>
      </c>
      <c r="M30" s="2"/>
      <c r="N30" s="6">
        <f t="shared" si="15"/>
        <v>-5.3153459607875618E-2</v>
      </c>
      <c r="O30" s="11"/>
      <c r="P30" s="7">
        <v>3440.41</v>
      </c>
      <c r="Q30" s="2"/>
      <c r="R30" s="6">
        <f t="shared" si="16"/>
        <v>3.4685587416116753E-3</v>
      </c>
      <c r="S30" s="2"/>
      <c r="T30" s="7">
        <v>5065.5830183999997</v>
      </c>
      <c r="U30" s="2"/>
      <c r="V30" s="6">
        <f t="shared" si="17"/>
        <v>1.2868986234691098E-3</v>
      </c>
      <c r="W30" s="2"/>
      <c r="X30" s="7">
        <f t="shared" si="18"/>
        <v>-1625.1730183999998</v>
      </c>
      <c r="Y30" s="2"/>
      <c r="Z30" s="6">
        <f t="shared" si="19"/>
        <v>-0.32082645028159507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3594.33</v>
      </c>
      <c r="E31" s="2"/>
      <c r="F31" s="6">
        <f t="shared" si="12"/>
        <v>7.113442459433944E-2</v>
      </c>
      <c r="G31" s="2"/>
      <c r="H31" s="7">
        <v>4603.1433846153896</v>
      </c>
      <c r="I31" s="2"/>
      <c r="J31" s="6">
        <f t="shared" si="13"/>
        <v>1.5953169167000146E-2</v>
      </c>
      <c r="K31" s="2"/>
      <c r="L31" s="7">
        <f t="shared" si="14"/>
        <v>-1008.8133846153896</v>
      </c>
      <c r="M31" s="2"/>
      <c r="N31" s="6">
        <f t="shared" si="15"/>
        <v>-0.2191574974585937</v>
      </c>
      <c r="O31" s="11"/>
      <c r="P31" s="7">
        <v>43333.01</v>
      </c>
      <c r="Q31" s="2"/>
      <c r="R31" s="6">
        <f t="shared" si="16"/>
        <v>4.3687551959169443E-2</v>
      </c>
      <c r="S31" s="2"/>
      <c r="T31" s="7">
        <v>55237.7206153847</v>
      </c>
      <c r="U31" s="2"/>
      <c r="V31" s="6">
        <f t="shared" si="17"/>
        <v>1.4033003973146342E-2</v>
      </c>
      <c r="W31" s="2"/>
      <c r="X31" s="7">
        <f t="shared" si="18"/>
        <v>-11904.710615384698</v>
      </c>
      <c r="Y31" s="2"/>
      <c r="Z31" s="6">
        <f t="shared" si="19"/>
        <v>-0.21551777449826598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7">
        <v>1429.07</v>
      </c>
      <c r="E33" s="2"/>
      <c r="F33" s="6">
        <f t="shared" si="12"/>
        <v>2.8282342510296123E-2</v>
      </c>
      <c r="G33" s="2"/>
      <c r="H33" s="7"/>
      <c r="I33" s="2"/>
      <c r="J33" s="6">
        <f t="shared" si="13"/>
        <v>0</v>
      </c>
      <c r="K33" s="2"/>
      <c r="L33" s="7">
        <f t="shared" si="14"/>
        <v>1429.07</v>
      </c>
      <c r="M33" s="2"/>
      <c r="N33" s="6">
        <f t="shared" si="15"/>
        <v>0</v>
      </c>
      <c r="O33" s="11"/>
      <c r="P33" s="7">
        <v>16831.96</v>
      </c>
      <c r="Q33" s="2"/>
      <c r="R33" s="6">
        <f t="shared" si="16"/>
        <v>1.696967570622631E-2</v>
      </c>
      <c r="S33" s="2"/>
      <c r="T33" s="7"/>
      <c r="U33" s="2"/>
      <c r="V33" s="6">
        <f t="shared" si="17"/>
        <v>0</v>
      </c>
      <c r="W33" s="2"/>
      <c r="X33" s="7">
        <f t="shared" si="18"/>
        <v>16831.96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7">
        <v>6044.28</v>
      </c>
      <c r="E34" s="2"/>
      <c r="F34" s="6">
        <f t="shared" si="12"/>
        <v>0.11962073039678439</v>
      </c>
      <c r="G34" s="2"/>
      <c r="H34" s="7">
        <v>6756.0878769230803</v>
      </c>
      <c r="I34" s="2"/>
      <c r="J34" s="6">
        <f t="shared" si="13"/>
        <v>2.3414654683123301E-2</v>
      </c>
      <c r="K34" s="2"/>
      <c r="L34" s="7">
        <f t="shared" si="14"/>
        <v>-711.80787692308058</v>
      </c>
      <c r="M34" s="2"/>
      <c r="N34" s="6">
        <f t="shared" si="15"/>
        <v>-0.10535799561672644</v>
      </c>
      <c r="O34" s="11"/>
      <c r="P34" s="7">
        <v>73034.73</v>
      </c>
      <c r="Q34" s="2"/>
      <c r="R34" s="6">
        <f t="shared" si="16"/>
        <v>7.3632285449335533E-2</v>
      </c>
      <c r="S34" s="2"/>
      <c r="T34" s="7">
        <v>81073.054523076906</v>
      </c>
      <c r="U34" s="2"/>
      <c r="V34" s="6">
        <f t="shared" si="17"/>
        <v>2.0596405564218354E-2</v>
      </c>
      <c r="W34" s="2"/>
      <c r="X34" s="7">
        <f t="shared" si="18"/>
        <v>-8038.3245230769098</v>
      </c>
      <c r="Y34" s="2"/>
      <c r="Z34" s="6">
        <f t="shared" si="19"/>
        <v>-9.914915097702226E-2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7">
        <v>3942.3</v>
      </c>
      <c r="E35" s="2"/>
      <c r="F35" s="6">
        <f t="shared" si="12"/>
        <v>7.8021005883784855E-2</v>
      </c>
      <c r="G35" s="2"/>
      <c r="H35" s="7">
        <v>5445.50530653846</v>
      </c>
      <c r="I35" s="2"/>
      <c r="J35" s="6">
        <f t="shared" si="13"/>
        <v>1.887255297007517E-2</v>
      </c>
      <c r="K35" s="2"/>
      <c r="L35" s="7">
        <f t="shared" si="14"/>
        <v>-1503.2053065384598</v>
      </c>
      <c r="M35" s="2"/>
      <c r="N35" s="6">
        <f t="shared" si="15"/>
        <v>-0.27604514584414225</v>
      </c>
      <c r="O35" s="11"/>
      <c r="P35" s="7">
        <v>49291.76</v>
      </c>
      <c r="Q35" s="2"/>
      <c r="R35" s="6">
        <f t="shared" si="16"/>
        <v>4.9695055251387107E-2</v>
      </c>
      <c r="S35" s="2"/>
      <c r="T35" s="7">
        <v>65899.436058461506</v>
      </c>
      <c r="U35" s="2"/>
      <c r="V35" s="6">
        <f t="shared" si="17"/>
        <v>1.6741585962164584E-2</v>
      </c>
      <c r="W35" s="2"/>
      <c r="X35" s="7">
        <f t="shared" si="18"/>
        <v>-16607.676058461504</v>
      </c>
      <c r="Y35" s="2"/>
      <c r="Z35" s="6">
        <f t="shared" si="19"/>
        <v>-0.25201545038607465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7">
        <v>1809.4</v>
      </c>
      <c r="E36" s="2"/>
      <c r="F36" s="6">
        <f t="shared" si="12"/>
        <v>3.580935191287328E-2</v>
      </c>
      <c r="G36" s="2"/>
      <c r="H36" s="7">
        <v>3675</v>
      </c>
      <c r="I36" s="2"/>
      <c r="J36" s="6">
        <f t="shared" si="13"/>
        <v>1.2736491521135644E-2</v>
      </c>
      <c r="K36" s="2"/>
      <c r="L36" s="7">
        <f t="shared" si="14"/>
        <v>-1865.6</v>
      </c>
      <c r="M36" s="2"/>
      <c r="N36" s="6">
        <f t="shared" si="15"/>
        <v>-0.50764625850340128</v>
      </c>
      <c r="O36" s="11"/>
      <c r="P36" s="7">
        <v>24837.81</v>
      </c>
      <c r="Q36" s="2"/>
      <c r="R36" s="6">
        <f t="shared" si="16"/>
        <v>2.504102795829273E-2</v>
      </c>
      <c r="S36" s="2"/>
      <c r="T36" s="7">
        <v>40425</v>
      </c>
      <c r="U36" s="2"/>
      <c r="V36" s="6">
        <f t="shared" si="17"/>
        <v>1.0269869561859546E-2</v>
      </c>
      <c r="W36" s="2"/>
      <c r="X36" s="7">
        <f t="shared" si="18"/>
        <v>-15587.189999999999</v>
      </c>
      <c r="Y36" s="2"/>
      <c r="Z36" s="6">
        <f t="shared" si="19"/>
        <v>-0.38558293135435989</v>
      </c>
    </row>
    <row r="37" spans="1:26" s="27" customFormat="1" outlineLevel="1" collapsed="1" x14ac:dyDescent="0.25">
      <c r="A37" s="26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89885.39</v>
      </c>
      <c r="E37" s="1"/>
      <c r="F37" s="5">
        <f t="shared" ref="F37:F47" si="20">IF(D$12=0,0,D37/D$12)</f>
        <v>1.7788977353464466</v>
      </c>
      <c r="G37" s="1"/>
      <c r="H37" s="1">
        <f>SUM(OSRRefH22_1x_0)</f>
        <v>149241.38739346151</v>
      </c>
      <c r="I37" s="1"/>
      <c r="J37" s="5">
        <f t="shared" ref="J37:J47" si="21">IF(H$12=0,0,H37/H$12)</f>
        <v>0.51722766398349462</v>
      </c>
      <c r="K37" s="1"/>
      <c r="L37" s="1">
        <f t="shared" ref="L37:L47" si="22">+D37-H37</f>
        <v>-59355.997393461512</v>
      </c>
      <c r="M37" s="1"/>
      <c r="N37" s="5">
        <f t="shared" ref="N37:N47" si="23">IF(H37=0,0,L37/H37)</f>
        <v>-0.397718075596381</v>
      </c>
      <c r="O37" s="13"/>
      <c r="P37" s="1">
        <f>SUM(OSRRefP22_1x_0)</f>
        <v>1158106.5699999998</v>
      </c>
      <c r="Q37" s="1"/>
      <c r="R37" s="5">
        <f t="shared" ref="R37:R47" si="24">IF(P$12=0,0,P37/P$12)</f>
        <v>1.1675819646761325</v>
      </c>
      <c r="S37" s="1"/>
      <c r="T37" s="1">
        <f>SUM(OSRRefT22_1x_0)</f>
        <v>1807639.0323415385</v>
      </c>
      <c r="U37" s="1"/>
      <c r="V37" s="5">
        <f t="shared" ref="V37:V47" si="25">IF(T$12=0,0,T37/T$12)</f>
        <v>0.45922614909272996</v>
      </c>
      <c r="W37" s="1"/>
      <c r="X37" s="1">
        <f t="shared" ref="X37:X47" si="26">+P37-T37</f>
        <v>-649532.46234153863</v>
      </c>
      <c r="Y37" s="1"/>
      <c r="Z37" s="5">
        <f t="shared" ref="Z37:Z47" si="27">IF(T37=0,0,X37/T37)</f>
        <v>-0.35932642010952925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7">
        <v>8959.5400000000009</v>
      </c>
      <c r="E38" s="2"/>
      <c r="F38" s="6">
        <f t="shared" si="20"/>
        <v>0.17731586207442504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8959.5400000000009</v>
      </c>
      <c r="M38" s="2"/>
      <c r="N38" s="6">
        <f t="shared" si="23"/>
        <v>0</v>
      </c>
      <c r="O38" s="11"/>
      <c r="P38" s="7">
        <v>100123.86</v>
      </c>
      <c r="Q38" s="2"/>
      <c r="R38" s="6">
        <f t="shared" si="24"/>
        <v>0.1009430532543806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100123.86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7">
        <v>26766.45</v>
      </c>
      <c r="E39" s="2"/>
      <c r="F39" s="6">
        <f t="shared" si="20"/>
        <v>0.52972765972605662</v>
      </c>
      <c r="G39" s="2"/>
      <c r="H39" s="7">
        <v>48283.721538461497</v>
      </c>
      <c r="I39" s="2"/>
      <c r="J39" s="6">
        <f t="shared" si="21"/>
        <v>0.16733747210435085</v>
      </c>
      <c r="K39" s="2"/>
      <c r="L39" s="7">
        <f t="shared" si="22"/>
        <v>-21517.271538461497</v>
      </c>
      <c r="M39" s="2"/>
      <c r="N39" s="6">
        <f t="shared" si="23"/>
        <v>-0.4456423583944627</v>
      </c>
      <c r="O39" s="11"/>
      <c r="P39" s="7">
        <v>317129.09000000003</v>
      </c>
      <c r="Q39" s="2"/>
      <c r="R39" s="6">
        <f t="shared" si="24"/>
        <v>0.31972377633446475</v>
      </c>
      <c r="S39" s="2"/>
      <c r="T39" s="7">
        <v>579404.65846153803</v>
      </c>
      <c r="U39" s="2"/>
      <c r="V39" s="6">
        <f t="shared" si="25"/>
        <v>0.14719629600330922</v>
      </c>
      <c r="W39" s="2"/>
      <c r="X39" s="7">
        <f t="shared" si="26"/>
        <v>-262275.568461538</v>
      </c>
      <c r="Y39" s="2"/>
      <c r="Z39" s="6">
        <f t="shared" si="27"/>
        <v>-0.4526638932416322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7">
        <v>42244.51</v>
      </c>
      <c r="E41" s="2"/>
      <c r="F41" s="6">
        <f t="shared" si="20"/>
        <v>0.83604980931628947</v>
      </c>
      <c r="G41" s="2"/>
      <c r="H41" s="7">
        <v>71874.449919999999</v>
      </c>
      <c r="I41" s="2"/>
      <c r="J41" s="6">
        <f t="shared" si="21"/>
        <v>0.24909614203873973</v>
      </c>
      <c r="K41" s="2"/>
      <c r="L41" s="7">
        <f t="shared" si="22"/>
        <v>-29629.939919999997</v>
      </c>
      <c r="M41" s="2"/>
      <c r="N41" s="6">
        <f t="shared" si="23"/>
        <v>-0.41224579740060147</v>
      </c>
      <c r="O41" s="11"/>
      <c r="P41" s="7">
        <v>504692.67</v>
      </c>
      <c r="Q41" s="2"/>
      <c r="R41" s="6">
        <f t="shared" si="24"/>
        <v>0.50882196376473632</v>
      </c>
      <c r="S41" s="2"/>
      <c r="T41" s="7">
        <v>833533.39904000005</v>
      </c>
      <c r="U41" s="2"/>
      <c r="V41" s="6">
        <f t="shared" si="25"/>
        <v>0.21175706329237412</v>
      </c>
      <c r="W41" s="2"/>
      <c r="X41" s="7">
        <f t="shared" si="26"/>
        <v>-328840.72904000006</v>
      </c>
      <c r="Y41" s="2"/>
      <c r="Z41" s="6">
        <f t="shared" si="27"/>
        <v>-0.39451416034286524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7">
        <v>6092.92</v>
      </c>
      <c r="E42" s="2"/>
      <c r="F42" s="6">
        <f t="shared" si="20"/>
        <v>0.12058335163976115</v>
      </c>
      <c r="G42" s="2"/>
      <c r="H42" s="7">
        <v>5803.6220350000003</v>
      </c>
      <c r="I42" s="2"/>
      <c r="J42" s="6">
        <f t="shared" si="21"/>
        <v>2.011368240562E-2</v>
      </c>
      <c r="K42" s="2"/>
      <c r="L42" s="7">
        <f t="shared" si="22"/>
        <v>289.29796499999975</v>
      </c>
      <c r="M42" s="2"/>
      <c r="N42" s="6">
        <f t="shared" si="23"/>
        <v>4.9847830071518384E-2</v>
      </c>
      <c r="O42" s="11"/>
      <c r="P42" s="7">
        <v>106066.99</v>
      </c>
      <c r="Q42" s="2"/>
      <c r="R42" s="6">
        <f t="shared" si="24"/>
        <v>0.10693480874690464</v>
      </c>
      <c r="S42" s="2"/>
      <c r="T42" s="7">
        <v>87613.845440000005</v>
      </c>
      <c r="U42" s="2"/>
      <c r="V42" s="6">
        <f t="shared" si="25"/>
        <v>2.2258077043456347E-2</v>
      </c>
      <c r="W42" s="2"/>
      <c r="X42" s="7">
        <f t="shared" si="26"/>
        <v>18453.144560000001</v>
      </c>
      <c r="Y42" s="2"/>
      <c r="Z42" s="6">
        <f t="shared" si="27"/>
        <v>0.2106190461944413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7">
        <v>252.7</v>
      </c>
      <c r="E43" s="2"/>
      <c r="F43" s="6">
        <f t="shared" si="20"/>
        <v>5.0011181764027168E-3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252.7</v>
      </c>
      <c r="M43" s="2"/>
      <c r="N43" s="6">
        <f t="shared" si="23"/>
        <v>0</v>
      </c>
      <c r="O43" s="11"/>
      <c r="P43" s="7">
        <v>2427.2199999999998</v>
      </c>
      <c r="Q43" s="2"/>
      <c r="R43" s="6">
        <f t="shared" si="24"/>
        <v>2.4470790251204626E-3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2427.2199999999998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7">
        <v>5569.27</v>
      </c>
      <c r="E44" s="2"/>
      <c r="F44" s="6">
        <f t="shared" si="20"/>
        <v>0.11021993441351152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5569.27</v>
      </c>
      <c r="M44" s="2"/>
      <c r="N44" s="6">
        <f t="shared" si="23"/>
        <v>0</v>
      </c>
      <c r="O44" s="11"/>
      <c r="P44" s="7">
        <v>117035.86</v>
      </c>
      <c r="Q44" s="2"/>
      <c r="R44" s="6">
        <f t="shared" si="24"/>
        <v>0.11799342383176431</v>
      </c>
      <c r="S44" s="2"/>
      <c r="T44" s="7">
        <v>13860.33</v>
      </c>
      <c r="U44" s="2"/>
      <c r="V44" s="6">
        <f t="shared" si="25"/>
        <v>3.5211819711645945E-3</v>
      </c>
      <c r="W44" s="2"/>
      <c r="X44" s="7">
        <f t="shared" si="26"/>
        <v>103175.53</v>
      </c>
      <c r="Y44" s="2"/>
      <c r="Z44" s="6">
        <f t="shared" si="27"/>
        <v>7.4439446968434373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0"/>
        <v>0</v>
      </c>
      <c r="G45" s="2"/>
      <c r="H45" s="7">
        <v>23279.5939</v>
      </c>
      <c r="I45" s="2"/>
      <c r="J45" s="6">
        <f t="shared" si="21"/>
        <v>8.0680367434783962E-2</v>
      </c>
      <c r="K45" s="2"/>
      <c r="L45" s="7">
        <f t="shared" si="22"/>
        <v>-23279.5939</v>
      </c>
      <c r="M45" s="2"/>
      <c r="N45" s="6">
        <f t="shared" si="23"/>
        <v>-1</v>
      </c>
      <c r="O45" s="11"/>
      <c r="P45" s="7">
        <v>10630.88</v>
      </c>
      <c r="Q45" s="2"/>
      <c r="R45" s="6">
        <f t="shared" si="24"/>
        <v>1.0717859718761638E-2</v>
      </c>
      <c r="S45" s="2"/>
      <c r="T45" s="7">
        <v>293226.79940000002</v>
      </c>
      <c r="U45" s="2"/>
      <c r="V45" s="6">
        <f t="shared" si="25"/>
        <v>7.4493530782425613E-2</v>
      </c>
      <c r="W45" s="2"/>
      <c r="X45" s="7">
        <f t="shared" si="26"/>
        <v>-282595.91940000001</v>
      </c>
      <c r="Y45" s="2"/>
      <c r="Z45" s="6">
        <f t="shared" si="27"/>
        <v>-0.96374519647674461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7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72" si="28">IF(D$12=0,0,D48/D$12)</f>
        <v>0</v>
      </c>
      <c r="G48" s="1"/>
      <c r="H48" s="1">
        <f>SUM(OSRRefH22_2x_0)</f>
        <v>1169</v>
      </c>
      <c r="I48" s="1"/>
      <c r="J48" s="5">
        <f t="shared" ref="J48:J72" si="29">IF(H$12=0,0,H48/H$12)</f>
        <v>4.0514173029136237E-3</v>
      </c>
      <c r="K48" s="1"/>
      <c r="L48" s="1">
        <f t="shared" ref="L48:L72" si="30">+D48-H48</f>
        <v>-1169</v>
      </c>
      <c r="M48" s="1"/>
      <c r="N48" s="5">
        <f t="shared" ref="N48:N72" si="31">IF(H48=0,0,L48/H48)</f>
        <v>-1</v>
      </c>
      <c r="O48" s="13"/>
      <c r="P48" s="1">
        <f>SUM(OSRRefP22_2x_0)</f>
        <v>1567.93</v>
      </c>
      <c r="Q48" s="1"/>
      <c r="R48" s="5">
        <f t="shared" ref="R48:R72" si="32">IF(P$12=0,0,P48/P$12)</f>
        <v>1.5807584874288805E-3</v>
      </c>
      <c r="S48" s="1"/>
      <c r="T48" s="1">
        <f>SUM(OSRRefT22_2x_0)</f>
        <v>12959</v>
      </c>
      <c r="U48" s="1"/>
      <c r="V48" s="5">
        <f t="shared" ref="V48:V72" si="33">IF(T$12=0,0,T48/T$12)</f>
        <v>3.2922013519390936E-3</v>
      </c>
      <c r="W48" s="1"/>
      <c r="X48" s="1">
        <f t="shared" ref="X48:X72" si="34">+P48-T48</f>
        <v>-11391.07</v>
      </c>
      <c r="Y48" s="1"/>
      <c r="Z48" s="5">
        <f t="shared" ref="Z48:Z72" si="35">IF(T48=0,0,X48/T48)</f>
        <v>-0.87900841114283512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8"/>
        <v>0</v>
      </c>
      <c r="G49" s="2"/>
      <c r="H49" s="7">
        <v>1169</v>
      </c>
      <c r="I49" s="2"/>
      <c r="J49" s="6">
        <f t="shared" si="29"/>
        <v>4.0514173029136237E-3</v>
      </c>
      <c r="K49" s="2"/>
      <c r="L49" s="7">
        <f t="shared" si="30"/>
        <v>-1169</v>
      </c>
      <c r="M49" s="2"/>
      <c r="N49" s="6">
        <f t="shared" si="31"/>
        <v>-1</v>
      </c>
      <c r="O49" s="11"/>
      <c r="P49" s="7">
        <v>1567.93</v>
      </c>
      <c r="Q49" s="2"/>
      <c r="R49" s="6">
        <f t="shared" si="32"/>
        <v>1.5807584874288805E-3</v>
      </c>
      <c r="S49" s="2"/>
      <c r="T49" s="7">
        <v>12959</v>
      </c>
      <c r="U49" s="2"/>
      <c r="V49" s="6">
        <f t="shared" si="33"/>
        <v>3.2922013519390936E-3</v>
      </c>
      <c r="W49" s="2"/>
      <c r="X49" s="7">
        <f t="shared" si="34"/>
        <v>-11391.07</v>
      </c>
      <c r="Y49" s="2"/>
      <c r="Z49" s="6">
        <f t="shared" si="35"/>
        <v>-0.87900841114283512</v>
      </c>
    </row>
    <row r="50" spans="1:26" s="27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31</v>
      </c>
      <c r="I50" s="1"/>
      <c r="J50" s="5">
        <f t="shared" si="29"/>
        <v>1.0743707133474965E-4</v>
      </c>
      <c r="K50" s="1"/>
      <c r="L50" s="1">
        <f t="shared" si="30"/>
        <v>-31</v>
      </c>
      <c r="M50" s="1"/>
      <c r="N50" s="5">
        <f t="shared" si="31"/>
        <v>-1</v>
      </c>
      <c r="O50" s="13"/>
      <c r="P50" s="1">
        <f>SUM(OSRRefP22_3x_0)</f>
        <v>53.54</v>
      </c>
      <c r="Q50" s="1"/>
      <c r="R50" s="5">
        <f t="shared" si="32"/>
        <v>5.3978053495336054E-5</v>
      </c>
      <c r="S50" s="1"/>
      <c r="T50" s="1">
        <f>SUM(OSRRefT22_3x_0)</f>
        <v>325</v>
      </c>
      <c r="U50" s="1"/>
      <c r="V50" s="5">
        <f t="shared" si="33"/>
        <v>8.2565432470113858E-5</v>
      </c>
      <c r="W50" s="1"/>
      <c r="X50" s="1">
        <f t="shared" si="34"/>
        <v>-271.45999999999998</v>
      </c>
      <c r="Y50" s="1"/>
      <c r="Z50" s="5">
        <f t="shared" si="35"/>
        <v>-0.83526153846153839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8"/>
        <v>0</v>
      </c>
      <c r="G51" s="2"/>
      <c r="H51" s="7">
        <v>31</v>
      </c>
      <c r="I51" s="2"/>
      <c r="J51" s="6">
        <f t="shared" si="29"/>
        <v>1.0743707133474965E-4</v>
      </c>
      <c r="K51" s="2"/>
      <c r="L51" s="7">
        <f t="shared" si="30"/>
        <v>-31</v>
      </c>
      <c r="M51" s="2"/>
      <c r="N51" s="6">
        <f t="shared" si="31"/>
        <v>-1</v>
      </c>
      <c r="O51" s="11"/>
      <c r="P51" s="7">
        <v>53.54</v>
      </c>
      <c r="Q51" s="2"/>
      <c r="R51" s="6">
        <f t="shared" si="32"/>
        <v>5.3978053495336054E-5</v>
      </c>
      <c r="S51" s="2"/>
      <c r="T51" s="7">
        <v>325</v>
      </c>
      <c r="U51" s="2"/>
      <c r="V51" s="6">
        <f t="shared" si="33"/>
        <v>8.2565432470113858E-5</v>
      </c>
      <c r="W51" s="2"/>
      <c r="X51" s="7">
        <f t="shared" si="34"/>
        <v>-271.45999999999998</v>
      </c>
      <c r="Y51" s="2"/>
      <c r="Z51" s="6">
        <f t="shared" si="35"/>
        <v>-0.83526153846153839</v>
      </c>
    </row>
    <row r="52" spans="1:26" s="27" customFormat="1" outlineLevel="1" collapsed="1" x14ac:dyDescent="0.25">
      <c r="A52" s="26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77.19</v>
      </c>
      <c r="E52" s="1"/>
      <c r="F52" s="5">
        <f t="shared" si="28"/>
        <v>1.5276466641730342E-3</v>
      </c>
      <c r="G52" s="1"/>
      <c r="H52" s="1">
        <f>SUM(OSRRefH22_4x_0)</f>
        <v>386</v>
      </c>
      <c r="I52" s="1"/>
      <c r="J52" s="5">
        <f t="shared" si="29"/>
        <v>1.3377648237165602E-3</v>
      </c>
      <c r="K52" s="1"/>
      <c r="L52" s="1">
        <f t="shared" si="30"/>
        <v>-308.81</v>
      </c>
      <c r="M52" s="1"/>
      <c r="N52" s="5">
        <f t="shared" si="31"/>
        <v>-0.80002590673575125</v>
      </c>
      <c r="O52" s="13"/>
      <c r="P52" s="1">
        <f>SUM(OSRRefP22_4x_0)</f>
        <v>423.53</v>
      </c>
      <c r="Q52" s="1"/>
      <c r="R52" s="5">
        <f t="shared" si="32"/>
        <v>4.2699523714754721E-4</v>
      </c>
      <c r="S52" s="1"/>
      <c r="T52" s="1">
        <f>SUM(OSRRefT22_4x_0)</f>
        <v>4326</v>
      </c>
      <c r="U52" s="1"/>
      <c r="V52" s="5">
        <f t="shared" si="33"/>
        <v>1.0990094180483463E-3</v>
      </c>
      <c r="W52" s="1"/>
      <c r="X52" s="1">
        <f t="shared" si="34"/>
        <v>-3902.4700000000003</v>
      </c>
      <c r="Y52" s="1"/>
      <c r="Z52" s="5">
        <f t="shared" si="35"/>
        <v>-0.9020966250577902</v>
      </c>
    </row>
    <row r="53" spans="1:26" s="24" customFormat="1" hidden="1" outlineLevel="2" x14ac:dyDescent="0.25">
      <c r="A53" s="25"/>
      <c r="B53" s="11" t="str">
        <f>CONCATENATE("          ", "6381", " - ", "BANK/CREDIT CARD FEES")</f>
        <v xml:space="preserve">          6381 - BANK/CREDIT CARD FEES</v>
      </c>
      <c r="C53" s="11"/>
      <c r="D53" s="7">
        <v>77.19</v>
      </c>
      <c r="E53" s="2"/>
      <c r="F53" s="6">
        <f t="shared" si="28"/>
        <v>1.5276466641730342E-3</v>
      </c>
      <c r="G53" s="2"/>
      <c r="H53" s="7">
        <v>386</v>
      </c>
      <c r="I53" s="2"/>
      <c r="J53" s="6">
        <f t="shared" si="29"/>
        <v>1.3377648237165602E-3</v>
      </c>
      <c r="K53" s="2"/>
      <c r="L53" s="7">
        <f t="shared" si="30"/>
        <v>-308.81</v>
      </c>
      <c r="M53" s="2"/>
      <c r="N53" s="6">
        <f t="shared" si="31"/>
        <v>-0.80002590673575125</v>
      </c>
      <c r="O53" s="11"/>
      <c r="P53" s="7">
        <v>423.53</v>
      </c>
      <c r="Q53" s="2"/>
      <c r="R53" s="6">
        <f t="shared" si="32"/>
        <v>4.2699523714754721E-4</v>
      </c>
      <c r="S53" s="2"/>
      <c r="T53" s="7">
        <v>4326</v>
      </c>
      <c r="U53" s="2"/>
      <c r="V53" s="6">
        <f t="shared" si="33"/>
        <v>1.0990094180483463E-3</v>
      </c>
      <c r="W53" s="2"/>
      <c r="X53" s="7">
        <f t="shared" si="34"/>
        <v>-3902.4700000000003</v>
      </c>
      <c r="Y53" s="2"/>
      <c r="Z53" s="6">
        <f t="shared" si="35"/>
        <v>-0.9020966250577902</v>
      </c>
    </row>
    <row r="54" spans="1:26" s="27" customFormat="1" outlineLevel="1" collapsed="1" x14ac:dyDescent="0.25">
      <c r="A54" s="26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758.5</v>
      </c>
      <c r="E54" s="1"/>
      <c r="F54" s="5">
        <f t="shared" si="28"/>
        <v>1.5011270822324736E-2</v>
      </c>
      <c r="G54" s="1"/>
      <c r="H54" s="1">
        <f>SUM(OSRRefH22_5x_0)</f>
        <v>213</v>
      </c>
      <c r="I54" s="1"/>
      <c r="J54" s="5">
        <f t="shared" si="29"/>
        <v>7.3819665142908634E-4</v>
      </c>
      <c r="K54" s="1"/>
      <c r="L54" s="1">
        <f t="shared" si="30"/>
        <v>545.5</v>
      </c>
      <c r="M54" s="1"/>
      <c r="N54" s="5">
        <f t="shared" si="31"/>
        <v>2.5610328638497655</v>
      </c>
      <c r="O54" s="13"/>
      <c r="P54" s="1">
        <f>SUM(OSRRefP22_5x_0)</f>
        <v>7815.06</v>
      </c>
      <c r="Q54" s="1"/>
      <c r="R54" s="5">
        <f t="shared" si="32"/>
        <v>7.8790012467176134E-3</v>
      </c>
      <c r="S54" s="1"/>
      <c r="T54" s="1">
        <f>SUM(OSRRefT22_5x_0)</f>
        <v>2343</v>
      </c>
      <c r="U54" s="1"/>
      <c r="V54" s="5">
        <f t="shared" si="33"/>
        <v>5.9523325623839001E-4</v>
      </c>
      <c r="W54" s="1"/>
      <c r="X54" s="1">
        <f t="shared" si="34"/>
        <v>5472.06</v>
      </c>
      <c r="Y54" s="1"/>
      <c r="Z54" s="5">
        <f t="shared" si="35"/>
        <v>2.3354929577464789</v>
      </c>
    </row>
    <row r="55" spans="1:26" s="24" customFormat="1" hidden="1" outlineLevel="2" x14ac:dyDescent="0.25">
      <c r="A55" s="25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758.5</v>
      </c>
      <c r="E55" s="2"/>
      <c r="F55" s="6">
        <f t="shared" si="28"/>
        <v>1.5011270822324736E-2</v>
      </c>
      <c r="G55" s="2"/>
      <c r="H55" s="7">
        <v>213</v>
      </c>
      <c r="I55" s="2"/>
      <c r="J55" s="6">
        <f t="shared" si="29"/>
        <v>7.3819665142908634E-4</v>
      </c>
      <c r="K55" s="2"/>
      <c r="L55" s="7">
        <f t="shared" si="30"/>
        <v>545.5</v>
      </c>
      <c r="M55" s="2"/>
      <c r="N55" s="6">
        <f t="shared" si="31"/>
        <v>2.5610328638497655</v>
      </c>
      <c r="O55" s="11"/>
      <c r="P55" s="7">
        <v>7815.06</v>
      </c>
      <c r="Q55" s="2"/>
      <c r="R55" s="6">
        <f t="shared" si="32"/>
        <v>7.8790012467176134E-3</v>
      </c>
      <c r="S55" s="2"/>
      <c r="T55" s="7">
        <v>2343</v>
      </c>
      <c r="U55" s="2"/>
      <c r="V55" s="6">
        <f t="shared" si="33"/>
        <v>5.9523325623839001E-4</v>
      </c>
      <c r="W55" s="2"/>
      <c r="X55" s="7">
        <f t="shared" si="34"/>
        <v>5472.06</v>
      </c>
      <c r="Y55" s="2"/>
      <c r="Z55" s="6">
        <f t="shared" si="35"/>
        <v>2.3354929577464789</v>
      </c>
    </row>
    <row r="56" spans="1:26" s="27" customFormat="1" outlineLevel="1" collapsed="1" x14ac:dyDescent="0.25">
      <c r="A56" s="26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3603.41</v>
      </c>
      <c r="E56" s="1"/>
      <c r="F56" s="5">
        <f t="shared" si="28"/>
        <v>7.1314124448085936E-2</v>
      </c>
      <c r="G56" s="1"/>
      <c r="H56" s="1">
        <f>SUM(OSRRefH22_6x_0)</f>
        <v>10773</v>
      </c>
      <c r="I56" s="1"/>
      <c r="J56" s="5">
        <f t="shared" si="29"/>
        <v>3.7336115144814774E-2</v>
      </c>
      <c r="K56" s="1"/>
      <c r="L56" s="1">
        <f t="shared" si="30"/>
        <v>-7169.59</v>
      </c>
      <c r="M56" s="1"/>
      <c r="N56" s="5">
        <f t="shared" si="31"/>
        <v>-0.66551471270769513</v>
      </c>
      <c r="O56" s="13"/>
      <c r="P56" s="1">
        <f>SUM(OSRRefP22_6x_0)</f>
        <v>61909.05</v>
      </c>
      <c r="Q56" s="1"/>
      <c r="R56" s="5">
        <f t="shared" si="32"/>
        <v>6.2415577376642412E-2</v>
      </c>
      <c r="S56" s="1"/>
      <c r="T56" s="1">
        <f>SUM(OSRRefT22_6x_0)</f>
        <v>130730</v>
      </c>
      <c r="U56" s="1"/>
      <c r="V56" s="5">
        <f t="shared" si="33"/>
        <v>3.3211627651747642E-2</v>
      </c>
      <c r="W56" s="1"/>
      <c r="X56" s="1">
        <f t="shared" si="34"/>
        <v>-68820.95</v>
      </c>
      <c r="Y56" s="1"/>
      <c r="Z56" s="5">
        <f t="shared" si="35"/>
        <v>-0.5264357836762793</v>
      </c>
    </row>
    <row r="57" spans="1:26" s="24" customFormat="1" hidden="1" outlineLevel="2" x14ac:dyDescent="0.25">
      <c r="A57" s="25"/>
      <c r="B57" s="11" t="str">
        <f>CONCATENATE("          ", "6399", " - ", "DONATION-ON CAMPUS")</f>
        <v xml:space="preserve">          6399 - DONATION-ON CAMPUS</v>
      </c>
      <c r="C57" s="11"/>
      <c r="D57" s="7">
        <v>3603.41</v>
      </c>
      <c r="E57" s="2"/>
      <c r="F57" s="6">
        <f t="shared" si="28"/>
        <v>7.1314124448085936E-2</v>
      </c>
      <c r="G57" s="2"/>
      <c r="H57" s="7">
        <v>10773</v>
      </c>
      <c r="I57" s="2"/>
      <c r="J57" s="6">
        <f t="shared" si="29"/>
        <v>3.7336115144814774E-2</v>
      </c>
      <c r="K57" s="2"/>
      <c r="L57" s="7">
        <f t="shared" si="30"/>
        <v>-7169.59</v>
      </c>
      <c r="M57" s="2"/>
      <c r="N57" s="6">
        <f t="shared" si="31"/>
        <v>-0.66551471270769513</v>
      </c>
      <c r="O57" s="11"/>
      <c r="P57" s="7">
        <v>61909.05</v>
      </c>
      <c r="Q57" s="2"/>
      <c r="R57" s="6">
        <f t="shared" si="32"/>
        <v>6.2415577376642412E-2</v>
      </c>
      <c r="S57" s="2"/>
      <c r="T57" s="7">
        <v>130730</v>
      </c>
      <c r="U57" s="2"/>
      <c r="V57" s="6">
        <f t="shared" si="33"/>
        <v>3.3211627651747642E-2</v>
      </c>
      <c r="W57" s="2"/>
      <c r="X57" s="7">
        <f t="shared" si="34"/>
        <v>-68820.95</v>
      </c>
      <c r="Y57" s="2"/>
      <c r="Z57" s="6">
        <f t="shared" si="35"/>
        <v>-0.5264357836762793</v>
      </c>
    </row>
    <row r="58" spans="1:26" s="27" customFormat="1" outlineLevel="1" collapsed="1" x14ac:dyDescent="0.25">
      <c r="A58" s="26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300</v>
      </c>
      <c r="I58" s="1"/>
      <c r="J58" s="5">
        <f t="shared" si="29"/>
        <v>1.0397135935620934E-3</v>
      </c>
      <c r="K58" s="1"/>
      <c r="L58" s="1">
        <f t="shared" si="30"/>
        <v>-300</v>
      </c>
      <c r="M58" s="1"/>
      <c r="N58" s="5">
        <f t="shared" si="31"/>
        <v>-1</v>
      </c>
      <c r="O58" s="13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3100</v>
      </c>
      <c r="U58" s="1"/>
      <c r="V58" s="5">
        <f t="shared" si="33"/>
        <v>7.8754720202262442E-4</v>
      </c>
      <c r="W58" s="1"/>
      <c r="X58" s="1">
        <f t="shared" si="34"/>
        <v>-3100</v>
      </c>
      <c r="Y58" s="1"/>
      <c r="Z58" s="5">
        <f t="shared" si="35"/>
        <v>-1</v>
      </c>
    </row>
    <row r="59" spans="1:26" s="24" customFormat="1" hidden="1" outlineLevel="2" x14ac:dyDescent="0.25">
      <c r="A59" s="25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300</v>
      </c>
      <c r="I59" s="2"/>
      <c r="J59" s="6">
        <f t="shared" si="29"/>
        <v>1.0397135935620934E-3</v>
      </c>
      <c r="K59" s="2"/>
      <c r="L59" s="7">
        <f t="shared" si="30"/>
        <v>-300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3100</v>
      </c>
      <c r="U59" s="2"/>
      <c r="V59" s="6">
        <f t="shared" si="33"/>
        <v>7.8754720202262442E-4</v>
      </c>
      <c r="W59" s="2"/>
      <c r="X59" s="7">
        <f t="shared" si="34"/>
        <v>-3100</v>
      </c>
      <c r="Y59" s="2"/>
      <c r="Z59" s="6">
        <f t="shared" si="35"/>
        <v>-1</v>
      </c>
    </row>
    <row r="60" spans="1:26" s="27" customFormat="1" outlineLevel="1" collapsed="1" x14ac:dyDescent="0.25">
      <c r="A60" s="26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808.32</v>
      </c>
      <c r="E60" s="1"/>
      <c r="F60" s="5">
        <f t="shared" si="28"/>
        <v>1.5997245129995428E-2</v>
      </c>
      <c r="G60" s="1"/>
      <c r="H60" s="1">
        <f>SUM(OSRRefH22_8x_0)</f>
        <v>690</v>
      </c>
      <c r="I60" s="1"/>
      <c r="J60" s="5">
        <f t="shared" si="29"/>
        <v>2.3913412651928147E-3</v>
      </c>
      <c r="K60" s="1"/>
      <c r="L60" s="1">
        <f t="shared" si="30"/>
        <v>118.32000000000005</v>
      </c>
      <c r="M60" s="1"/>
      <c r="N60" s="5">
        <f t="shared" si="31"/>
        <v>0.1714782608695653</v>
      </c>
      <c r="O60" s="13"/>
      <c r="P60" s="1">
        <f>SUM(OSRRefP22_8x_0)</f>
        <v>6285.5</v>
      </c>
      <c r="Q60" s="1"/>
      <c r="R60" s="5">
        <f t="shared" si="32"/>
        <v>6.3369266948997902E-3</v>
      </c>
      <c r="S60" s="1"/>
      <c r="T60" s="1">
        <f>SUM(OSRRefT22_8x_0)</f>
        <v>7590</v>
      </c>
      <c r="U60" s="1"/>
      <c r="V60" s="5">
        <f t="shared" si="33"/>
        <v>1.9282204075328129E-3</v>
      </c>
      <c r="W60" s="1"/>
      <c r="X60" s="1">
        <f t="shared" si="34"/>
        <v>-1304.5</v>
      </c>
      <c r="Y60" s="1"/>
      <c r="Z60" s="5">
        <f t="shared" si="35"/>
        <v>-0.17187088274044796</v>
      </c>
    </row>
    <row r="61" spans="1:26" s="24" customFormat="1" hidden="1" outlineLevel="2" x14ac:dyDescent="0.25">
      <c r="A61" s="25"/>
      <c r="B61" s="11" t="str">
        <f>CONCATENATE("          ", "6351", " - ", "EQUIPMENT RENTAL")</f>
        <v xml:space="preserve">          6351 - EQUIPMENT RENTAL</v>
      </c>
      <c r="C61" s="11"/>
      <c r="D61" s="7">
        <v>808.32</v>
      </c>
      <c r="E61" s="2"/>
      <c r="F61" s="6">
        <f t="shared" si="28"/>
        <v>1.5997245129995428E-2</v>
      </c>
      <c r="G61" s="2"/>
      <c r="H61" s="7">
        <v>690</v>
      </c>
      <c r="I61" s="2"/>
      <c r="J61" s="6">
        <f t="shared" si="29"/>
        <v>2.3913412651928147E-3</v>
      </c>
      <c r="K61" s="2"/>
      <c r="L61" s="7">
        <f t="shared" si="30"/>
        <v>118.32000000000005</v>
      </c>
      <c r="M61" s="2"/>
      <c r="N61" s="6">
        <f t="shared" si="31"/>
        <v>0.1714782608695653</v>
      </c>
      <c r="O61" s="11"/>
      <c r="P61" s="7">
        <v>6285.5</v>
      </c>
      <c r="Q61" s="2"/>
      <c r="R61" s="6">
        <f t="shared" si="32"/>
        <v>6.3369266948997902E-3</v>
      </c>
      <c r="S61" s="2"/>
      <c r="T61" s="7">
        <v>7590</v>
      </c>
      <c r="U61" s="2"/>
      <c r="V61" s="6">
        <f t="shared" si="33"/>
        <v>1.9282204075328129E-3</v>
      </c>
      <c r="W61" s="2"/>
      <c r="X61" s="7">
        <f t="shared" si="34"/>
        <v>-1304.5</v>
      </c>
      <c r="Y61" s="2"/>
      <c r="Z61" s="6">
        <f t="shared" si="35"/>
        <v>-0.17187088274044796</v>
      </c>
    </row>
    <row r="62" spans="1:26" s="27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303.18</v>
      </c>
      <c r="E62" s="1"/>
      <c r="F62" s="5">
        <f t="shared" si="28"/>
        <v>6.0001543677157734E-3</v>
      </c>
      <c r="G62" s="1"/>
      <c r="H62" s="1">
        <f>SUM(OSRRefH22_9x_0)</f>
        <v>430</v>
      </c>
      <c r="I62" s="1"/>
      <c r="J62" s="5">
        <f t="shared" si="29"/>
        <v>1.490256150772334E-3</v>
      </c>
      <c r="K62" s="1"/>
      <c r="L62" s="1">
        <f t="shared" si="30"/>
        <v>-126.82</v>
      </c>
      <c r="M62" s="1"/>
      <c r="N62" s="5">
        <f t="shared" si="31"/>
        <v>-0.29493023255813949</v>
      </c>
      <c r="O62" s="13"/>
      <c r="P62" s="1">
        <f>SUM(OSRRefP22_9x_0)</f>
        <v>7916.93</v>
      </c>
      <c r="Q62" s="1"/>
      <c r="R62" s="5">
        <f t="shared" si="32"/>
        <v>7.9817047265377441E-3</v>
      </c>
      <c r="S62" s="1"/>
      <c r="T62" s="1">
        <f>SUM(OSRRefT22_9x_0)</f>
        <v>9150</v>
      </c>
      <c r="U62" s="1"/>
      <c r="V62" s="5">
        <f t="shared" si="33"/>
        <v>2.3245344833893594E-3</v>
      </c>
      <c r="W62" s="1"/>
      <c r="X62" s="1">
        <f t="shared" si="34"/>
        <v>-1233.0699999999997</v>
      </c>
      <c r="Y62" s="1"/>
      <c r="Z62" s="5">
        <f t="shared" si="35"/>
        <v>-0.13476174863387974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7">
        <v>303.18</v>
      </c>
      <c r="E63" s="2"/>
      <c r="F63" s="6">
        <f t="shared" si="28"/>
        <v>6.0001543677157734E-3</v>
      </c>
      <c r="G63" s="2"/>
      <c r="H63" s="7">
        <v>430</v>
      </c>
      <c r="I63" s="2"/>
      <c r="J63" s="6">
        <f t="shared" si="29"/>
        <v>1.490256150772334E-3</v>
      </c>
      <c r="K63" s="2"/>
      <c r="L63" s="7">
        <f t="shared" si="30"/>
        <v>-126.82</v>
      </c>
      <c r="M63" s="2"/>
      <c r="N63" s="6">
        <f t="shared" si="31"/>
        <v>-0.29493023255813949</v>
      </c>
      <c r="O63" s="11"/>
      <c r="P63" s="7">
        <v>7916.93</v>
      </c>
      <c r="Q63" s="2"/>
      <c r="R63" s="6">
        <f t="shared" si="32"/>
        <v>7.9817047265377441E-3</v>
      </c>
      <c r="S63" s="2"/>
      <c r="T63" s="7">
        <v>9150</v>
      </c>
      <c r="U63" s="2"/>
      <c r="V63" s="6">
        <f t="shared" si="33"/>
        <v>2.3245344833893594E-3</v>
      </c>
      <c r="W63" s="2"/>
      <c r="X63" s="7">
        <f t="shared" si="34"/>
        <v>-1233.0699999999997</v>
      </c>
      <c r="Y63" s="2"/>
      <c r="Z63" s="6">
        <f t="shared" si="35"/>
        <v>-0.13476174863387974</v>
      </c>
    </row>
    <row r="64" spans="1:26" s="27" customFormat="1" outlineLevel="1" collapsed="1" x14ac:dyDescent="0.25">
      <c r="A64" s="26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SUM(OSRRefD22_10x_0)</f>
        <v>5.9</v>
      </c>
      <c r="E64" s="1"/>
      <c r="F64" s="5">
        <f t="shared" si="28"/>
        <v>1.1676532346963211E-4</v>
      </c>
      <c r="G64" s="1"/>
      <c r="H64" s="1">
        <f>SUM(OSRRefH22_10x_0)</f>
        <v>7</v>
      </c>
      <c r="I64" s="1"/>
      <c r="J64" s="5">
        <f t="shared" si="29"/>
        <v>2.4259983849782181E-5</v>
      </c>
      <c r="K64" s="1"/>
      <c r="L64" s="1">
        <f t="shared" si="30"/>
        <v>-1.0999999999999996</v>
      </c>
      <c r="M64" s="1"/>
      <c r="N64" s="5">
        <f t="shared" si="31"/>
        <v>-0.15714285714285708</v>
      </c>
      <c r="O64" s="13"/>
      <c r="P64" s="1">
        <f>SUM(OSRRefP22_10x_0)</f>
        <v>64.900000000000006</v>
      </c>
      <c r="Q64" s="1"/>
      <c r="R64" s="5">
        <f t="shared" si="32"/>
        <v>6.5430998727069662E-5</v>
      </c>
      <c r="S64" s="1"/>
      <c r="T64" s="1">
        <f>SUM(OSRRefT22_10x_0)</f>
        <v>77</v>
      </c>
      <c r="U64" s="1"/>
      <c r="V64" s="5">
        <f t="shared" si="33"/>
        <v>1.9561656308303898E-5</v>
      </c>
      <c r="W64" s="1"/>
      <c r="X64" s="1">
        <f t="shared" si="34"/>
        <v>-12.099999999999994</v>
      </c>
      <c r="Y64" s="1"/>
      <c r="Z64" s="5">
        <f t="shared" si="35"/>
        <v>-0.15714285714285706</v>
      </c>
    </row>
    <row r="65" spans="1:26" s="24" customFormat="1" hidden="1" outlineLevel="2" x14ac:dyDescent="0.25">
      <c r="A65" s="25"/>
      <c r="B65" s="11" t="str">
        <f>CONCATENATE("          ", "6314", " - ", "LIABILITY INSURANCE")</f>
        <v xml:space="preserve">          6314 - LIABILITY INSURANCE</v>
      </c>
      <c r="C65" s="11"/>
      <c r="D65" s="7">
        <v>5.9</v>
      </c>
      <c r="E65" s="2"/>
      <c r="F65" s="6">
        <f t="shared" si="28"/>
        <v>1.1676532346963211E-4</v>
      </c>
      <c r="G65" s="2"/>
      <c r="H65" s="7">
        <v>7</v>
      </c>
      <c r="I65" s="2"/>
      <c r="J65" s="6">
        <f t="shared" si="29"/>
        <v>2.4259983849782181E-5</v>
      </c>
      <c r="K65" s="2"/>
      <c r="L65" s="7">
        <f t="shared" si="30"/>
        <v>-1.0999999999999996</v>
      </c>
      <c r="M65" s="2"/>
      <c r="N65" s="6">
        <f t="shared" si="31"/>
        <v>-0.15714285714285708</v>
      </c>
      <c r="O65" s="11"/>
      <c r="P65" s="7">
        <v>64.900000000000006</v>
      </c>
      <c r="Q65" s="2"/>
      <c r="R65" s="6">
        <f t="shared" si="32"/>
        <v>6.5430998727069662E-5</v>
      </c>
      <c r="S65" s="2"/>
      <c r="T65" s="7">
        <v>77</v>
      </c>
      <c r="U65" s="2"/>
      <c r="V65" s="6">
        <f t="shared" si="33"/>
        <v>1.9561656308303898E-5</v>
      </c>
      <c r="W65" s="2"/>
      <c r="X65" s="7">
        <f t="shared" si="34"/>
        <v>-12.099999999999994</v>
      </c>
      <c r="Y65" s="2"/>
      <c r="Z65" s="6">
        <f t="shared" si="35"/>
        <v>-0.15714285714285706</v>
      </c>
    </row>
    <row r="66" spans="1:26" s="27" customFormat="1" outlineLevel="1" collapsed="1" x14ac:dyDescent="0.25">
      <c r="A66" s="26"/>
      <c r="B66" s="13" t="str">
        <f>CONCATENATE("     ","R/H Commissions                                   ")</f>
        <v xml:space="preserve">     R/H Commissions                                   </v>
      </c>
      <c r="C66" s="13"/>
      <c r="D66" s="1">
        <f>SUM(OSRRefD22_11x_0)</f>
        <v>3760.68</v>
      </c>
      <c r="E66" s="1"/>
      <c r="F66" s="5">
        <f t="shared" si="28"/>
        <v>7.4426612994199323E-2</v>
      </c>
      <c r="G66" s="1"/>
      <c r="H66" s="1">
        <f>SUM(OSRRefH22_11x_0)</f>
        <v>23083</v>
      </c>
      <c r="I66" s="1"/>
      <c r="J66" s="5">
        <f t="shared" si="29"/>
        <v>7.9999029600646004E-2</v>
      </c>
      <c r="K66" s="1"/>
      <c r="L66" s="1">
        <f t="shared" si="30"/>
        <v>-19322.32</v>
      </c>
      <c r="M66" s="1"/>
      <c r="N66" s="5">
        <f t="shared" si="31"/>
        <v>-0.8370801022397435</v>
      </c>
      <c r="O66" s="13"/>
      <c r="P66" s="1">
        <f>SUM(OSRRefP22_11x_0)</f>
        <v>69400.47</v>
      </c>
      <c r="Q66" s="1"/>
      <c r="R66" s="5">
        <f t="shared" si="32"/>
        <v>6.9968290666071437E-2</v>
      </c>
      <c r="S66" s="1"/>
      <c r="T66" s="1">
        <f>SUM(OSRRefT22_11x_0)</f>
        <v>317179</v>
      </c>
      <c r="U66" s="1"/>
      <c r="V66" s="5">
        <f t="shared" si="33"/>
        <v>8.0578527093656135E-2</v>
      </c>
      <c r="W66" s="1"/>
      <c r="X66" s="1">
        <f t="shared" si="34"/>
        <v>-247778.53</v>
      </c>
      <c r="Y66" s="1"/>
      <c r="Z66" s="5">
        <f t="shared" si="35"/>
        <v>-0.78119462511704751</v>
      </c>
    </row>
    <row r="67" spans="1:26" s="24" customFormat="1" hidden="1" outlineLevel="2" x14ac:dyDescent="0.25">
      <c r="A67" s="25"/>
      <c r="B67" s="11" t="str">
        <f>CONCATENATE("          ", "6387", " - ", "COMMISSION DUE HOUSING")</f>
        <v xml:space="preserve">          6387 - COMMISSION DUE HOUSING</v>
      </c>
      <c r="C67" s="11"/>
      <c r="D67" s="7">
        <v>3760.68</v>
      </c>
      <c r="E67" s="2"/>
      <c r="F67" s="6">
        <f t="shared" si="28"/>
        <v>7.4426612994199323E-2</v>
      </c>
      <c r="G67" s="2"/>
      <c r="H67" s="7">
        <v>23083</v>
      </c>
      <c r="I67" s="2"/>
      <c r="J67" s="6">
        <f t="shared" si="29"/>
        <v>7.9999029600646004E-2</v>
      </c>
      <c r="K67" s="2"/>
      <c r="L67" s="7">
        <f t="shared" si="30"/>
        <v>-19322.32</v>
      </c>
      <c r="M67" s="2"/>
      <c r="N67" s="6">
        <f t="shared" si="31"/>
        <v>-0.8370801022397435</v>
      </c>
      <c r="O67" s="11"/>
      <c r="P67" s="7">
        <v>69400.47</v>
      </c>
      <c r="Q67" s="2"/>
      <c r="R67" s="6">
        <f t="shared" si="32"/>
        <v>6.9968290666071437E-2</v>
      </c>
      <c r="S67" s="2"/>
      <c r="T67" s="7">
        <v>317179</v>
      </c>
      <c r="U67" s="2"/>
      <c r="V67" s="6">
        <f t="shared" si="33"/>
        <v>8.0578527093656135E-2</v>
      </c>
      <c r="W67" s="2"/>
      <c r="X67" s="7">
        <f t="shared" si="34"/>
        <v>-247778.53</v>
      </c>
      <c r="Y67" s="2"/>
      <c r="Z67" s="6">
        <f t="shared" si="35"/>
        <v>-0.78119462511704751</v>
      </c>
    </row>
    <row r="68" spans="1:26" s="27" customFormat="1" outlineLevel="1" collapsed="1" x14ac:dyDescent="0.25">
      <c r="A68" s="26"/>
      <c r="B68" s="13" t="str">
        <f>CONCATENATE("     ","Repair and Maintenance                            ")</f>
        <v xml:space="preserve">     Repair and Maintenance                            </v>
      </c>
      <c r="C68" s="13"/>
      <c r="D68" s="1">
        <f>SUM(OSRRefD22_12x_0)</f>
        <v>3515.29</v>
      </c>
      <c r="E68" s="1"/>
      <c r="F68" s="5">
        <f t="shared" si="28"/>
        <v>6.9570165074502213E-2</v>
      </c>
      <c r="G68" s="1"/>
      <c r="H68" s="1">
        <f>SUM(OSRRefH22_12x_0)</f>
        <v>2308</v>
      </c>
      <c r="I68" s="1"/>
      <c r="J68" s="5">
        <f t="shared" si="29"/>
        <v>7.9988632464710382E-3</v>
      </c>
      <c r="K68" s="1"/>
      <c r="L68" s="1">
        <f t="shared" si="30"/>
        <v>1207.29</v>
      </c>
      <c r="M68" s="1"/>
      <c r="N68" s="5">
        <f t="shared" si="31"/>
        <v>0.52308925476603119</v>
      </c>
      <c r="O68" s="13"/>
      <c r="P68" s="1">
        <f>SUM(OSRRefP22_12x_0)</f>
        <v>26077.27</v>
      </c>
      <c r="Q68" s="1"/>
      <c r="R68" s="5">
        <f t="shared" si="32"/>
        <v>2.6290628970345946E-2</v>
      </c>
      <c r="S68" s="1"/>
      <c r="T68" s="1">
        <f>SUM(OSRRefT22_12x_0)</f>
        <v>72616</v>
      </c>
      <c r="U68" s="1"/>
      <c r="V68" s="5">
        <f t="shared" si="33"/>
        <v>1.8447912136153193E-2</v>
      </c>
      <c r="W68" s="1"/>
      <c r="X68" s="1">
        <f t="shared" si="34"/>
        <v>-46538.729999999996</v>
      </c>
      <c r="Y68" s="1"/>
      <c r="Z68" s="5">
        <f t="shared" si="35"/>
        <v>-0.64088809628731958</v>
      </c>
    </row>
    <row r="69" spans="1:26" s="24" customFormat="1" hidden="1" outlineLevel="2" x14ac:dyDescent="0.25">
      <c r="A69" s="25"/>
      <c r="B69" s="11" t="str">
        <f>CONCATENATE("          ", "6371", " - ", "COMPUTER SOFTWARE MAINTENANCE")</f>
        <v xml:space="preserve">          6371 - COMPUTER SOFTWARE MAINTENANCE</v>
      </c>
      <c r="C69" s="11"/>
      <c r="D69" s="7">
        <v>3500</v>
      </c>
      <c r="E69" s="2"/>
      <c r="F69" s="6">
        <f t="shared" si="28"/>
        <v>6.9267564770120735E-2</v>
      </c>
      <c r="G69" s="2"/>
      <c r="H69" s="7"/>
      <c r="I69" s="2"/>
      <c r="J69" s="6">
        <f t="shared" si="29"/>
        <v>0</v>
      </c>
      <c r="K69" s="2"/>
      <c r="L69" s="7">
        <f t="shared" si="30"/>
        <v>3500</v>
      </c>
      <c r="M69" s="2"/>
      <c r="N69" s="6">
        <f t="shared" si="31"/>
        <v>0</v>
      </c>
      <c r="O69" s="11"/>
      <c r="P69" s="7">
        <v>21000</v>
      </c>
      <c r="Q69" s="2"/>
      <c r="R69" s="6">
        <f t="shared" si="32"/>
        <v>2.1171817769930091E-2</v>
      </c>
      <c r="S69" s="2"/>
      <c r="T69" s="7">
        <v>56745</v>
      </c>
      <c r="U69" s="2"/>
      <c r="V69" s="6">
        <f t="shared" si="33"/>
        <v>1.4415924509281879E-2</v>
      </c>
      <c r="W69" s="2"/>
      <c r="X69" s="7">
        <f t="shared" si="34"/>
        <v>-35745</v>
      </c>
      <c r="Y69" s="2"/>
      <c r="Z69" s="6">
        <f t="shared" si="35"/>
        <v>-0.62992334126354743</v>
      </c>
    </row>
    <row r="70" spans="1:26" s="24" customFormat="1" hidden="1" outlineLevel="2" x14ac:dyDescent="0.25">
      <c r="A70" s="25"/>
      <c r="B70" s="11" t="str">
        <f>CONCATENATE("          ", "6372", " - ", "COMPUTER HARDWARE MAINTENANCE")</f>
        <v xml:space="preserve">          6372 - COMPUTER HARDWARE MAINTENANCE</v>
      </c>
      <c r="C70" s="11"/>
      <c r="D70" s="7"/>
      <c r="E70" s="2"/>
      <c r="F70" s="6">
        <f t="shared" si="28"/>
        <v>0</v>
      </c>
      <c r="G70" s="2"/>
      <c r="H70" s="7"/>
      <c r="I70" s="2"/>
      <c r="J70" s="6">
        <f t="shared" si="29"/>
        <v>0</v>
      </c>
      <c r="K70" s="2"/>
      <c r="L70" s="7">
        <f t="shared" si="30"/>
        <v>0</v>
      </c>
      <c r="M70" s="2"/>
      <c r="N70" s="6">
        <f t="shared" si="31"/>
        <v>0</v>
      </c>
      <c r="O70" s="11"/>
      <c r="P70" s="7"/>
      <c r="Q70" s="2"/>
      <c r="R70" s="6">
        <f t="shared" si="32"/>
        <v>0</v>
      </c>
      <c r="S70" s="2"/>
      <c r="T70" s="7">
        <v>3083</v>
      </c>
      <c r="U70" s="2"/>
      <c r="V70" s="6">
        <f t="shared" si="33"/>
        <v>7.8322839478572621E-4</v>
      </c>
      <c r="W70" s="2"/>
      <c r="X70" s="7">
        <f t="shared" si="34"/>
        <v>-3083</v>
      </c>
      <c r="Y70" s="2"/>
      <c r="Z70" s="6">
        <f t="shared" si="35"/>
        <v>-1</v>
      </c>
    </row>
    <row r="71" spans="1:26" s="24" customFormat="1" hidden="1" outlineLevel="2" x14ac:dyDescent="0.25">
      <c r="A71" s="25"/>
      <c r="B71" s="11" t="str">
        <f>CONCATENATE("          ", "6373", " - ", "MAINTENANCE CONTRACTS")</f>
        <v xml:space="preserve">          6373 - MAINTENANCE CONTRACTS</v>
      </c>
      <c r="C71" s="11"/>
      <c r="D71" s="7">
        <v>10.89</v>
      </c>
      <c r="E71" s="2"/>
      <c r="F71" s="6">
        <f t="shared" si="28"/>
        <v>2.1552108009903281E-4</v>
      </c>
      <c r="G71" s="2"/>
      <c r="H71" s="7">
        <v>1858</v>
      </c>
      <c r="I71" s="2"/>
      <c r="J71" s="6">
        <f t="shared" si="29"/>
        <v>6.4392928561278987E-3</v>
      </c>
      <c r="K71" s="2"/>
      <c r="L71" s="7">
        <f t="shared" si="30"/>
        <v>-1847.11</v>
      </c>
      <c r="M71" s="2"/>
      <c r="N71" s="6">
        <f t="shared" si="31"/>
        <v>-0.99413885898815924</v>
      </c>
      <c r="O71" s="11"/>
      <c r="P71" s="7">
        <v>3250.3</v>
      </c>
      <c r="Q71" s="2"/>
      <c r="R71" s="6">
        <f t="shared" si="32"/>
        <v>3.2768932998858942E-3</v>
      </c>
      <c r="S71" s="2"/>
      <c r="T71" s="7">
        <v>7838</v>
      </c>
      <c r="U71" s="2"/>
      <c r="V71" s="6">
        <f t="shared" si="33"/>
        <v>1.9912241836946227E-3</v>
      </c>
      <c r="W71" s="2"/>
      <c r="X71" s="7">
        <f t="shared" si="34"/>
        <v>-4587.7</v>
      </c>
      <c r="Y71" s="2"/>
      <c r="Z71" s="6">
        <f t="shared" si="35"/>
        <v>-0.58531513141107427</v>
      </c>
    </row>
    <row r="72" spans="1:26" s="24" customFormat="1" hidden="1" outlineLevel="2" x14ac:dyDescent="0.25">
      <c r="A72" s="25"/>
      <c r="B72" s="11" t="str">
        <f>CONCATENATE("          ", "6375", " - ", "OUTSIDE REPAIRS &amp; MAINTENANCE")</f>
        <v xml:space="preserve">          6375 - OUTSIDE REPAIRS &amp; MAINTENANCE</v>
      </c>
      <c r="C72" s="11"/>
      <c r="D72" s="7">
        <v>4.4000000000000004</v>
      </c>
      <c r="E72" s="2"/>
      <c r="F72" s="6">
        <f t="shared" si="28"/>
        <v>8.7079224282437509E-5</v>
      </c>
      <c r="G72" s="2"/>
      <c r="H72" s="7">
        <v>450</v>
      </c>
      <c r="I72" s="2"/>
      <c r="J72" s="6">
        <f t="shared" si="29"/>
        <v>1.5595703903431401E-3</v>
      </c>
      <c r="K72" s="2"/>
      <c r="L72" s="7">
        <f t="shared" si="30"/>
        <v>-445.6</v>
      </c>
      <c r="M72" s="2"/>
      <c r="N72" s="6">
        <f t="shared" si="31"/>
        <v>-0.99022222222222223</v>
      </c>
      <c r="O72" s="11"/>
      <c r="P72" s="7">
        <v>1826.97</v>
      </c>
      <c r="Q72" s="2"/>
      <c r="R72" s="6">
        <f t="shared" si="32"/>
        <v>1.8419179005299609E-3</v>
      </c>
      <c r="S72" s="2"/>
      <c r="T72" s="7">
        <v>4950</v>
      </c>
      <c r="U72" s="2"/>
      <c r="V72" s="6">
        <f t="shared" si="33"/>
        <v>1.2575350483909648E-3</v>
      </c>
      <c r="W72" s="2"/>
      <c r="X72" s="7">
        <f t="shared" si="34"/>
        <v>-3123.0299999999997</v>
      </c>
      <c r="Y72" s="2"/>
      <c r="Z72" s="6">
        <f t="shared" si="35"/>
        <v>-0.63091515151515143</v>
      </c>
    </row>
    <row r="73" spans="1:26" s="27" customFormat="1" outlineLevel="1" collapsed="1" x14ac:dyDescent="0.25">
      <c r="A73" s="26"/>
      <c r="B73" s="13" t="str">
        <f>CONCATENATE("     ","Services                                          ")</f>
        <v xml:space="preserve">     Services                                          </v>
      </c>
      <c r="C73" s="13"/>
      <c r="D73" s="1">
        <f>SUM(OSRRefD22_13x_0)</f>
        <v>11620.48</v>
      </c>
      <c r="E73" s="1"/>
      <c r="F73" s="5">
        <f t="shared" ref="F73:F77" si="36">IF(D$12=0,0,D73/D$12)</f>
        <v>0.22997781458854075</v>
      </c>
      <c r="G73" s="1"/>
      <c r="H73" s="1">
        <f>SUM(OSRRefH22_13x_0)</f>
        <v>19902</v>
      </c>
      <c r="I73" s="1"/>
      <c r="J73" s="5">
        <f t="shared" ref="J73:J77" si="37">IF(H$12=0,0,H73/H$12)</f>
        <v>6.8974599796909272E-2</v>
      </c>
      <c r="K73" s="1"/>
      <c r="L73" s="1">
        <f t="shared" ref="L73:L77" si="38">+D73-H73</f>
        <v>-8281.52</v>
      </c>
      <c r="M73" s="1"/>
      <c r="N73" s="5">
        <f t="shared" ref="N73:N77" si="39">IF(H73=0,0,L73/H73)</f>
        <v>-0.41611496332026932</v>
      </c>
      <c r="O73" s="13"/>
      <c r="P73" s="1">
        <f>SUM(OSRRefP22_13x_0)</f>
        <v>129005.8</v>
      </c>
      <c r="Q73" s="1"/>
      <c r="R73" s="5">
        <f t="shared" ref="R73:R77" si="40">IF(P$12=0,0,P73/P$12)</f>
        <v>0.13006129946971653</v>
      </c>
      <c r="S73" s="1"/>
      <c r="T73" s="1">
        <f>SUM(OSRRefT22_13x_0)</f>
        <v>213960</v>
      </c>
      <c r="U73" s="1"/>
      <c r="V73" s="5">
        <f t="shared" ref="V73:V77" si="41">IF(T$12=0,0,T73/T$12)</f>
        <v>5.4355999788632495E-2</v>
      </c>
      <c r="W73" s="1"/>
      <c r="X73" s="1">
        <f t="shared" ref="X73:X77" si="42">+P73-T73</f>
        <v>-84954.2</v>
      </c>
      <c r="Y73" s="1"/>
      <c r="Z73" s="5">
        <f t="shared" ref="Z73:Z77" si="43">IF(T73=0,0,X73/T73)</f>
        <v>-0.39705645915124321</v>
      </c>
    </row>
    <row r="74" spans="1:26" s="24" customFormat="1" hidden="1" outlineLevel="2" x14ac:dyDescent="0.25">
      <c r="A74" s="25"/>
      <c r="B74" s="11" t="str">
        <f>CONCATENATE("          ", "6282", " - ", "JANITORIAL/EXTERMINATOR EXPENS")</f>
        <v xml:space="preserve">          6282 - JANITORIAL/EXTERMINATOR EXPENS</v>
      </c>
      <c r="C74" s="11"/>
      <c r="D74" s="7">
        <v>1508.3</v>
      </c>
      <c r="E74" s="2"/>
      <c r="F74" s="6">
        <f t="shared" si="36"/>
        <v>2.9850362269363745E-2</v>
      </c>
      <c r="G74" s="2"/>
      <c r="H74" s="7">
        <v>1750</v>
      </c>
      <c r="I74" s="2"/>
      <c r="J74" s="6">
        <f t="shared" si="37"/>
        <v>6.0649959624455452E-3</v>
      </c>
      <c r="K74" s="2"/>
      <c r="L74" s="7">
        <f t="shared" si="38"/>
        <v>-241.70000000000005</v>
      </c>
      <c r="M74" s="2"/>
      <c r="N74" s="6">
        <f t="shared" si="39"/>
        <v>-0.13811428571428574</v>
      </c>
      <c r="O74" s="11"/>
      <c r="P74" s="7">
        <v>15949.85</v>
      </c>
      <c r="Q74" s="2"/>
      <c r="R74" s="6">
        <f t="shared" si="40"/>
        <v>1.6080348459891404E-2</v>
      </c>
      <c r="S74" s="2"/>
      <c r="T74" s="7">
        <v>19250</v>
      </c>
      <c r="U74" s="2"/>
      <c r="V74" s="6">
        <f t="shared" si="41"/>
        <v>4.8904140770759741E-3</v>
      </c>
      <c r="W74" s="2"/>
      <c r="X74" s="7">
        <f t="shared" si="42"/>
        <v>-3300.1499999999996</v>
      </c>
      <c r="Y74" s="2"/>
      <c r="Z74" s="6">
        <f t="shared" si="43"/>
        <v>-0.17143636363636361</v>
      </c>
    </row>
    <row r="75" spans="1:26" s="24" customFormat="1" hidden="1" outlineLevel="2" x14ac:dyDescent="0.25">
      <c r="A75" s="25"/>
      <c r="B75" s="11" t="str">
        <f>CONCATENATE("          ", "6284", " - ", "TRASH REMOVAL EXPENSE")</f>
        <v xml:space="preserve">          6284 - TRASH REMOVAL EXPENSE</v>
      </c>
      <c r="C75" s="11"/>
      <c r="D75" s="7"/>
      <c r="E75" s="2"/>
      <c r="F75" s="6">
        <f t="shared" si="36"/>
        <v>0</v>
      </c>
      <c r="G75" s="2"/>
      <c r="H75" s="7">
        <v>500</v>
      </c>
      <c r="I75" s="2"/>
      <c r="J75" s="6">
        <f t="shared" si="37"/>
        <v>1.7328559892701558E-3</v>
      </c>
      <c r="K75" s="2"/>
      <c r="L75" s="7">
        <f t="shared" si="38"/>
        <v>-500</v>
      </c>
      <c r="M75" s="2"/>
      <c r="N75" s="6">
        <f t="shared" si="39"/>
        <v>-1</v>
      </c>
      <c r="O75" s="11"/>
      <c r="P75" s="7">
        <v>282.75</v>
      </c>
      <c r="Q75" s="2"/>
      <c r="R75" s="6">
        <f t="shared" si="40"/>
        <v>2.8506340354513015E-4</v>
      </c>
      <c r="S75" s="2"/>
      <c r="T75" s="7">
        <v>5500</v>
      </c>
      <c r="U75" s="2"/>
      <c r="V75" s="6">
        <f t="shared" si="41"/>
        <v>1.3972611648788498E-3</v>
      </c>
      <c r="W75" s="2"/>
      <c r="X75" s="7">
        <f t="shared" si="42"/>
        <v>-5217.25</v>
      </c>
      <c r="Y75" s="2"/>
      <c r="Z75" s="6">
        <f t="shared" si="43"/>
        <v>-0.94859090909090904</v>
      </c>
    </row>
    <row r="76" spans="1:26" s="24" customFormat="1" hidden="1" outlineLevel="2" x14ac:dyDescent="0.25">
      <c r="A76" s="25"/>
      <c r="B76" s="11" t="str">
        <f>CONCATENATE("          ", "6285", " - ", "JANITORIAL SERVICES")</f>
        <v xml:space="preserve">          6285 - JANITORIAL SERVICES</v>
      </c>
      <c r="C76" s="11"/>
      <c r="D76" s="7">
        <v>8897.19</v>
      </c>
      <c r="E76" s="2"/>
      <c r="F76" s="6">
        <f t="shared" si="36"/>
        <v>0.17608190988487729</v>
      </c>
      <c r="G76" s="2"/>
      <c r="H76" s="7">
        <v>13152</v>
      </c>
      <c r="I76" s="2"/>
      <c r="J76" s="6">
        <f t="shared" si="37"/>
        <v>4.5581043941762177E-2</v>
      </c>
      <c r="K76" s="2"/>
      <c r="L76" s="7">
        <f t="shared" si="38"/>
        <v>-4254.8099999999995</v>
      </c>
      <c r="M76" s="2"/>
      <c r="N76" s="6">
        <f t="shared" si="39"/>
        <v>-0.3235104927007299</v>
      </c>
      <c r="O76" s="11"/>
      <c r="P76" s="7">
        <v>96970.54</v>
      </c>
      <c r="Q76" s="2"/>
      <c r="R76" s="6">
        <f t="shared" si="40"/>
        <v>9.7763933425319832E-2</v>
      </c>
      <c r="S76" s="2"/>
      <c r="T76" s="7">
        <v>139710</v>
      </c>
      <c r="U76" s="2"/>
      <c r="V76" s="6">
        <f t="shared" si="41"/>
        <v>3.5492974062768023E-2</v>
      </c>
      <c r="W76" s="2"/>
      <c r="X76" s="7">
        <f t="shared" si="42"/>
        <v>-42739.460000000006</v>
      </c>
      <c r="Y76" s="2"/>
      <c r="Z76" s="6">
        <f t="shared" si="43"/>
        <v>-0.30591553933147236</v>
      </c>
    </row>
    <row r="77" spans="1:26" s="24" customFormat="1" hidden="1" outlineLevel="2" x14ac:dyDescent="0.25">
      <c r="A77" s="25"/>
      <c r="B77" s="11" t="str">
        <f>CONCATENATE("          ", "6286", " - ", "LAUNDRY EXPENSE")</f>
        <v xml:space="preserve">          6286 - LAUNDRY EXPENSE</v>
      </c>
      <c r="C77" s="11"/>
      <c r="D77" s="7">
        <v>1214.99</v>
      </c>
      <c r="E77" s="2"/>
      <c r="F77" s="6">
        <f t="shared" si="36"/>
        <v>2.4045542434299714E-2</v>
      </c>
      <c r="G77" s="2"/>
      <c r="H77" s="7">
        <v>4500</v>
      </c>
      <c r="I77" s="2"/>
      <c r="J77" s="6">
        <f t="shared" si="37"/>
        <v>1.5595703903431402E-2</v>
      </c>
      <c r="K77" s="2"/>
      <c r="L77" s="7">
        <f t="shared" si="38"/>
        <v>-3285.01</v>
      </c>
      <c r="M77" s="2"/>
      <c r="N77" s="6">
        <f t="shared" si="39"/>
        <v>-0.73000222222222222</v>
      </c>
      <c r="O77" s="11"/>
      <c r="P77" s="7">
        <v>15802.66</v>
      </c>
      <c r="Q77" s="2"/>
      <c r="R77" s="6">
        <f t="shared" si="40"/>
        <v>1.5931954180960165E-2</v>
      </c>
      <c r="S77" s="2"/>
      <c r="T77" s="7">
        <v>49500</v>
      </c>
      <c r="U77" s="2"/>
      <c r="V77" s="6">
        <f t="shared" si="41"/>
        <v>1.2575350483909649E-2</v>
      </c>
      <c r="W77" s="2"/>
      <c r="X77" s="7">
        <f t="shared" si="42"/>
        <v>-33697.339999999997</v>
      </c>
      <c r="Y77" s="2"/>
      <c r="Z77" s="6">
        <f t="shared" si="43"/>
        <v>-0.68075434343434338</v>
      </c>
    </row>
    <row r="78" spans="1:26" s="27" customFormat="1" outlineLevel="1" collapsed="1" x14ac:dyDescent="0.25">
      <c r="A78" s="26"/>
      <c r="B78" s="13" t="str">
        <f>CONCATENATE("     ","Subscriptions &amp; Dues                              ")</f>
        <v xml:space="preserve">     Subscriptions &amp; Dues                              </v>
      </c>
      <c r="C78" s="13"/>
      <c r="D78" s="1">
        <f>SUM(OSRRefD22_14x_0)</f>
        <v>0</v>
      </c>
      <c r="E78" s="1"/>
      <c r="F78" s="5">
        <f t="shared" ref="F78:F90" si="44">IF(D$12=0,0,D78/D$12)</f>
        <v>0</v>
      </c>
      <c r="G78" s="1"/>
      <c r="H78" s="1">
        <f>SUM(OSRRefH22_14x_0)</f>
        <v>0</v>
      </c>
      <c r="I78" s="1"/>
      <c r="J78" s="5">
        <f t="shared" ref="J78:J90" si="45">IF(H$12=0,0,H78/H$12)</f>
        <v>0</v>
      </c>
      <c r="K78" s="1"/>
      <c r="L78" s="1">
        <f t="shared" ref="L78:L90" si="46">+D78-H78</f>
        <v>0</v>
      </c>
      <c r="M78" s="1"/>
      <c r="N78" s="5">
        <f t="shared" ref="N78:N90" si="47">IF(H78=0,0,L78/H78)</f>
        <v>0</v>
      </c>
      <c r="O78" s="13"/>
      <c r="P78" s="1">
        <f>SUM(OSRRefP22_14x_0)</f>
        <v>795</v>
      </c>
      <c r="Q78" s="1"/>
      <c r="R78" s="5">
        <f t="shared" ref="R78:R90" si="48">IF(P$12=0,0,P78/P$12)</f>
        <v>8.0150452986163913E-4</v>
      </c>
      <c r="S78" s="1"/>
      <c r="T78" s="1">
        <f>SUM(OSRRefT22_14x_0)</f>
        <v>0</v>
      </c>
      <c r="U78" s="1"/>
      <c r="V78" s="5">
        <f t="shared" ref="V78:V90" si="49">IF(T$12=0,0,T78/T$12)</f>
        <v>0</v>
      </c>
      <c r="W78" s="1"/>
      <c r="X78" s="1">
        <f t="shared" ref="X78:X90" si="50">+P78-T78</f>
        <v>795</v>
      </c>
      <c r="Y78" s="1"/>
      <c r="Z78" s="5">
        <f t="shared" ref="Z78:Z90" si="51">IF(T78=0,0,X78/T78)</f>
        <v>0</v>
      </c>
    </row>
    <row r="79" spans="1:26" s="24" customFormat="1" hidden="1" outlineLevel="2" x14ac:dyDescent="0.25">
      <c r="A79" s="25"/>
      <c r="B79" s="11" t="str">
        <f>CONCATENATE("          ", "6258", " - ", "MEMBERSHIP DUES")</f>
        <v xml:space="preserve">          6258 - MEMBERSHIP DUES</v>
      </c>
      <c r="C79" s="11"/>
      <c r="D79" s="7"/>
      <c r="E79" s="2"/>
      <c r="F79" s="6">
        <f t="shared" si="44"/>
        <v>0</v>
      </c>
      <c r="G79" s="2"/>
      <c r="H79" s="7"/>
      <c r="I79" s="2"/>
      <c r="J79" s="6">
        <f t="shared" si="45"/>
        <v>0</v>
      </c>
      <c r="K79" s="2"/>
      <c r="L79" s="7">
        <f t="shared" si="46"/>
        <v>0</v>
      </c>
      <c r="M79" s="2"/>
      <c r="N79" s="6">
        <f t="shared" si="47"/>
        <v>0</v>
      </c>
      <c r="O79" s="11"/>
      <c r="P79" s="7">
        <v>795</v>
      </c>
      <c r="Q79" s="2"/>
      <c r="R79" s="6">
        <f t="shared" si="48"/>
        <v>8.0150452986163913E-4</v>
      </c>
      <c r="S79" s="2"/>
      <c r="T79" s="7"/>
      <c r="U79" s="2"/>
      <c r="V79" s="6">
        <f t="shared" si="49"/>
        <v>0</v>
      </c>
      <c r="W79" s="2"/>
      <c r="X79" s="7">
        <f t="shared" si="50"/>
        <v>795</v>
      </c>
      <c r="Y79" s="2"/>
      <c r="Z79" s="6">
        <f t="shared" si="51"/>
        <v>0</v>
      </c>
    </row>
    <row r="80" spans="1:26" s="27" customFormat="1" outlineLevel="1" collapsed="1" x14ac:dyDescent="0.25">
      <c r="A80" s="26"/>
      <c r="B80" s="13" t="str">
        <f>CONCATENATE("     ","Supplies                                          ")</f>
        <v xml:space="preserve">     Supplies                                          </v>
      </c>
      <c r="C80" s="13"/>
      <c r="D80" s="1">
        <f>SUM(OSRRefD22_15x_0)</f>
        <v>9812.35</v>
      </c>
      <c r="E80" s="1"/>
      <c r="F80" s="5">
        <f t="shared" si="44"/>
        <v>0.19419359690631263</v>
      </c>
      <c r="G80" s="1"/>
      <c r="H80" s="1">
        <f>SUM(OSRRefH22_15x_0)</f>
        <v>25868</v>
      </c>
      <c r="I80" s="1"/>
      <c r="J80" s="5">
        <f t="shared" si="45"/>
        <v>8.9651037460880781E-2</v>
      </c>
      <c r="K80" s="1"/>
      <c r="L80" s="1">
        <f t="shared" si="46"/>
        <v>-16055.65</v>
      </c>
      <c r="M80" s="1"/>
      <c r="N80" s="5">
        <f t="shared" si="47"/>
        <v>-0.6206761249420133</v>
      </c>
      <c r="O80" s="13"/>
      <c r="P80" s="1">
        <f>SUM(OSRRefP22_15x_0)</f>
        <v>143149.51</v>
      </c>
      <c r="Q80" s="1"/>
      <c r="R80" s="5">
        <f t="shared" si="48"/>
        <v>0.14432073045594215</v>
      </c>
      <c r="S80" s="1"/>
      <c r="T80" s="1">
        <f>SUM(OSRRefT22_15x_0)</f>
        <v>279710</v>
      </c>
      <c r="U80" s="1"/>
      <c r="V80" s="5">
        <f t="shared" si="49"/>
        <v>7.1059621896047837E-2</v>
      </c>
      <c r="W80" s="1"/>
      <c r="X80" s="1">
        <f t="shared" si="50"/>
        <v>-136560.49</v>
      </c>
      <c r="Y80" s="1"/>
      <c r="Z80" s="5">
        <f t="shared" si="51"/>
        <v>-0.48822169389725067</v>
      </c>
    </row>
    <row r="81" spans="1:26" s="24" customFormat="1" hidden="1" outlineLevel="2" x14ac:dyDescent="0.25">
      <c r="A81" s="25"/>
      <c r="B81" s="11" t="str">
        <f>CONCATENATE("          ", "6234", " - ", "EXPENDABLE SUPPLIES &amp; EQUIPMEN")</f>
        <v xml:space="preserve">          6234 - EXPENDABLE SUPPLIES &amp; EQUIPMEN</v>
      </c>
      <c r="C81" s="11"/>
      <c r="D81" s="7"/>
      <c r="E81" s="2"/>
      <c r="F81" s="6">
        <f t="shared" si="44"/>
        <v>0</v>
      </c>
      <c r="G81" s="2"/>
      <c r="H81" s="7">
        <v>100</v>
      </c>
      <c r="I81" s="2"/>
      <c r="J81" s="6">
        <f t="shared" si="45"/>
        <v>3.4657119785403112E-4</v>
      </c>
      <c r="K81" s="2"/>
      <c r="L81" s="7">
        <f t="shared" si="46"/>
        <v>-100</v>
      </c>
      <c r="M81" s="2"/>
      <c r="N81" s="6">
        <f t="shared" si="47"/>
        <v>-1</v>
      </c>
      <c r="O81" s="11"/>
      <c r="P81" s="7"/>
      <c r="Q81" s="2"/>
      <c r="R81" s="6">
        <f t="shared" si="48"/>
        <v>0</v>
      </c>
      <c r="S81" s="2"/>
      <c r="T81" s="7">
        <v>1100</v>
      </c>
      <c r="U81" s="2"/>
      <c r="V81" s="6">
        <f t="shared" si="49"/>
        <v>2.7945223297576999E-4</v>
      </c>
      <c r="W81" s="2"/>
      <c r="X81" s="7">
        <f t="shared" si="50"/>
        <v>-1100</v>
      </c>
      <c r="Y81" s="2"/>
      <c r="Z81" s="6">
        <f t="shared" si="51"/>
        <v>-1</v>
      </c>
    </row>
    <row r="82" spans="1:26" s="24" customFormat="1" hidden="1" outlineLevel="2" x14ac:dyDescent="0.25">
      <c r="A82" s="25"/>
      <c r="B82" s="11" t="str">
        <f>CONCATENATE("          ", "6235", " - ", "COVID-19 EXPENSES")</f>
        <v xml:space="preserve">          6235 - COVID-19 EXPENSES</v>
      </c>
      <c r="C82" s="11"/>
      <c r="D82" s="7">
        <v>2921.2</v>
      </c>
      <c r="E82" s="2"/>
      <c r="F82" s="6">
        <f t="shared" si="44"/>
        <v>5.781268863042191E-2</v>
      </c>
      <c r="G82" s="2"/>
      <c r="H82" s="7">
        <v>12200</v>
      </c>
      <c r="I82" s="2"/>
      <c r="J82" s="6">
        <f t="shared" si="45"/>
        <v>4.2281686138191797E-2</v>
      </c>
      <c r="K82" s="2"/>
      <c r="L82" s="7">
        <f t="shared" si="46"/>
        <v>-9278.7999999999993</v>
      </c>
      <c r="M82" s="2"/>
      <c r="N82" s="6">
        <f t="shared" si="47"/>
        <v>-0.76055737704918025</v>
      </c>
      <c r="O82" s="11"/>
      <c r="P82" s="7">
        <v>59411.95</v>
      </c>
      <c r="Q82" s="2"/>
      <c r="R82" s="6">
        <f t="shared" si="48"/>
        <v>5.9898046607437999E-2</v>
      </c>
      <c r="S82" s="2"/>
      <c r="T82" s="7">
        <v>127200</v>
      </c>
      <c r="U82" s="2"/>
      <c r="V82" s="6">
        <f t="shared" si="49"/>
        <v>3.2314840031379945E-2</v>
      </c>
      <c r="W82" s="2"/>
      <c r="X82" s="7">
        <f t="shared" si="50"/>
        <v>-67788.05</v>
      </c>
      <c r="Y82" s="2"/>
      <c r="Z82" s="6">
        <f t="shared" si="51"/>
        <v>-0.53292492138364778</v>
      </c>
    </row>
    <row r="83" spans="1:26" s="24" customFormat="1" hidden="1" outlineLevel="2" x14ac:dyDescent="0.25">
      <c r="A83" s="25"/>
      <c r="B83" s="11" t="str">
        <f>CONCATENATE("          ", "6237", " - ", "JANITORIAL SUPPLIES")</f>
        <v xml:space="preserve">          6237 - JANITORIAL SUPPLIES</v>
      </c>
      <c r="C83" s="11"/>
      <c r="D83" s="7">
        <v>1425.01</v>
      </c>
      <c r="E83" s="2"/>
      <c r="F83" s="6">
        <f t="shared" si="44"/>
        <v>2.8201992135162786E-2</v>
      </c>
      <c r="G83" s="2"/>
      <c r="H83" s="7">
        <v>9000</v>
      </c>
      <c r="I83" s="2"/>
      <c r="J83" s="6">
        <f t="shared" si="45"/>
        <v>3.1191407806862803E-2</v>
      </c>
      <c r="K83" s="2"/>
      <c r="L83" s="7">
        <f t="shared" si="46"/>
        <v>-7574.99</v>
      </c>
      <c r="M83" s="2"/>
      <c r="N83" s="6">
        <f t="shared" si="47"/>
        <v>-0.84166555555555556</v>
      </c>
      <c r="O83" s="11"/>
      <c r="P83" s="7">
        <v>23166.73</v>
      </c>
      <c r="Q83" s="2"/>
      <c r="R83" s="6">
        <f t="shared" si="48"/>
        <v>2.3356275518341549E-2</v>
      </c>
      <c r="S83" s="2"/>
      <c r="T83" s="7">
        <v>95000</v>
      </c>
      <c r="U83" s="2"/>
      <c r="V83" s="6">
        <f t="shared" si="49"/>
        <v>2.4134511029725587E-2</v>
      </c>
      <c r="W83" s="2"/>
      <c r="X83" s="7">
        <f t="shared" si="50"/>
        <v>-71833.27</v>
      </c>
      <c r="Y83" s="2"/>
      <c r="Z83" s="6">
        <f t="shared" si="51"/>
        <v>-0.75613968421052635</v>
      </c>
    </row>
    <row r="84" spans="1:26" s="24" customFormat="1" hidden="1" outlineLevel="2" x14ac:dyDescent="0.25">
      <c r="A84" s="25"/>
      <c r="B84" s="11" t="str">
        <f>CONCATENATE("          ", "6239", " - ", "KITCHEN SUPPLIES")</f>
        <v xml:space="preserve">          6239 - KITCHEN SUPPLIES</v>
      </c>
      <c r="C84" s="11"/>
      <c r="D84" s="7">
        <v>618.89</v>
      </c>
      <c r="E84" s="2"/>
      <c r="F84" s="6">
        <f t="shared" si="44"/>
        <v>1.2248286617308578E-2</v>
      </c>
      <c r="G84" s="2"/>
      <c r="H84" s="7">
        <v>2300</v>
      </c>
      <c r="I84" s="2"/>
      <c r="J84" s="6">
        <f t="shared" si="45"/>
        <v>7.9711375506427169E-3</v>
      </c>
      <c r="K84" s="2"/>
      <c r="L84" s="7">
        <f t="shared" si="46"/>
        <v>-1681.1100000000001</v>
      </c>
      <c r="M84" s="2"/>
      <c r="N84" s="6">
        <f t="shared" si="47"/>
        <v>-0.73091739130434785</v>
      </c>
      <c r="O84" s="11"/>
      <c r="P84" s="7">
        <v>7866.27</v>
      </c>
      <c r="Q84" s="2"/>
      <c r="R84" s="6">
        <f t="shared" si="48"/>
        <v>7.9306302366222853E-3</v>
      </c>
      <c r="S84" s="2"/>
      <c r="T84" s="7">
        <v>24500</v>
      </c>
      <c r="U84" s="2"/>
      <c r="V84" s="6">
        <f t="shared" si="49"/>
        <v>6.2241633708239675E-3</v>
      </c>
      <c r="W84" s="2"/>
      <c r="X84" s="7">
        <f t="shared" si="50"/>
        <v>-16633.73</v>
      </c>
      <c r="Y84" s="2"/>
      <c r="Z84" s="6">
        <f t="shared" si="51"/>
        <v>-0.67892775510204084</v>
      </c>
    </row>
    <row r="85" spans="1:26" s="24" customFormat="1" hidden="1" outlineLevel="2" x14ac:dyDescent="0.25">
      <c r="A85" s="25"/>
      <c r="B85" s="11" t="str">
        <f>CONCATENATE("          ", "6241", " - ", "OFFICE EXPENSE")</f>
        <v xml:space="preserve">          6241 - OFFICE EXPENSE</v>
      </c>
      <c r="C85" s="11"/>
      <c r="D85" s="7">
        <v>1504.3</v>
      </c>
      <c r="E85" s="2"/>
      <c r="F85" s="6">
        <f t="shared" si="44"/>
        <v>2.9771199338197891E-2</v>
      </c>
      <c r="G85" s="2"/>
      <c r="H85" s="7">
        <v>1000</v>
      </c>
      <c r="I85" s="2"/>
      <c r="J85" s="6">
        <f t="shared" si="45"/>
        <v>3.4657119785403115E-3</v>
      </c>
      <c r="K85" s="2"/>
      <c r="L85" s="7">
        <f t="shared" si="46"/>
        <v>504.29999999999995</v>
      </c>
      <c r="M85" s="2"/>
      <c r="N85" s="6">
        <f t="shared" si="47"/>
        <v>0.50429999999999997</v>
      </c>
      <c r="O85" s="11"/>
      <c r="P85" s="7">
        <v>9485.1</v>
      </c>
      <c r="Q85" s="2"/>
      <c r="R85" s="6">
        <f t="shared" si="48"/>
        <v>9.562705177598281E-3</v>
      </c>
      <c r="S85" s="2"/>
      <c r="T85" s="7">
        <v>10750</v>
      </c>
      <c r="U85" s="2"/>
      <c r="V85" s="6">
        <f t="shared" si="49"/>
        <v>2.731010458626843E-3</v>
      </c>
      <c r="W85" s="2"/>
      <c r="X85" s="7">
        <f t="shared" si="50"/>
        <v>-1264.8999999999996</v>
      </c>
      <c r="Y85" s="2"/>
      <c r="Z85" s="6">
        <f t="shared" si="51"/>
        <v>-0.11766511627906974</v>
      </c>
    </row>
    <row r="86" spans="1:26" s="24" customFormat="1" hidden="1" outlineLevel="2" x14ac:dyDescent="0.25">
      <c r="A86" s="25"/>
      <c r="B86" s="11" t="str">
        <f>CONCATENATE("          ", "6243", " - ", "PAPER SUPPLIES")</f>
        <v xml:space="preserve">          6243 - PAPER SUPPLIES</v>
      </c>
      <c r="C86" s="11"/>
      <c r="D86" s="7">
        <v>3342.95</v>
      </c>
      <c r="E86" s="2"/>
      <c r="F86" s="6">
        <f t="shared" si="44"/>
        <v>6.6159430185221454E-2</v>
      </c>
      <c r="G86" s="2"/>
      <c r="H86" s="7">
        <v>500</v>
      </c>
      <c r="I86" s="2"/>
      <c r="J86" s="6">
        <f t="shared" si="45"/>
        <v>1.7328559892701558E-3</v>
      </c>
      <c r="K86" s="2"/>
      <c r="L86" s="7">
        <f t="shared" si="46"/>
        <v>2842.95</v>
      </c>
      <c r="M86" s="2"/>
      <c r="N86" s="6">
        <f t="shared" si="47"/>
        <v>5.6858999999999993</v>
      </c>
      <c r="O86" s="11"/>
      <c r="P86" s="7">
        <v>38718.870000000003</v>
      </c>
      <c r="Q86" s="2"/>
      <c r="R86" s="6">
        <f t="shared" si="48"/>
        <v>3.9035659995124435E-2</v>
      </c>
      <c r="S86" s="2"/>
      <c r="T86" s="7">
        <v>5500</v>
      </c>
      <c r="U86" s="2"/>
      <c r="V86" s="6">
        <f t="shared" si="49"/>
        <v>1.3972611648788498E-3</v>
      </c>
      <c r="W86" s="2"/>
      <c r="X86" s="7">
        <f t="shared" si="50"/>
        <v>33218.870000000003</v>
      </c>
      <c r="Y86" s="2"/>
      <c r="Z86" s="6">
        <f t="shared" si="51"/>
        <v>6.0397945454545461</v>
      </c>
    </row>
    <row r="87" spans="1:26" s="24" customFormat="1" hidden="1" outlineLevel="2" x14ac:dyDescent="0.25">
      <c r="A87" s="25"/>
      <c r="B87" s="11" t="str">
        <f>CONCATENATE("          ", "6244", " - ", "SAFETY SUPPLY EXPENSE")</f>
        <v xml:space="preserve">          6244 - SAFETY SUPPLY EXPENSE</v>
      </c>
      <c r="C87" s="11"/>
      <c r="D87" s="7"/>
      <c r="E87" s="2"/>
      <c r="F87" s="6">
        <f t="shared" si="44"/>
        <v>0</v>
      </c>
      <c r="G87" s="2"/>
      <c r="H87" s="7">
        <v>100</v>
      </c>
      <c r="I87" s="2"/>
      <c r="J87" s="6">
        <f t="shared" si="45"/>
        <v>3.4657119785403112E-4</v>
      </c>
      <c r="K87" s="2"/>
      <c r="L87" s="7">
        <f t="shared" si="46"/>
        <v>-100</v>
      </c>
      <c r="M87" s="2"/>
      <c r="N87" s="6">
        <f t="shared" si="47"/>
        <v>-1</v>
      </c>
      <c r="O87" s="11"/>
      <c r="P87" s="7"/>
      <c r="Q87" s="2"/>
      <c r="R87" s="6">
        <f t="shared" si="48"/>
        <v>0</v>
      </c>
      <c r="S87" s="2"/>
      <c r="T87" s="7">
        <v>1480</v>
      </c>
      <c r="U87" s="2"/>
      <c r="V87" s="6">
        <f t="shared" si="49"/>
        <v>3.7599027709467233E-4</v>
      </c>
      <c r="W87" s="2"/>
      <c r="X87" s="7">
        <f t="shared" si="50"/>
        <v>-1480</v>
      </c>
      <c r="Y87" s="2"/>
      <c r="Z87" s="6">
        <f t="shared" si="51"/>
        <v>-1</v>
      </c>
    </row>
    <row r="88" spans="1:26" s="24" customFormat="1" hidden="1" outlineLevel="2" x14ac:dyDescent="0.25">
      <c r="A88" s="25"/>
      <c r="B88" s="11" t="str">
        <f>CONCATENATE("          ", "6245", " - ", "PRINTING")</f>
        <v xml:space="preserve">          6245 - PRINTING</v>
      </c>
      <c r="C88" s="11"/>
      <c r="D88" s="7"/>
      <c r="E88" s="2"/>
      <c r="F88" s="6">
        <f t="shared" si="44"/>
        <v>0</v>
      </c>
      <c r="G88" s="2"/>
      <c r="H88" s="7">
        <v>150</v>
      </c>
      <c r="I88" s="2"/>
      <c r="J88" s="6">
        <f t="shared" si="45"/>
        <v>5.198567967810467E-4</v>
      </c>
      <c r="K88" s="2"/>
      <c r="L88" s="7">
        <f t="shared" si="46"/>
        <v>-150</v>
      </c>
      <c r="M88" s="2"/>
      <c r="N88" s="6">
        <f t="shared" si="47"/>
        <v>-1</v>
      </c>
      <c r="O88" s="11"/>
      <c r="P88" s="7"/>
      <c r="Q88" s="2"/>
      <c r="R88" s="6">
        <f t="shared" si="48"/>
        <v>0</v>
      </c>
      <c r="S88" s="2"/>
      <c r="T88" s="7">
        <v>2650</v>
      </c>
      <c r="U88" s="2"/>
      <c r="V88" s="6">
        <f t="shared" si="49"/>
        <v>6.7322583398708215E-4</v>
      </c>
      <c r="W88" s="2"/>
      <c r="X88" s="7">
        <f t="shared" si="50"/>
        <v>-2650</v>
      </c>
      <c r="Y88" s="2"/>
      <c r="Z88" s="6">
        <f t="shared" si="51"/>
        <v>-1</v>
      </c>
    </row>
    <row r="89" spans="1:26" s="24" customFormat="1" hidden="1" outlineLevel="2" x14ac:dyDescent="0.25">
      <c r="A89" s="25"/>
      <c r="B89" s="11" t="str">
        <f>CONCATENATE("          ", "6247", " - ", "STORE SUPPLIES")</f>
        <v xml:space="preserve">          6247 - STORE SUPPLIES</v>
      </c>
      <c r="C89" s="11"/>
      <c r="D89" s="7"/>
      <c r="E89" s="2"/>
      <c r="F89" s="6">
        <f t="shared" si="44"/>
        <v>0</v>
      </c>
      <c r="G89" s="2"/>
      <c r="H89" s="7">
        <v>18</v>
      </c>
      <c r="I89" s="2"/>
      <c r="J89" s="6">
        <f t="shared" si="45"/>
        <v>6.2382815613725606E-5</v>
      </c>
      <c r="K89" s="2"/>
      <c r="L89" s="7">
        <f t="shared" si="46"/>
        <v>-18</v>
      </c>
      <c r="M89" s="2"/>
      <c r="N89" s="6">
        <f t="shared" si="47"/>
        <v>-1</v>
      </c>
      <c r="O89" s="11"/>
      <c r="P89" s="7"/>
      <c r="Q89" s="2"/>
      <c r="R89" s="6">
        <f t="shared" si="48"/>
        <v>0</v>
      </c>
      <c r="S89" s="2"/>
      <c r="T89" s="7">
        <v>180</v>
      </c>
      <c r="U89" s="2"/>
      <c r="V89" s="6">
        <f t="shared" si="49"/>
        <v>4.5728547214216905E-5</v>
      </c>
      <c r="W89" s="2"/>
      <c r="X89" s="7">
        <f t="shared" si="50"/>
        <v>-180</v>
      </c>
      <c r="Y89" s="2"/>
      <c r="Z89" s="6">
        <f t="shared" si="51"/>
        <v>-1</v>
      </c>
    </row>
    <row r="90" spans="1:26" s="24" customFormat="1" hidden="1" outlineLevel="2" x14ac:dyDescent="0.25">
      <c r="A90" s="25"/>
      <c r="B90" s="11" t="str">
        <f>CONCATENATE("          ", "6248", " - ", "UNIFORMS")</f>
        <v xml:space="preserve">          6248 - UNIFORMS</v>
      </c>
      <c r="C90" s="11"/>
      <c r="D90" s="7"/>
      <c r="E90" s="2"/>
      <c r="F90" s="6">
        <f t="shared" si="44"/>
        <v>0</v>
      </c>
      <c r="G90" s="2"/>
      <c r="H90" s="7">
        <v>500</v>
      </c>
      <c r="I90" s="2"/>
      <c r="J90" s="6">
        <f t="shared" si="45"/>
        <v>1.7328559892701558E-3</v>
      </c>
      <c r="K90" s="2"/>
      <c r="L90" s="7">
        <f t="shared" si="46"/>
        <v>-500</v>
      </c>
      <c r="M90" s="2"/>
      <c r="N90" s="6">
        <f t="shared" si="47"/>
        <v>-1</v>
      </c>
      <c r="O90" s="11"/>
      <c r="P90" s="7">
        <v>4500.59</v>
      </c>
      <c r="Q90" s="2"/>
      <c r="R90" s="6">
        <f t="shared" si="48"/>
        <v>4.5374129208176038E-3</v>
      </c>
      <c r="S90" s="2"/>
      <c r="T90" s="7">
        <v>11350</v>
      </c>
      <c r="U90" s="2"/>
      <c r="V90" s="6">
        <f t="shared" si="49"/>
        <v>2.8834389493408992E-3</v>
      </c>
      <c r="W90" s="2"/>
      <c r="X90" s="7">
        <f t="shared" si="50"/>
        <v>-6849.41</v>
      </c>
      <c r="Y90" s="2"/>
      <c r="Z90" s="6">
        <f t="shared" si="51"/>
        <v>-0.60347224669603527</v>
      </c>
    </row>
    <row r="91" spans="1:26" s="27" customFormat="1" outlineLevel="1" collapsed="1" x14ac:dyDescent="0.25">
      <c r="A91" s="26"/>
      <c r="B91" s="13" t="str">
        <f>CONCATENATE("     ","Telephone/Data Lines                              ")</f>
        <v xml:space="preserve">     Telephone/Data Lines                              </v>
      </c>
      <c r="C91" s="13"/>
      <c r="D91" s="1">
        <f>SUM(OSRRefD22_16x_0)</f>
        <v>623</v>
      </c>
      <c r="E91" s="1"/>
      <c r="F91" s="5">
        <f t="shared" ref="F91:F93" si="52">IF(D$12=0,0,D91/D$12)</f>
        <v>1.2329626529081492E-2</v>
      </c>
      <c r="G91" s="1"/>
      <c r="H91" s="1">
        <f>SUM(OSRRefH22_16x_0)</f>
        <v>725</v>
      </c>
      <c r="I91" s="1"/>
      <c r="J91" s="5">
        <f t="shared" ref="J91:J93" si="53">IF(H$12=0,0,H91/H$12)</f>
        <v>2.5126411844417257E-3</v>
      </c>
      <c r="K91" s="1"/>
      <c r="L91" s="1">
        <f t="shared" ref="L91:L93" si="54">+D91-H91</f>
        <v>-102</v>
      </c>
      <c r="M91" s="1"/>
      <c r="N91" s="5">
        <f t="shared" ref="N91:N93" si="55">IF(H91=0,0,L91/H91)</f>
        <v>-0.1406896551724138</v>
      </c>
      <c r="O91" s="13"/>
      <c r="P91" s="1">
        <f>SUM(OSRRefP22_16x_0)</f>
        <v>5398.32</v>
      </c>
      <c r="Q91" s="1"/>
      <c r="R91" s="5">
        <f t="shared" ref="R91:R93" si="56">IF(P$12=0,0,P91/P$12)</f>
        <v>5.4424879668461433E-3</v>
      </c>
      <c r="S91" s="1"/>
      <c r="T91" s="1">
        <f>SUM(OSRRefT22_16x_0)</f>
        <v>7975</v>
      </c>
      <c r="U91" s="1"/>
      <c r="V91" s="5">
        <f t="shared" ref="V91:V93" si="57">IF(T$12=0,0,T91/T$12)</f>
        <v>2.0260286890743323E-3</v>
      </c>
      <c r="W91" s="1"/>
      <c r="X91" s="1">
        <f t="shared" ref="X91:X93" si="58">+P91-T91</f>
        <v>-2576.6800000000003</v>
      </c>
      <c r="Y91" s="1"/>
      <c r="Z91" s="5">
        <f t="shared" ref="Z91:Z93" si="59">IF(T91=0,0,X91/T91)</f>
        <v>-0.32309467084639504</v>
      </c>
    </row>
    <row r="92" spans="1:26" s="24" customFormat="1" hidden="1" outlineLevel="2" x14ac:dyDescent="0.25">
      <c r="A92" s="25"/>
      <c r="B92" s="11" t="str">
        <f>CONCATENATE("          ", "6303", " - ", "DATA PHONE LINES")</f>
        <v xml:space="preserve">          6303 - DATA PHONE LINES</v>
      </c>
      <c r="C92" s="11"/>
      <c r="D92" s="7"/>
      <c r="E92" s="2"/>
      <c r="F92" s="6">
        <f t="shared" si="52"/>
        <v>0</v>
      </c>
      <c r="G92" s="2"/>
      <c r="H92" s="7">
        <v>500</v>
      </c>
      <c r="I92" s="2"/>
      <c r="J92" s="6">
        <f t="shared" si="53"/>
        <v>1.7328559892701558E-3</v>
      </c>
      <c r="K92" s="2"/>
      <c r="L92" s="7">
        <f t="shared" si="54"/>
        <v>-500</v>
      </c>
      <c r="M92" s="2"/>
      <c r="N92" s="6">
        <f t="shared" si="55"/>
        <v>-1</v>
      </c>
      <c r="O92" s="11"/>
      <c r="P92" s="7"/>
      <c r="Q92" s="2"/>
      <c r="R92" s="6">
        <f t="shared" si="56"/>
        <v>0</v>
      </c>
      <c r="S92" s="2"/>
      <c r="T92" s="7">
        <v>5500</v>
      </c>
      <c r="U92" s="2"/>
      <c r="V92" s="6">
        <f t="shared" si="57"/>
        <v>1.3972611648788498E-3</v>
      </c>
      <c r="W92" s="2"/>
      <c r="X92" s="7">
        <f t="shared" si="58"/>
        <v>-5500</v>
      </c>
      <c r="Y92" s="2"/>
      <c r="Z92" s="6">
        <f t="shared" si="59"/>
        <v>-1</v>
      </c>
    </row>
    <row r="93" spans="1:26" s="24" customFormat="1" hidden="1" outlineLevel="2" x14ac:dyDescent="0.25">
      <c r="A93" s="25"/>
      <c r="B93" s="11" t="str">
        <f>CONCATENATE("          ", "6309", " - ", "TELEPHONE")</f>
        <v xml:space="preserve">          6309 - TELEPHONE</v>
      </c>
      <c r="C93" s="11"/>
      <c r="D93" s="7">
        <v>623</v>
      </c>
      <c r="E93" s="2"/>
      <c r="F93" s="6">
        <f t="shared" si="52"/>
        <v>1.2329626529081492E-2</v>
      </c>
      <c r="G93" s="2"/>
      <c r="H93" s="7">
        <v>225</v>
      </c>
      <c r="I93" s="2"/>
      <c r="J93" s="6">
        <f t="shared" si="53"/>
        <v>7.7978519517157006E-4</v>
      </c>
      <c r="K93" s="2"/>
      <c r="L93" s="7">
        <f t="shared" si="54"/>
        <v>398</v>
      </c>
      <c r="M93" s="2"/>
      <c r="N93" s="6">
        <f t="shared" si="55"/>
        <v>1.768888888888889</v>
      </c>
      <c r="O93" s="11"/>
      <c r="P93" s="7">
        <v>5398.32</v>
      </c>
      <c r="Q93" s="2"/>
      <c r="R93" s="6">
        <f t="shared" si="56"/>
        <v>5.4424879668461433E-3</v>
      </c>
      <c r="S93" s="2"/>
      <c r="T93" s="7">
        <v>2475</v>
      </c>
      <c r="U93" s="2"/>
      <c r="V93" s="6">
        <f t="shared" si="57"/>
        <v>6.287675241954824E-4</v>
      </c>
      <c r="W93" s="2"/>
      <c r="X93" s="7">
        <f t="shared" si="58"/>
        <v>2923.3199999999997</v>
      </c>
      <c r="Y93" s="2"/>
      <c r="Z93" s="6">
        <f t="shared" si="59"/>
        <v>1.1811393939393937</v>
      </c>
    </row>
    <row r="94" spans="1:26" s="27" customFormat="1" outlineLevel="1" collapsed="1" x14ac:dyDescent="0.25">
      <c r="A94" s="26"/>
      <c r="B94" s="13" t="str">
        <f>CONCATENATE("     ","Training                                          ")</f>
        <v xml:space="preserve">     Training                                          </v>
      </c>
      <c r="C94" s="13"/>
      <c r="D94" s="1">
        <f>SUM(OSRRefD22_17x_0)</f>
        <v>0</v>
      </c>
      <c r="E94" s="1"/>
      <c r="F94" s="5">
        <f t="shared" ref="F94:F98" si="60">IF(D$12=0,0,D94/D$12)</f>
        <v>0</v>
      </c>
      <c r="G94" s="1"/>
      <c r="H94" s="1">
        <f>SUM(OSRRefH22_17x_0)</f>
        <v>750</v>
      </c>
      <c r="I94" s="1"/>
      <c r="J94" s="5">
        <f t="shared" ref="J94:J98" si="61">IF(H$12=0,0,H94/H$12)</f>
        <v>2.5992839839052337E-3</v>
      </c>
      <c r="K94" s="1"/>
      <c r="L94" s="1">
        <f t="shared" ref="L94:L98" si="62">+D94-H94</f>
        <v>-750</v>
      </c>
      <c r="M94" s="1"/>
      <c r="N94" s="5">
        <f t="shared" ref="N94:N98" si="63">IF(H94=0,0,L94/H94)</f>
        <v>-1</v>
      </c>
      <c r="O94" s="13"/>
      <c r="P94" s="1">
        <f>SUM(OSRRefP22_17x_0)</f>
        <v>786.23</v>
      </c>
      <c r="Q94" s="1"/>
      <c r="R94" s="5">
        <f t="shared" ref="R94:R98" si="64">IF(P$12=0,0,P94/P$12)</f>
        <v>7.9266277548819695E-4</v>
      </c>
      <c r="S94" s="1"/>
      <c r="T94" s="1">
        <f>SUM(OSRRefT22_17x_0)</f>
        <v>9400</v>
      </c>
      <c r="U94" s="1"/>
      <c r="V94" s="5">
        <f t="shared" ref="V94:V98" si="65">IF(T$12=0,0,T94/T$12)</f>
        <v>2.3880463545202161E-3</v>
      </c>
      <c r="W94" s="1"/>
      <c r="X94" s="1">
        <f t="shared" ref="X94:X98" si="66">+P94-T94</f>
        <v>-8613.77</v>
      </c>
      <c r="Y94" s="1"/>
      <c r="Z94" s="5">
        <f t="shared" ref="Z94:Z98" si="67">IF(T94=0,0,X94/T94)</f>
        <v>-0.91635851063829787</v>
      </c>
    </row>
    <row r="95" spans="1:26" s="24" customFormat="1" hidden="1" outlineLevel="2" x14ac:dyDescent="0.25">
      <c r="A95" s="25"/>
      <c r="B95" s="11" t="str">
        <f>CONCATENATE("          ", "6376", " - ", "TRAINING")</f>
        <v xml:space="preserve">          6376 - TRAINING</v>
      </c>
      <c r="C95" s="11"/>
      <c r="D95" s="7"/>
      <c r="E95" s="2"/>
      <c r="F95" s="6">
        <f t="shared" si="60"/>
        <v>0</v>
      </c>
      <c r="G95" s="2"/>
      <c r="H95" s="7">
        <v>750</v>
      </c>
      <c r="I95" s="2"/>
      <c r="J95" s="6">
        <f t="shared" si="61"/>
        <v>2.5992839839052337E-3</v>
      </c>
      <c r="K95" s="2"/>
      <c r="L95" s="7">
        <f t="shared" si="62"/>
        <v>-750</v>
      </c>
      <c r="M95" s="2"/>
      <c r="N95" s="6">
        <f t="shared" si="63"/>
        <v>-1</v>
      </c>
      <c r="O95" s="11"/>
      <c r="P95" s="7">
        <v>786.23</v>
      </c>
      <c r="Q95" s="2"/>
      <c r="R95" s="6">
        <f t="shared" si="64"/>
        <v>7.9266277548819695E-4</v>
      </c>
      <c r="S95" s="2"/>
      <c r="T95" s="7">
        <v>9400</v>
      </c>
      <c r="U95" s="2"/>
      <c r="V95" s="6">
        <f t="shared" si="65"/>
        <v>2.3880463545202161E-3</v>
      </c>
      <c r="W95" s="2"/>
      <c r="X95" s="7">
        <f t="shared" si="66"/>
        <v>-8613.77</v>
      </c>
      <c r="Y95" s="2"/>
      <c r="Z95" s="6">
        <f t="shared" si="67"/>
        <v>-0.91635851063829787</v>
      </c>
    </row>
    <row r="96" spans="1:26" s="27" customFormat="1" outlineLevel="1" collapsed="1" x14ac:dyDescent="0.25">
      <c r="A96" s="26"/>
      <c r="B96" s="13" t="str">
        <f>CONCATENATE("     ","Travel                                            ")</f>
        <v xml:space="preserve">     Travel                                            </v>
      </c>
      <c r="C96" s="13"/>
      <c r="D96" s="1">
        <f>SUM(OSRRefD22_18x_0)</f>
        <v>0</v>
      </c>
      <c r="E96" s="1"/>
      <c r="F96" s="5">
        <f t="shared" si="60"/>
        <v>0</v>
      </c>
      <c r="G96" s="1"/>
      <c r="H96" s="1">
        <f>SUM(OSRRefH22_18x_0)</f>
        <v>300</v>
      </c>
      <c r="I96" s="1"/>
      <c r="J96" s="5">
        <f t="shared" si="61"/>
        <v>1.0397135935620934E-3</v>
      </c>
      <c r="K96" s="1"/>
      <c r="L96" s="1">
        <f t="shared" si="62"/>
        <v>-300</v>
      </c>
      <c r="M96" s="1"/>
      <c r="N96" s="5">
        <f t="shared" si="63"/>
        <v>-1</v>
      </c>
      <c r="O96" s="13"/>
      <c r="P96" s="1">
        <f>SUM(OSRRefP22_18x_0)</f>
        <v>160.30000000000001</v>
      </c>
      <c r="Q96" s="1"/>
      <c r="R96" s="5">
        <f t="shared" si="64"/>
        <v>1.6161154231046637E-4</v>
      </c>
      <c r="S96" s="1"/>
      <c r="T96" s="1">
        <f>SUM(OSRRefT22_18x_0)</f>
        <v>3300</v>
      </c>
      <c r="U96" s="1"/>
      <c r="V96" s="5">
        <f t="shared" si="65"/>
        <v>8.3835669892730986E-4</v>
      </c>
      <c r="W96" s="1"/>
      <c r="X96" s="1">
        <f t="shared" si="66"/>
        <v>-3139.7</v>
      </c>
      <c r="Y96" s="1"/>
      <c r="Z96" s="5">
        <f t="shared" si="67"/>
        <v>-0.95142424242424239</v>
      </c>
    </row>
    <row r="97" spans="1:26" s="24" customFormat="1" hidden="1" outlineLevel="2" x14ac:dyDescent="0.25">
      <c r="A97" s="25"/>
      <c r="B97" s="11" t="str">
        <f>CONCATENATE("          ", "6292", " - ", "TRAVEL/CONFERENCE")</f>
        <v xml:space="preserve">          6292 - TRAVEL/CONFERENCE</v>
      </c>
      <c r="C97" s="11"/>
      <c r="D97" s="7"/>
      <c r="E97" s="2"/>
      <c r="F97" s="6">
        <f t="shared" si="60"/>
        <v>0</v>
      </c>
      <c r="G97" s="2"/>
      <c r="H97" s="7">
        <v>300</v>
      </c>
      <c r="I97" s="2"/>
      <c r="J97" s="6">
        <f t="shared" si="61"/>
        <v>1.0397135935620934E-3</v>
      </c>
      <c r="K97" s="2"/>
      <c r="L97" s="7">
        <f t="shared" si="62"/>
        <v>-300</v>
      </c>
      <c r="M97" s="2"/>
      <c r="N97" s="6">
        <f t="shared" si="63"/>
        <v>-1</v>
      </c>
      <c r="O97" s="11"/>
      <c r="P97" s="7"/>
      <c r="Q97" s="2"/>
      <c r="R97" s="6">
        <f t="shared" si="64"/>
        <v>0</v>
      </c>
      <c r="S97" s="2"/>
      <c r="T97" s="7">
        <v>3300</v>
      </c>
      <c r="U97" s="2"/>
      <c r="V97" s="6">
        <f t="shared" si="65"/>
        <v>8.3835669892730986E-4</v>
      </c>
      <c r="W97" s="2"/>
      <c r="X97" s="7">
        <f t="shared" si="66"/>
        <v>-3300</v>
      </c>
      <c r="Y97" s="2"/>
      <c r="Z97" s="6">
        <f t="shared" si="67"/>
        <v>-1</v>
      </c>
    </row>
    <row r="98" spans="1:26" s="24" customFormat="1" hidden="1" outlineLevel="2" x14ac:dyDescent="0.25">
      <c r="A98" s="25"/>
      <c r="B98" s="11" t="str">
        <f>CONCATENATE("          ", "6294", " - ", "TRAVEL OPERATIONAL")</f>
        <v xml:space="preserve">          6294 - TRAVEL OPERATIONAL</v>
      </c>
      <c r="C98" s="11"/>
      <c r="D98" s="7"/>
      <c r="E98" s="2"/>
      <c r="F98" s="6">
        <f t="shared" si="60"/>
        <v>0</v>
      </c>
      <c r="G98" s="2"/>
      <c r="H98" s="7"/>
      <c r="I98" s="2"/>
      <c r="J98" s="6">
        <f t="shared" si="61"/>
        <v>0</v>
      </c>
      <c r="K98" s="2"/>
      <c r="L98" s="7">
        <f t="shared" si="62"/>
        <v>0</v>
      </c>
      <c r="M98" s="2"/>
      <c r="N98" s="6">
        <f t="shared" si="63"/>
        <v>0</v>
      </c>
      <c r="O98" s="11"/>
      <c r="P98" s="7">
        <v>160.30000000000001</v>
      </c>
      <c r="Q98" s="2"/>
      <c r="R98" s="6">
        <f t="shared" si="64"/>
        <v>1.6161154231046637E-4</v>
      </c>
      <c r="S98" s="2"/>
      <c r="T98" s="7"/>
      <c r="U98" s="2"/>
      <c r="V98" s="6">
        <f t="shared" si="65"/>
        <v>0</v>
      </c>
      <c r="W98" s="2"/>
      <c r="X98" s="7">
        <f t="shared" si="66"/>
        <v>160.30000000000001</v>
      </c>
      <c r="Y98" s="2"/>
      <c r="Z98" s="6">
        <f t="shared" si="67"/>
        <v>0</v>
      </c>
    </row>
    <row r="99" spans="1:26" s="56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9" t="s">
        <v>293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8" t="s">
        <v>277</v>
      </c>
      <c r="C102" s="28"/>
      <c r="D102" s="20">
        <f>+D23-D25+D100</f>
        <v>-175105.95</v>
      </c>
      <c r="E102" s="14"/>
      <c r="F102" s="21">
        <f>IF(D$12=0,0,D102/D$12)</f>
        <v>-3.4654750666452925</v>
      </c>
      <c r="G102" s="14"/>
      <c r="H102" s="20">
        <f>+H23-H25+H100</f>
        <v>-124578.49231137615</v>
      </c>
      <c r="I102" s="14"/>
      <c r="J102" s="21">
        <f>IF(H$12=0,0,H102/H$12)</f>
        <v>-0.43175317307202843</v>
      </c>
      <c r="K102" s="15"/>
      <c r="L102" s="20">
        <f>+D102-H102</f>
        <v>-50527.457688623865</v>
      </c>
      <c r="M102" s="15"/>
      <c r="N102" s="21">
        <f>IF(H102=0,0,L102/H102)</f>
        <v>0.40558732692264121</v>
      </c>
      <c r="O102" s="29"/>
      <c r="P102" s="20">
        <f>+P23-P25+P100</f>
        <v>-1916987.1400000001</v>
      </c>
      <c r="Q102" s="14"/>
      <c r="R102" s="21">
        <f>IF(P$12=0,0,P102/P$12)</f>
        <v>-1.9326715426371175</v>
      </c>
      <c r="S102" s="14"/>
      <c r="T102" s="20">
        <f>+T23-T25+T100</f>
        <v>-1156893.1735495129</v>
      </c>
      <c r="U102" s="14"/>
      <c r="V102" s="21">
        <f>IF(T$12=0,0,T102/T$12)</f>
        <v>-0.29390580060257848</v>
      </c>
      <c r="W102" s="15"/>
      <c r="X102" s="20">
        <f>+P102-T102</f>
        <v>-760093.96645048726</v>
      </c>
      <c r="Y102" s="15"/>
      <c r="Z102" s="21">
        <f>IF(T102=0,0,X102/T102)</f>
        <v>0.65701309665300456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128</v>
      </c>
      <c r="C104" s="10"/>
      <c r="D104" s="4">
        <v>15020.87</v>
      </c>
      <c r="E104" s="4"/>
      <c r="F104" s="12">
        <f>IF(D$12=0,0,D104/D$12)</f>
        <v>0.29727402446530388</v>
      </c>
      <c r="G104" s="4"/>
      <c r="H104" s="4">
        <v>65921</v>
      </c>
      <c r="I104" s="4"/>
      <c r="J104" s="12">
        <f>IF(H$12=0,0,H104/H$12)</f>
        <v>0.22846319933735587</v>
      </c>
      <c r="K104" s="4"/>
      <c r="L104" s="4">
        <f>+D104-H104</f>
        <v>-50900.13</v>
      </c>
      <c r="M104" s="4"/>
      <c r="N104" s="12">
        <f>IF(H104=0,0,L104/H104)</f>
        <v>-0.7721383170765006</v>
      </c>
      <c r="O104" s="10"/>
      <c r="P104" s="4">
        <v>211956.34</v>
      </c>
      <c r="Q104" s="4"/>
      <c r="R104" s="12">
        <f>IF(P$12=0,0,P104/P$12)</f>
        <v>0.21369052407911163</v>
      </c>
      <c r="S104" s="4"/>
      <c r="T104" s="4">
        <v>726695</v>
      </c>
      <c r="U104" s="4"/>
      <c r="V104" s="12">
        <f>IF(T$12=0,0,T104/T$12)</f>
        <v>0.18461503676575197</v>
      </c>
      <c r="W104" s="4"/>
      <c r="X104" s="4">
        <f>+P104-T104</f>
        <v>-514738.66000000003</v>
      </c>
      <c r="Y104" s="4"/>
      <c r="Z104" s="12">
        <f>IF(T104=0,0,X104/T104)</f>
        <v>-0.70832833582176846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8" t="s">
        <v>126</v>
      </c>
      <c r="C106" s="28"/>
      <c r="D106" s="35">
        <f>+D102-D104</f>
        <v>-190126.82</v>
      </c>
      <c r="E106" s="14"/>
      <c r="F106" s="34">
        <f>IF(D$12=0,0,D106/D$12)</f>
        <v>-3.7627490911105963</v>
      </c>
      <c r="G106" s="14"/>
      <c r="H106" s="35">
        <f>+H102-H104</f>
        <v>-190499.49231137615</v>
      </c>
      <c r="I106" s="14"/>
      <c r="J106" s="34">
        <f>IF(H$12=0,0,H106/H$12)</f>
        <v>-0.66021637240938424</v>
      </c>
      <c r="K106" s="15"/>
      <c r="L106" s="35">
        <f>D106-H106</f>
        <v>372.67231137613999</v>
      </c>
      <c r="M106" s="15"/>
      <c r="N106" s="34">
        <f>IF(H106=0,0,L106/H106)</f>
        <v>-1.9562903126639198E-3</v>
      </c>
      <c r="O106" s="29"/>
      <c r="P106" s="35">
        <f>+P102-P104</f>
        <v>-2128943.48</v>
      </c>
      <c r="Q106" s="14"/>
      <c r="R106" s="34">
        <f>IF(P$12=0,0,P106/P$12)</f>
        <v>-2.1463620667162289</v>
      </c>
      <c r="S106" s="14"/>
      <c r="T106" s="35">
        <f>+T102-T104</f>
        <v>-1883588.1735495129</v>
      </c>
      <c r="U106" s="14"/>
      <c r="V106" s="34">
        <f>IF(T$12=0,0,T106/T$12)</f>
        <v>-0.47852083736833045</v>
      </c>
      <c r="W106" s="15"/>
      <c r="X106" s="35">
        <f>P106-T106</f>
        <v>-245355.30645048711</v>
      </c>
      <c r="Y106" s="15"/>
      <c r="Z106" s="34">
        <f>IF(T106=0,0,X106/T106)</f>
        <v>0.13025952800931492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8" t="s">
        <v>294</v>
      </c>
      <c r="C109" s="28"/>
      <c r="D109" s="33">
        <f>SUM(D106:D108)</f>
        <v>-190126.82</v>
      </c>
      <c r="E109" s="14"/>
      <c r="F109" s="32">
        <f>IF(D$12=0,0,D109/D$12)</f>
        <v>-3.7627490911105963</v>
      </c>
      <c r="G109" s="14"/>
      <c r="H109" s="33">
        <f>SUM(H106:H108)</f>
        <v>-190499.49231137615</v>
      </c>
      <c r="I109" s="14"/>
      <c r="J109" s="32">
        <f>IF(H$12=0,0,H109/H$12)</f>
        <v>-0.66021637240938424</v>
      </c>
      <c r="K109" s="15"/>
      <c r="L109" s="33">
        <f>+D109-H109</f>
        <v>372.67231137613999</v>
      </c>
      <c r="M109" s="15"/>
      <c r="N109" s="32">
        <f>IF(H109=0,0,L109/H109)</f>
        <v>-1.9562903126639198E-3</v>
      </c>
      <c r="O109" s="29"/>
      <c r="P109" s="33">
        <f>SUM(P106:P108)</f>
        <v>-2128943.48</v>
      </c>
      <c r="Q109" s="14"/>
      <c r="R109" s="32">
        <f>IF(P$12=0,0,P109/P$12)</f>
        <v>-2.1463620667162289</v>
      </c>
      <c r="S109" s="14"/>
      <c r="T109" s="33">
        <f>SUM(T106:T108)</f>
        <v>-1883588.1735495129</v>
      </c>
      <c r="U109" s="14"/>
      <c r="V109" s="32">
        <f>IF(T$12=0,0,T109/T$12)</f>
        <v>-0.47852083736833045</v>
      </c>
      <c r="W109" s="15"/>
      <c r="X109" s="33">
        <f>+P109-T109</f>
        <v>-245355.30645048711</v>
      </c>
      <c r="Y109" s="15"/>
      <c r="Z109" s="32">
        <f>IF(T109=0,0,X109/T109)</f>
        <v>0.13025952800931492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60">
        <v>44356.891791203707</v>
      </c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5" t="s">
        <v>56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63"/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","430", " - ", "Res Hall Management")</f>
        <v>Department 430 - Res Hall Management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18469.2</v>
      </c>
      <c r="E18" s="22"/>
      <c r="F18" s="31">
        <f t="shared" ref="F18:F28" si="0">IF(D$12=0,0,D18/D$12)</f>
        <v>0</v>
      </c>
      <c r="G18" s="22"/>
      <c r="H18" s="22">
        <f>SUM(OSRRefH22x_0)</f>
        <v>13801.532740000001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4667.6672600000002</v>
      </c>
      <c r="M18" s="4"/>
      <c r="N18" s="31">
        <f t="shared" ref="N18:N28" si="3">IF(H18=0,0,L18/H18)</f>
        <v>0.33819919482363231</v>
      </c>
      <c r="O18" s="10"/>
      <c r="P18" s="22">
        <f>SUM(OSRRefP22x_0)</f>
        <v>190488.40000000002</v>
      </c>
      <c r="Q18" s="22"/>
      <c r="R18" s="31">
        <f t="shared" ref="R18:R28" si="4">IF(P$12=0,0,P18/P$12)</f>
        <v>0</v>
      </c>
      <c r="S18" s="22"/>
      <c r="T18" s="22">
        <f>SUM(OSRRefT22x_0)</f>
        <v>202883.39288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-12394.992879999976</v>
      </c>
      <c r="Y18" s="4"/>
      <c r="Z18" s="31">
        <f t="shared" ref="Z18:Z28" si="7">IF(T18=0,0,X18/T18)</f>
        <v>-6.1094171898689001E-2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5934.6600000000008</v>
      </c>
      <c r="E19" s="1"/>
      <c r="F19" s="5">
        <f t="shared" si="0"/>
        <v>0</v>
      </c>
      <c r="G19" s="1"/>
      <c r="H19" s="1">
        <f>SUM(OSRRefH22_0x_0)</f>
        <v>4291.4327400000002</v>
      </c>
      <c r="I19" s="1"/>
      <c r="J19" s="5">
        <f t="shared" si="1"/>
        <v>0</v>
      </c>
      <c r="K19" s="1"/>
      <c r="L19" s="1">
        <f t="shared" si="2"/>
        <v>1643.2272600000006</v>
      </c>
      <c r="M19" s="1"/>
      <c r="N19" s="5">
        <f t="shared" si="3"/>
        <v>0.38290877652203409</v>
      </c>
      <c r="O19" s="13"/>
      <c r="P19" s="1">
        <f>SUM(OSRRefP22_0x_0)</f>
        <v>63897.46</v>
      </c>
      <c r="Q19" s="1"/>
      <c r="R19" s="5">
        <f t="shared" si="4"/>
        <v>0</v>
      </c>
      <c r="S19" s="1"/>
      <c r="T19" s="1">
        <f>SUM(OSRRefT22_0x_0)</f>
        <v>49517.192879999995</v>
      </c>
      <c r="U19" s="1"/>
      <c r="V19" s="5">
        <f t="shared" si="5"/>
        <v>0</v>
      </c>
      <c r="W19" s="1"/>
      <c r="X19" s="1">
        <f t="shared" si="6"/>
        <v>14380.267120000004</v>
      </c>
      <c r="Y19" s="1"/>
      <c r="Z19" s="5">
        <f t="shared" si="7"/>
        <v>0.29040957864572725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691.15</v>
      </c>
      <c r="E20" s="2"/>
      <c r="F20" s="6">
        <f t="shared" si="0"/>
        <v>0</v>
      </c>
      <c r="G20" s="2"/>
      <c r="H20" s="7">
        <v>685.55574000000001</v>
      </c>
      <c r="I20" s="2"/>
      <c r="J20" s="6">
        <f t="shared" si="1"/>
        <v>0</v>
      </c>
      <c r="K20" s="2"/>
      <c r="L20" s="7">
        <f t="shared" si="2"/>
        <v>5.5942599999999629</v>
      </c>
      <c r="M20" s="2"/>
      <c r="N20" s="6">
        <f t="shared" si="3"/>
        <v>8.16018256954564E-3</v>
      </c>
      <c r="O20" s="11"/>
      <c r="P20" s="7">
        <v>8476.69</v>
      </c>
      <c r="Q20" s="2"/>
      <c r="R20" s="6">
        <f t="shared" si="4"/>
        <v>0</v>
      </c>
      <c r="S20" s="2"/>
      <c r="T20" s="7">
        <v>8226.6688799999993</v>
      </c>
      <c r="U20" s="2"/>
      <c r="V20" s="6">
        <f t="shared" si="5"/>
        <v>0</v>
      </c>
      <c r="W20" s="2"/>
      <c r="X20" s="7">
        <f t="shared" si="6"/>
        <v>250.02112000000125</v>
      </c>
      <c r="Y20" s="2"/>
      <c r="Z20" s="6">
        <f t="shared" si="7"/>
        <v>3.0391538014594464E-2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582.98</v>
      </c>
      <c r="E21" s="2"/>
      <c r="F21" s="6">
        <f t="shared" si="0"/>
        <v>0</v>
      </c>
      <c r="G21" s="2"/>
      <c r="H21" s="7">
        <v>384.29820000000001</v>
      </c>
      <c r="I21" s="2"/>
      <c r="J21" s="6">
        <f t="shared" si="1"/>
        <v>0</v>
      </c>
      <c r="K21" s="2"/>
      <c r="L21" s="7">
        <f t="shared" si="2"/>
        <v>198.68180000000001</v>
      </c>
      <c r="M21" s="2"/>
      <c r="N21" s="6">
        <f t="shared" si="3"/>
        <v>0.51699903876729059</v>
      </c>
      <c r="O21" s="11"/>
      <c r="P21" s="7">
        <v>4744.07</v>
      </c>
      <c r="Q21" s="2"/>
      <c r="R21" s="6">
        <f t="shared" si="4"/>
        <v>0</v>
      </c>
      <c r="S21" s="2"/>
      <c r="T21" s="7">
        <v>4611.5784000000003</v>
      </c>
      <c r="U21" s="2"/>
      <c r="V21" s="6">
        <f t="shared" si="5"/>
        <v>0</v>
      </c>
      <c r="W21" s="2"/>
      <c r="X21" s="7">
        <f t="shared" si="6"/>
        <v>132.49159999999938</v>
      </c>
      <c r="Y21" s="2"/>
      <c r="Z21" s="6">
        <f t="shared" si="7"/>
        <v>2.8730206560079165E-2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2691.73</v>
      </c>
      <c r="E22" s="2"/>
      <c r="F22" s="6">
        <f t="shared" si="0"/>
        <v>0</v>
      </c>
      <c r="G22" s="2"/>
      <c r="H22" s="7">
        <v>1980</v>
      </c>
      <c r="I22" s="2"/>
      <c r="J22" s="6">
        <f t="shared" si="1"/>
        <v>0</v>
      </c>
      <c r="K22" s="2"/>
      <c r="L22" s="7">
        <f t="shared" si="2"/>
        <v>711.73</v>
      </c>
      <c r="M22" s="2"/>
      <c r="N22" s="6">
        <f t="shared" si="3"/>
        <v>0.35945959595959598</v>
      </c>
      <c r="O22" s="11"/>
      <c r="P22" s="7">
        <v>29886.05</v>
      </c>
      <c r="Q22" s="2"/>
      <c r="R22" s="6">
        <f t="shared" si="4"/>
        <v>0</v>
      </c>
      <c r="S22" s="2"/>
      <c r="T22" s="7">
        <v>21780</v>
      </c>
      <c r="U22" s="2"/>
      <c r="V22" s="6">
        <f t="shared" si="5"/>
        <v>0</v>
      </c>
      <c r="W22" s="2"/>
      <c r="X22" s="7">
        <f t="shared" si="6"/>
        <v>8106.0499999999993</v>
      </c>
      <c r="Y22" s="2"/>
      <c r="Z22" s="6">
        <f t="shared" si="7"/>
        <v>0.37217860422405874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35.33</v>
      </c>
      <c r="E23" s="2"/>
      <c r="F23" s="6">
        <f t="shared" si="0"/>
        <v>0</v>
      </c>
      <c r="G23" s="2"/>
      <c r="H23" s="7">
        <v>23.290800000000001</v>
      </c>
      <c r="I23" s="2"/>
      <c r="J23" s="6">
        <f t="shared" si="1"/>
        <v>0</v>
      </c>
      <c r="K23" s="2"/>
      <c r="L23" s="7">
        <f t="shared" si="2"/>
        <v>12.039199999999997</v>
      </c>
      <c r="M23" s="2"/>
      <c r="N23" s="6">
        <f t="shared" si="3"/>
        <v>0.51690796365947056</v>
      </c>
      <c r="O23" s="11"/>
      <c r="P23" s="7">
        <v>287.5</v>
      </c>
      <c r="Q23" s="2"/>
      <c r="R23" s="6">
        <f t="shared" si="4"/>
        <v>0</v>
      </c>
      <c r="S23" s="2"/>
      <c r="T23" s="7">
        <v>279.4896</v>
      </c>
      <c r="U23" s="2"/>
      <c r="V23" s="6">
        <f t="shared" si="5"/>
        <v>0</v>
      </c>
      <c r="W23" s="2"/>
      <c r="X23" s="7">
        <f t="shared" si="6"/>
        <v>8.0104000000000042</v>
      </c>
      <c r="Y23" s="2"/>
      <c r="Z23" s="6">
        <f t="shared" si="7"/>
        <v>2.8660816001740332E-2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692.57</v>
      </c>
      <c r="E24" s="2"/>
      <c r="F24" s="6">
        <f t="shared" si="0"/>
        <v>0</v>
      </c>
      <c r="G24" s="2"/>
      <c r="H24" s="7">
        <v>770.38800000000003</v>
      </c>
      <c r="I24" s="2"/>
      <c r="J24" s="6">
        <f t="shared" si="1"/>
        <v>0</v>
      </c>
      <c r="K24" s="2"/>
      <c r="L24" s="7">
        <f t="shared" si="2"/>
        <v>-77.817999999999984</v>
      </c>
      <c r="M24" s="2"/>
      <c r="N24" s="6">
        <f t="shared" si="3"/>
        <v>-0.10101143839208293</v>
      </c>
      <c r="O24" s="11"/>
      <c r="P24" s="7">
        <v>8310.85</v>
      </c>
      <c r="Q24" s="2"/>
      <c r="R24" s="6">
        <f t="shared" si="4"/>
        <v>0</v>
      </c>
      <c r="S24" s="2"/>
      <c r="T24" s="7">
        <v>9244.6560000000009</v>
      </c>
      <c r="U24" s="2"/>
      <c r="V24" s="6">
        <f t="shared" si="5"/>
        <v>0</v>
      </c>
      <c r="W24" s="2"/>
      <c r="X24" s="7">
        <f t="shared" si="6"/>
        <v>-933.80600000000049</v>
      </c>
      <c r="Y24" s="2"/>
      <c r="Z24" s="6">
        <f t="shared" si="7"/>
        <v>-0.10101035668606818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827.64</v>
      </c>
      <c r="E26" s="2"/>
      <c r="F26" s="6">
        <f t="shared" si="0"/>
        <v>0</v>
      </c>
      <c r="G26" s="2"/>
      <c r="H26" s="7">
        <v>268.74</v>
      </c>
      <c r="I26" s="2"/>
      <c r="J26" s="6">
        <f t="shared" si="1"/>
        <v>0</v>
      </c>
      <c r="K26" s="2"/>
      <c r="L26" s="7">
        <f t="shared" si="2"/>
        <v>558.9</v>
      </c>
      <c r="M26" s="2"/>
      <c r="N26" s="6">
        <f t="shared" si="3"/>
        <v>2.0797052913596783</v>
      </c>
      <c r="O26" s="11"/>
      <c r="P26" s="7">
        <v>7065.18</v>
      </c>
      <c r="Q26" s="2"/>
      <c r="R26" s="6">
        <f t="shared" si="4"/>
        <v>0</v>
      </c>
      <c r="S26" s="2"/>
      <c r="T26" s="7">
        <v>3224.88</v>
      </c>
      <c r="U26" s="2"/>
      <c r="V26" s="6">
        <f t="shared" si="5"/>
        <v>0</v>
      </c>
      <c r="W26" s="2"/>
      <c r="X26" s="7">
        <f t="shared" si="6"/>
        <v>3840.3</v>
      </c>
      <c r="Y26" s="2"/>
      <c r="Z26" s="6">
        <f t="shared" si="7"/>
        <v>1.1908350078142442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413.26</v>
      </c>
      <c r="E27" s="2"/>
      <c r="F27" s="6">
        <f t="shared" si="0"/>
        <v>0</v>
      </c>
      <c r="G27" s="2"/>
      <c r="H27" s="7">
        <v>179.16</v>
      </c>
      <c r="I27" s="2"/>
      <c r="J27" s="6">
        <f t="shared" si="1"/>
        <v>0</v>
      </c>
      <c r="K27" s="2"/>
      <c r="L27" s="7">
        <f t="shared" si="2"/>
        <v>234.1</v>
      </c>
      <c r="M27" s="2"/>
      <c r="N27" s="6">
        <f t="shared" si="3"/>
        <v>1.3066532708193792</v>
      </c>
      <c r="O27" s="11"/>
      <c r="P27" s="7">
        <v>4959.12</v>
      </c>
      <c r="Q27" s="2"/>
      <c r="R27" s="6">
        <f t="shared" si="4"/>
        <v>0</v>
      </c>
      <c r="S27" s="2"/>
      <c r="T27" s="7">
        <v>2149.92</v>
      </c>
      <c r="U27" s="2"/>
      <c r="V27" s="6">
        <f t="shared" si="5"/>
        <v>0</v>
      </c>
      <c r="W27" s="2"/>
      <c r="X27" s="7">
        <f t="shared" si="6"/>
        <v>2809.2</v>
      </c>
      <c r="Y27" s="2"/>
      <c r="Z27" s="6">
        <f t="shared" si="7"/>
        <v>1.3066532708193792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168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168</v>
      </c>
      <c r="Y28" s="2"/>
      <c r="Z28" s="6">
        <f t="shared" si="7"/>
        <v>0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8959.5400000000009</v>
      </c>
      <c r="E29" s="1"/>
      <c r="F29" s="5">
        <f t="shared" ref="F29:F39" si="8">IF(D$12=0,0,D29/D$12)</f>
        <v>0</v>
      </c>
      <c r="G29" s="1"/>
      <c r="H29" s="1">
        <f>SUM(OSRRefH22_1x_0)</f>
        <v>8510.1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449.44000000000051</v>
      </c>
      <c r="M29" s="1"/>
      <c r="N29" s="5">
        <f t="shared" ref="N29:N39" si="11">IF(H29=0,0,L29/H29)</f>
        <v>5.2812540393179924E-2</v>
      </c>
      <c r="O29" s="13"/>
      <c r="P29" s="1">
        <f>SUM(OSRRefP22_1x_0)</f>
        <v>100123.86</v>
      </c>
      <c r="Q29" s="1"/>
      <c r="R29" s="5">
        <f t="shared" ref="R29:R39" si="12">IF(P$12=0,0,P29/P$12)</f>
        <v>0</v>
      </c>
      <c r="S29" s="1"/>
      <c r="T29" s="1">
        <f>SUM(OSRRefT22_1x_0)</f>
        <v>102121.2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-1997.3399999999965</v>
      </c>
      <c r="Y29" s="1"/>
      <c r="Z29" s="5">
        <f t="shared" ref="Z29:Z39" si="15">IF(T29=0,0,X29/T29)</f>
        <v>-1.9558524576679441E-2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>
        <v>8959.5400000000009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8959.5400000000009</v>
      </c>
      <c r="M30" s="2"/>
      <c r="N30" s="6">
        <f t="shared" si="11"/>
        <v>0</v>
      </c>
      <c r="O30" s="11"/>
      <c r="P30" s="7">
        <v>100123.86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100123.86</v>
      </c>
      <c r="Y30" s="2"/>
      <c r="Z30" s="6">
        <f t="shared" si="15"/>
        <v>0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8510.1</v>
      </c>
      <c r="I31" s="2"/>
      <c r="J31" s="6">
        <f t="shared" si="9"/>
        <v>0</v>
      </c>
      <c r="K31" s="2"/>
      <c r="L31" s="7">
        <f t="shared" si="10"/>
        <v>-8510.1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102121.2</v>
      </c>
      <c r="U31" s="2"/>
      <c r="V31" s="6">
        <f t="shared" si="13"/>
        <v>0</v>
      </c>
      <c r="W31" s="2"/>
      <c r="X31" s="7">
        <f t="shared" si="14"/>
        <v>-102121.2</v>
      </c>
      <c r="Y31" s="2"/>
      <c r="Z31" s="6">
        <f t="shared" si="15"/>
        <v>-1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6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0</v>
      </c>
      <c r="E40" s="1"/>
      <c r="F40" s="5">
        <f t="shared" ref="F40:F47" si="16">IF(D$12=0,0,D40/D$12)</f>
        <v>0</v>
      </c>
      <c r="G40" s="1"/>
      <c r="H40" s="1">
        <f>SUM(OSRRefH22_2x_0)</f>
        <v>0</v>
      </c>
      <c r="I40" s="1"/>
      <c r="J40" s="5">
        <f t="shared" ref="J40:J47" si="17">IF(H$12=0,0,H40/H$12)</f>
        <v>0</v>
      </c>
      <c r="K40" s="1"/>
      <c r="L40" s="1">
        <f t="shared" ref="L40:L47" si="18">+D40-H40</f>
        <v>0</v>
      </c>
      <c r="M40" s="1"/>
      <c r="N40" s="5">
        <f t="shared" ref="N40:N47" si="19">IF(H40=0,0,L40/H40)</f>
        <v>0</v>
      </c>
      <c r="O40" s="13"/>
      <c r="P40" s="1">
        <f>SUM(OSRRefP22_2x_0)</f>
        <v>1.65</v>
      </c>
      <c r="Q40" s="1"/>
      <c r="R40" s="5">
        <f t="shared" ref="R40:R47" si="20">IF(P$12=0,0,P40/P$12)</f>
        <v>0</v>
      </c>
      <c r="S40" s="1"/>
      <c r="T40" s="1">
        <f>SUM(OSRRefT22_2x_0)</f>
        <v>0</v>
      </c>
      <c r="U40" s="1"/>
      <c r="V40" s="5">
        <f t="shared" ref="V40:V47" si="21">IF(T$12=0,0,T40/T$12)</f>
        <v>0</v>
      </c>
      <c r="W40" s="1"/>
      <c r="X40" s="1">
        <f t="shared" ref="X40:X47" si="22">+P40-T40</f>
        <v>1.65</v>
      </c>
      <c r="Y40" s="1"/>
      <c r="Z40" s="5">
        <f t="shared" ref="Z40:Z47" si="23">IF(T40=0,0,X40/T40)</f>
        <v>0</v>
      </c>
    </row>
    <row r="41" spans="1:26" s="24" customFormat="1" hidden="1" outlineLevel="2" x14ac:dyDescent="0.25">
      <c r="A41" s="25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1.65</v>
      </c>
      <c r="Q41" s="2"/>
      <c r="R41" s="6">
        <f t="shared" si="20"/>
        <v>0</v>
      </c>
      <c r="S41" s="2"/>
      <c r="T41" s="7"/>
      <c r="U41" s="2"/>
      <c r="V41" s="6">
        <f t="shared" si="21"/>
        <v>0</v>
      </c>
      <c r="W41" s="2"/>
      <c r="X41" s="7">
        <f t="shared" si="22"/>
        <v>1.65</v>
      </c>
      <c r="Y41" s="2"/>
      <c r="Z41" s="6">
        <f t="shared" si="23"/>
        <v>0</v>
      </c>
    </row>
    <row r="42" spans="1:26" s="27" customFormat="1" outlineLevel="1" collapsed="1" x14ac:dyDescent="0.25">
      <c r="A42" s="26"/>
      <c r="B42" s="13" t="str">
        <f>CONCATENATE("     ","Repair and Maintenance                            ")</f>
        <v xml:space="preserve">     Repair and Maintenance                            </v>
      </c>
      <c r="C42" s="13"/>
      <c r="D42" s="1">
        <f>SUM(OSRRefD22_3x_0)</f>
        <v>3500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3500</v>
      </c>
      <c r="M42" s="1"/>
      <c r="N42" s="5">
        <f t="shared" si="19"/>
        <v>0</v>
      </c>
      <c r="O42" s="13"/>
      <c r="P42" s="1">
        <f>SUM(OSRRefP22_3x_0)</f>
        <v>21000</v>
      </c>
      <c r="Q42" s="1"/>
      <c r="R42" s="5">
        <f t="shared" si="20"/>
        <v>0</v>
      </c>
      <c r="S42" s="1"/>
      <c r="T42" s="1">
        <f>SUM(OSRRefT22_3x_0)</f>
        <v>40245</v>
      </c>
      <c r="U42" s="1"/>
      <c r="V42" s="5">
        <f t="shared" si="21"/>
        <v>0</v>
      </c>
      <c r="W42" s="1"/>
      <c r="X42" s="1">
        <f t="shared" si="22"/>
        <v>-19245</v>
      </c>
      <c r="Y42" s="1"/>
      <c r="Z42" s="5">
        <f t="shared" si="23"/>
        <v>-0.47819604919865821</v>
      </c>
    </row>
    <row r="43" spans="1:26" s="24" customFormat="1" hidden="1" outlineLevel="2" x14ac:dyDescent="0.25">
      <c r="A43" s="25"/>
      <c r="B43" s="11" t="str">
        <f>CONCATENATE("          ", "6371", " - ", "COMPUTER SOFTWARE MAINTENANCE")</f>
        <v xml:space="preserve">          6371 - COMPUTER SOFTWARE MAINTENANCE</v>
      </c>
      <c r="C43" s="11"/>
      <c r="D43" s="7">
        <v>3500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3500</v>
      </c>
      <c r="M43" s="2"/>
      <c r="N43" s="6">
        <f t="shared" si="19"/>
        <v>0</v>
      </c>
      <c r="O43" s="11"/>
      <c r="P43" s="7">
        <v>21000</v>
      </c>
      <c r="Q43" s="2"/>
      <c r="R43" s="6">
        <f t="shared" si="20"/>
        <v>0</v>
      </c>
      <c r="S43" s="2"/>
      <c r="T43" s="7">
        <v>40245</v>
      </c>
      <c r="U43" s="2"/>
      <c r="V43" s="6">
        <f t="shared" si="21"/>
        <v>0</v>
      </c>
      <c r="W43" s="2"/>
      <c r="X43" s="7">
        <f t="shared" si="22"/>
        <v>-19245</v>
      </c>
      <c r="Y43" s="2"/>
      <c r="Z43" s="6">
        <f t="shared" si="23"/>
        <v>-0.47819604919865821</v>
      </c>
    </row>
    <row r="44" spans="1:26" s="27" customFormat="1" outlineLevel="1" collapsed="1" x14ac:dyDescent="0.25">
      <c r="A44" s="26"/>
      <c r="B44" s="13" t="str">
        <f>CONCATENATE("     ","Supplies                                          ")</f>
        <v xml:space="preserve">     Supplies             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400</v>
      </c>
      <c r="I44" s="1"/>
      <c r="J44" s="5">
        <f t="shared" si="17"/>
        <v>0</v>
      </c>
      <c r="K44" s="1"/>
      <c r="L44" s="1">
        <f t="shared" si="18"/>
        <v>-400</v>
      </c>
      <c r="M44" s="1"/>
      <c r="N44" s="5">
        <f t="shared" si="19"/>
        <v>-1</v>
      </c>
      <c r="O44" s="13"/>
      <c r="P44" s="1">
        <f>SUM(OSRRefP22_4x_0)</f>
        <v>4939.2</v>
      </c>
      <c r="Q44" s="1"/>
      <c r="R44" s="5">
        <f t="shared" si="20"/>
        <v>0</v>
      </c>
      <c r="S44" s="1"/>
      <c r="T44" s="1">
        <f>SUM(OSRRefT22_4x_0)</f>
        <v>4400</v>
      </c>
      <c r="U44" s="1"/>
      <c r="V44" s="5">
        <f t="shared" si="21"/>
        <v>0</v>
      </c>
      <c r="W44" s="1"/>
      <c r="X44" s="1">
        <f t="shared" si="22"/>
        <v>539.19999999999982</v>
      </c>
      <c r="Y44" s="1"/>
      <c r="Z44" s="5">
        <f t="shared" si="23"/>
        <v>0.1225454545454545</v>
      </c>
    </row>
    <row r="45" spans="1:26" s="24" customFormat="1" hidden="1" outlineLevel="2" x14ac:dyDescent="0.25">
      <c r="A45" s="25"/>
      <c r="B45" s="11" t="str">
        <f>CONCATENATE("          ", "6234", " - ", "EXPENDABLE SUPPLIES &amp; EQUIPMEN")</f>
        <v xml:space="preserve">          6234 - EXPENDABLE SUPPLIES &amp; EQUIPMEN</v>
      </c>
      <c r="C45" s="11"/>
      <c r="D45" s="7"/>
      <c r="E45" s="2"/>
      <c r="F45" s="6">
        <f t="shared" si="16"/>
        <v>0</v>
      </c>
      <c r="G45" s="2"/>
      <c r="H45" s="7">
        <v>100</v>
      </c>
      <c r="I45" s="2"/>
      <c r="J45" s="6">
        <f t="shared" si="17"/>
        <v>0</v>
      </c>
      <c r="K45" s="2"/>
      <c r="L45" s="7">
        <f t="shared" si="18"/>
        <v>-100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1100</v>
      </c>
      <c r="U45" s="2"/>
      <c r="V45" s="6">
        <f t="shared" si="21"/>
        <v>0</v>
      </c>
      <c r="W45" s="2"/>
      <c r="X45" s="7">
        <f t="shared" si="22"/>
        <v>-1100</v>
      </c>
      <c r="Y45" s="2"/>
      <c r="Z45" s="6">
        <f t="shared" si="23"/>
        <v>-1</v>
      </c>
    </row>
    <row r="46" spans="1:26" s="24" customFormat="1" hidden="1" outlineLevel="2" x14ac:dyDescent="0.25">
      <c r="A46" s="25"/>
      <c r="B46" s="11" t="str">
        <f>CONCATENATE("          ", "6235", " - ", "COVID-19 EXPENSES")</f>
        <v xml:space="preserve">          6235 - COVID-19 EXPENSES</v>
      </c>
      <c r="C46" s="11"/>
      <c r="D46" s="7"/>
      <c r="E46" s="2"/>
      <c r="F46" s="6">
        <f t="shared" si="16"/>
        <v>0</v>
      </c>
      <c r="G46" s="2"/>
      <c r="H46" s="7">
        <v>200</v>
      </c>
      <c r="I46" s="2"/>
      <c r="J46" s="6">
        <f t="shared" si="17"/>
        <v>0</v>
      </c>
      <c r="K46" s="2"/>
      <c r="L46" s="7">
        <f t="shared" si="18"/>
        <v>-200</v>
      </c>
      <c r="M46" s="2"/>
      <c r="N46" s="6">
        <f t="shared" si="19"/>
        <v>-1</v>
      </c>
      <c r="O46" s="11"/>
      <c r="P46" s="7">
        <v>4939.2</v>
      </c>
      <c r="Q46" s="2"/>
      <c r="R46" s="6">
        <f t="shared" si="20"/>
        <v>0</v>
      </c>
      <c r="S46" s="2"/>
      <c r="T46" s="7">
        <v>2200</v>
      </c>
      <c r="U46" s="2"/>
      <c r="V46" s="6">
        <f t="shared" si="21"/>
        <v>0</v>
      </c>
      <c r="W46" s="2"/>
      <c r="X46" s="7">
        <f t="shared" si="22"/>
        <v>2739.2</v>
      </c>
      <c r="Y46" s="2"/>
      <c r="Z46" s="6">
        <f t="shared" si="23"/>
        <v>1.245090909090909</v>
      </c>
    </row>
    <row r="47" spans="1:26" s="24" customFormat="1" hidden="1" outlineLevel="2" x14ac:dyDescent="0.25">
      <c r="A47" s="25"/>
      <c r="B47" s="11" t="str">
        <f>CONCATENATE("          ", "6241", " - ", "OFFICE EXPENSE")</f>
        <v xml:space="preserve">          6241 - OFFICE EXPENSE</v>
      </c>
      <c r="C47" s="11"/>
      <c r="D47" s="7"/>
      <c r="E47" s="2"/>
      <c r="F47" s="6">
        <f t="shared" si="16"/>
        <v>0</v>
      </c>
      <c r="G47" s="2"/>
      <c r="H47" s="7">
        <v>100</v>
      </c>
      <c r="I47" s="2"/>
      <c r="J47" s="6">
        <f t="shared" si="17"/>
        <v>0</v>
      </c>
      <c r="K47" s="2"/>
      <c r="L47" s="7">
        <f t="shared" si="18"/>
        <v>-100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1100</v>
      </c>
      <c r="U47" s="2"/>
      <c r="V47" s="6">
        <f t="shared" si="21"/>
        <v>0</v>
      </c>
      <c r="W47" s="2"/>
      <c r="X47" s="7">
        <f t="shared" si="22"/>
        <v>-1100</v>
      </c>
      <c r="Y47" s="2"/>
      <c r="Z47" s="6">
        <f t="shared" si="23"/>
        <v>-1</v>
      </c>
    </row>
    <row r="48" spans="1:26" s="27" customFormat="1" outlineLevel="1" collapsed="1" x14ac:dyDescent="0.25">
      <c r="A48" s="26"/>
      <c r="B48" s="13" t="str">
        <f>CONCATENATE("     ","Telephone/Data Lines                              ")</f>
        <v xml:space="preserve">     Telephone/Data Lines                              </v>
      </c>
      <c r="C48" s="13"/>
      <c r="D48" s="1">
        <f>SUM(OSRRefD22_5x_0)</f>
        <v>75</v>
      </c>
      <c r="E48" s="1"/>
      <c r="F48" s="5">
        <f t="shared" ref="F48:F50" si="24">IF(D$12=0,0,D48/D$12)</f>
        <v>0</v>
      </c>
      <c r="G48" s="1"/>
      <c r="H48" s="1">
        <f>SUM(OSRRefH22_5x_0)</f>
        <v>100</v>
      </c>
      <c r="I48" s="1"/>
      <c r="J48" s="5">
        <f t="shared" ref="J48:J50" si="25">IF(H$12=0,0,H48/H$12)</f>
        <v>0</v>
      </c>
      <c r="K48" s="1"/>
      <c r="L48" s="1">
        <f t="shared" ref="L48:L50" si="26">+D48-H48</f>
        <v>-25</v>
      </c>
      <c r="M48" s="1"/>
      <c r="N48" s="5">
        <f t="shared" ref="N48:N50" si="27">IF(H48=0,0,L48/H48)</f>
        <v>-0.25</v>
      </c>
      <c r="O48" s="13"/>
      <c r="P48" s="1">
        <f>SUM(OSRRefP22_5x_0)</f>
        <v>475</v>
      </c>
      <c r="Q48" s="1"/>
      <c r="R48" s="5">
        <f t="shared" ref="R48:R50" si="28">IF(P$12=0,0,P48/P$12)</f>
        <v>0</v>
      </c>
      <c r="S48" s="1"/>
      <c r="T48" s="1">
        <f>SUM(OSRRefT22_5x_0)</f>
        <v>1100</v>
      </c>
      <c r="U48" s="1"/>
      <c r="V48" s="5">
        <f t="shared" ref="V48:V50" si="29">IF(T$12=0,0,T48/T$12)</f>
        <v>0</v>
      </c>
      <c r="W48" s="1"/>
      <c r="X48" s="1">
        <f t="shared" ref="X48:X50" si="30">+P48-T48</f>
        <v>-625</v>
      </c>
      <c r="Y48" s="1"/>
      <c r="Z48" s="5">
        <f t="shared" ref="Z48:Z50" si="31">IF(T48=0,0,X48/T48)</f>
        <v>-0.56818181818181823</v>
      </c>
    </row>
    <row r="49" spans="1:26" s="24" customFormat="1" hidden="1" outlineLevel="2" x14ac:dyDescent="0.25">
      <c r="A49" s="25"/>
      <c r="B49" s="11" t="str">
        <f>CONCATENATE("          ", "6303", " - ", "DATA PHONE LINES")</f>
        <v xml:space="preserve">          6303 - DATA PHONE LINES</v>
      </c>
      <c r="C49" s="11"/>
      <c r="D49" s="7"/>
      <c r="E49" s="2"/>
      <c r="F49" s="6">
        <f t="shared" si="24"/>
        <v>0</v>
      </c>
      <c r="G49" s="2"/>
      <c r="H49" s="7">
        <v>50</v>
      </c>
      <c r="I49" s="2"/>
      <c r="J49" s="6">
        <f t="shared" si="25"/>
        <v>0</v>
      </c>
      <c r="K49" s="2"/>
      <c r="L49" s="7">
        <f t="shared" si="26"/>
        <v>-50</v>
      </c>
      <c r="M49" s="2"/>
      <c r="N49" s="6">
        <f t="shared" si="27"/>
        <v>-1</v>
      </c>
      <c r="O49" s="11"/>
      <c r="P49" s="7"/>
      <c r="Q49" s="2"/>
      <c r="R49" s="6">
        <f t="shared" si="28"/>
        <v>0</v>
      </c>
      <c r="S49" s="2"/>
      <c r="T49" s="7">
        <v>550</v>
      </c>
      <c r="U49" s="2"/>
      <c r="V49" s="6">
        <f t="shared" si="29"/>
        <v>0</v>
      </c>
      <c r="W49" s="2"/>
      <c r="X49" s="7">
        <f t="shared" si="30"/>
        <v>-550</v>
      </c>
      <c r="Y49" s="2"/>
      <c r="Z49" s="6">
        <f t="shared" si="31"/>
        <v>-1</v>
      </c>
    </row>
    <row r="50" spans="1:26" s="24" customFormat="1" hidden="1" outlineLevel="2" x14ac:dyDescent="0.25">
      <c r="A50" s="25"/>
      <c r="B50" s="11" t="str">
        <f>CONCATENATE("          ", "6309", " - ", "TELEPHONE")</f>
        <v xml:space="preserve">          6309 - TELEPHONE</v>
      </c>
      <c r="C50" s="11"/>
      <c r="D50" s="7">
        <v>75</v>
      </c>
      <c r="E50" s="2"/>
      <c r="F50" s="6">
        <f t="shared" si="24"/>
        <v>0</v>
      </c>
      <c r="G50" s="2"/>
      <c r="H50" s="7">
        <v>50</v>
      </c>
      <c r="I50" s="2"/>
      <c r="J50" s="6">
        <f t="shared" si="25"/>
        <v>0</v>
      </c>
      <c r="K50" s="2"/>
      <c r="L50" s="7">
        <f t="shared" si="26"/>
        <v>25</v>
      </c>
      <c r="M50" s="2"/>
      <c r="N50" s="6">
        <f t="shared" si="27"/>
        <v>0.5</v>
      </c>
      <c r="O50" s="11"/>
      <c r="P50" s="7">
        <v>475</v>
      </c>
      <c r="Q50" s="2"/>
      <c r="R50" s="6">
        <f t="shared" si="28"/>
        <v>0</v>
      </c>
      <c r="S50" s="2"/>
      <c r="T50" s="7">
        <v>550</v>
      </c>
      <c r="U50" s="2"/>
      <c r="V50" s="6">
        <f t="shared" si="29"/>
        <v>0</v>
      </c>
      <c r="W50" s="2"/>
      <c r="X50" s="7">
        <f t="shared" si="30"/>
        <v>-75</v>
      </c>
      <c r="Y50" s="2"/>
      <c r="Z50" s="6">
        <f t="shared" si="31"/>
        <v>-0.13636363636363635</v>
      </c>
    </row>
    <row r="51" spans="1:26" s="27" customFormat="1" outlineLevel="1" collapsed="1" x14ac:dyDescent="0.25">
      <c r="A51" s="26"/>
      <c r="B51" s="13" t="str">
        <f>CONCATENATE("     ","Training                                          ")</f>
        <v xml:space="preserve">     Training                                          </v>
      </c>
      <c r="C51" s="13"/>
      <c r="D51" s="1">
        <f>SUM(OSRRefD22_6x_0)</f>
        <v>0</v>
      </c>
      <c r="E51" s="1"/>
      <c r="F51" s="5">
        <f t="shared" ref="F51:F54" si="32">IF(D$12=0,0,D51/D$12)</f>
        <v>0</v>
      </c>
      <c r="G51" s="1"/>
      <c r="H51" s="1">
        <f>SUM(OSRRefH22_6x_0)</f>
        <v>200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-200</v>
      </c>
      <c r="M51" s="1"/>
      <c r="N51" s="5">
        <f t="shared" ref="N51:N54" si="35">IF(H51=0,0,L51/H51)</f>
        <v>-1</v>
      </c>
      <c r="O51" s="13"/>
      <c r="P51" s="1">
        <f>SUM(OSRRefP22_6x_0)</f>
        <v>51.23</v>
      </c>
      <c r="Q51" s="1"/>
      <c r="R51" s="5">
        <f t="shared" ref="R51:R54" si="36">IF(P$12=0,0,P51/P$12)</f>
        <v>0</v>
      </c>
      <c r="S51" s="1"/>
      <c r="T51" s="1">
        <f>SUM(OSRRefT22_6x_0)</f>
        <v>2200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-2148.77</v>
      </c>
      <c r="Y51" s="1"/>
      <c r="Z51" s="5">
        <f t="shared" ref="Z51:Z54" si="39">IF(T51=0,0,X51/T51)</f>
        <v>-0.97671363636363639</v>
      </c>
    </row>
    <row r="52" spans="1:26" s="24" customFormat="1" hidden="1" outlineLevel="2" x14ac:dyDescent="0.25">
      <c r="A52" s="25"/>
      <c r="B52" s="11" t="str">
        <f>CONCATENATE("          ", "6376", " - ", "TRAINING")</f>
        <v xml:space="preserve">          6376 - TRAINING</v>
      </c>
      <c r="C52" s="11"/>
      <c r="D52" s="7"/>
      <c r="E52" s="2"/>
      <c r="F52" s="6">
        <f t="shared" si="32"/>
        <v>0</v>
      </c>
      <c r="G52" s="2"/>
      <c r="H52" s="7">
        <v>200</v>
      </c>
      <c r="I52" s="2"/>
      <c r="J52" s="6">
        <f t="shared" si="33"/>
        <v>0</v>
      </c>
      <c r="K52" s="2"/>
      <c r="L52" s="7">
        <f t="shared" si="34"/>
        <v>-200</v>
      </c>
      <c r="M52" s="2"/>
      <c r="N52" s="6">
        <f t="shared" si="35"/>
        <v>-1</v>
      </c>
      <c r="O52" s="11"/>
      <c r="P52" s="7">
        <v>51.23</v>
      </c>
      <c r="Q52" s="2"/>
      <c r="R52" s="6">
        <f t="shared" si="36"/>
        <v>0</v>
      </c>
      <c r="S52" s="2"/>
      <c r="T52" s="7">
        <v>2200</v>
      </c>
      <c r="U52" s="2"/>
      <c r="V52" s="6">
        <f t="shared" si="37"/>
        <v>0</v>
      </c>
      <c r="W52" s="2"/>
      <c r="X52" s="7">
        <f t="shared" si="38"/>
        <v>-2148.77</v>
      </c>
      <c r="Y52" s="2"/>
      <c r="Z52" s="6">
        <f t="shared" si="39"/>
        <v>-0.97671363636363639</v>
      </c>
    </row>
    <row r="53" spans="1:26" s="27" customFormat="1" outlineLevel="1" collapsed="1" x14ac:dyDescent="0.25">
      <c r="A53" s="26"/>
      <c r="B53" s="13" t="str">
        <f>CONCATENATE("     ","Travel                                            ")</f>
        <v xml:space="preserve">     Travel                                            </v>
      </c>
      <c r="C53" s="13"/>
      <c r="D53" s="1">
        <f>SUM(OSRRefD22_7x_0)</f>
        <v>0</v>
      </c>
      <c r="E53" s="1"/>
      <c r="F53" s="5">
        <f t="shared" si="32"/>
        <v>0</v>
      </c>
      <c r="G53" s="1"/>
      <c r="H53" s="1">
        <f>SUM(OSRRefH22_7x_0)</f>
        <v>300</v>
      </c>
      <c r="I53" s="1"/>
      <c r="J53" s="5">
        <f t="shared" si="33"/>
        <v>0</v>
      </c>
      <c r="K53" s="1"/>
      <c r="L53" s="1">
        <f t="shared" si="34"/>
        <v>-300</v>
      </c>
      <c r="M53" s="1"/>
      <c r="N53" s="5">
        <f t="shared" si="35"/>
        <v>-1</v>
      </c>
      <c r="O53" s="13"/>
      <c r="P53" s="1">
        <f>SUM(OSRRefP22_7x_0)</f>
        <v>0</v>
      </c>
      <c r="Q53" s="1"/>
      <c r="R53" s="5">
        <f t="shared" si="36"/>
        <v>0</v>
      </c>
      <c r="S53" s="1"/>
      <c r="T53" s="1">
        <f>SUM(OSRRefT22_7x_0)</f>
        <v>3300</v>
      </c>
      <c r="U53" s="1"/>
      <c r="V53" s="5">
        <f t="shared" si="37"/>
        <v>0</v>
      </c>
      <c r="W53" s="1"/>
      <c r="X53" s="1">
        <f t="shared" si="38"/>
        <v>-3300</v>
      </c>
      <c r="Y53" s="1"/>
      <c r="Z53" s="5">
        <f t="shared" si="39"/>
        <v>-1</v>
      </c>
    </row>
    <row r="54" spans="1:26" s="24" customFormat="1" hidden="1" outlineLevel="2" x14ac:dyDescent="0.25">
      <c r="A54" s="25"/>
      <c r="B54" s="11" t="str">
        <f>CONCATENATE("          ", "6292", " - ", "TRAVEL/CONFERENCE")</f>
        <v xml:space="preserve">          6292 - TRAVEL/CONFERENCE</v>
      </c>
      <c r="C54" s="11"/>
      <c r="D54" s="7"/>
      <c r="E54" s="2"/>
      <c r="F54" s="6">
        <f t="shared" si="32"/>
        <v>0</v>
      </c>
      <c r="G54" s="2"/>
      <c r="H54" s="7">
        <v>300</v>
      </c>
      <c r="I54" s="2"/>
      <c r="J54" s="6">
        <f t="shared" si="33"/>
        <v>0</v>
      </c>
      <c r="K54" s="2"/>
      <c r="L54" s="7">
        <f t="shared" si="34"/>
        <v>-300</v>
      </c>
      <c r="M54" s="2"/>
      <c r="N54" s="6">
        <f t="shared" si="35"/>
        <v>-1</v>
      </c>
      <c r="O54" s="11"/>
      <c r="P54" s="7"/>
      <c r="Q54" s="2"/>
      <c r="R54" s="6">
        <f t="shared" si="36"/>
        <v>0</v>
      </c>
      <c r="S54" s="2"/>
      <c r="T54" s="7">
        <v>3300</v>
      </c>
      <c r="U54" s="2"/>
      <c r="V54" s="6">
        <f t="shared" si="37"/>
        <v>0</v>
      </c>
      <c r="W54" s="2"/>
      <c r="X54" s="7">
        <f t="shared" si="38"/>
        <v>-3300</v>
      </c>
      <c r="Y54" s="2"/>
      <c r="Z54" s="6">
        <f t="shared" si="39"/>
        <v>-1</v>
      </c>
    </row>
    <row r="55" spans="1:26" s="56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293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8" t="s">
        <v>277</v>
      </c>
      <c r="C58" s="28"/>
      <c r="D58" s="20">
        <f>+D16-D18+D56</f>
        <v>-18469.2</v>
      </c>
      <c r="E58" s="14"/>
      <c r="F58" s="21">
        <f>IF(D$12=0,0,D58/D$12)</f>
        <v>0</v>
      </c>
      <c r="G58" s="14"/>
      <c r="H58" s="20">
        <f>+H16-H18+H56</f>
        <v>-13801.532740000001</v>
      </c>
      <c r="I58" s="14"/>
      <c r="J58" s="21">
        <f>IF(H$12=0,0,H58/H$12)</f>
        <v>0</v>
      </c>
      <c r="K58" s="15"/>
      <c r="L58" s="20">
        <f>+D58-H58</f>
        <v>-4667.6672600000002</v>
      </c>
      <c r="M58" s="15"/>
      <c r="N58" s="21">
        <f>IF(H58=0,0,L58/H58)</f>
        <v>0.33819919482363231</v>
      </c>
      <c r="O58" s="29"/>
      <c r="P58" s="20">
        <f>+P16-P18+P56</f>
        <v>-190488.40000000002</v>
      </c>
      <c r="Q58" s="14"/>
      <c r="R58" s="21">
        <f>IF(P$12=0,0,P58/P$12)</f>
        <v>0</v>
      </c>
      <c r="S58" s="14"/>
      <c r="T58" s="20">
        <f>+T16-T18+T56</f>
        <v>-202883.39288</v>
      </c>
      <c r="U58" s="14"/>
      <c r="V58" s="21">
        <f>IF(T$12=0,0,T58/T$12)</f>
        <v>0</v>
      </c>
      <c r="W58" s="15"/>
      <c r="X58" s="20">
        <f>+P58-T58</f>
        <v>12394.992879999976</v>
      </c>
      <c r="Y58" s="15"/>
      <c r="Z58" s="21">
        <f>IF(T58=0,0,X58/T58)</f>
        <v>-6.1094171898689001E-2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2"/>
      <c r="B60" s="10" t="s">
        <v>128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8" t="s">
        <v>126</v>
      </c>
      <c r="C62" s="28"/>
      <c r="D62" s="35">
        <f>+D58-D60</f>
        <v>-18469.2</v>
      </c>
      <c r="E62" s="14"/>
      <c r="F62" s="34">
        <f>IF(D$12=0,0,D62/D$12)</f>
        <v>0</v>
      </c>
      <c r="G62" s="14"/>
      <c r="H62" s="35">
        <f>+H58-H60</f>
        <v>-13801.532740000001</v>
      </c>
      <c r="I62" s="14"/>
      <c r="J62" s="34">
        <f>IF(H$12=0,0,H62/H$12)</f>
        <v>0</v>
      </c>
      <c r="K62" s="15"/>
      <c r="L62" s="35">
        <f>D62-H62</f>
        <v>-4667.6672600000002</v>
      </c>
      <c r="M62" s="15"/>
      <c r="N62" s="34">
        <f>IF(H62=0,0,L62/H62)</f>
        <v>0.33819919482363231</v>
      </c>
      <c r="O62" s="29"/>
      <c r="P62" s="35">
        <f>+P58-P60</f>
        <v>-190488.40000000002</v>
      </c>
      <c r="Q62" s="14"/>
      <c r="R62" s="34">
        <f>IF(P$12=0,0,P62/P$12)</f>
        <v>0</v>
      </c>
      <c r="S62" s="14"/>
      <c r="T62" s="35">
        <f>+T58-T60</f>
        <v>-202883.39288</v>
      </c>
      <c r="U62" s="14"/>
      <c r="V62" s="34">
        <f>IF(T$12=0,0,T62/T$12)</f>
        <v>0</v>
      </c>
      <c r="W62" s="15"/>
      <c r="X62" s="35">
        <f>P62-T62</f>
        <v>12394.992879999976</v>
      </c>
      <c r="Y62" s="15"/>
      <c r="Z62" s="34">
        <f>IF(T62=0,0,X62/T62)</f>
        <v>-6.1094171898689001E-2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294</v>
      </c>
      <c r="C65" s="28"/>
      <c r="D65" s="33">
        <f>SUM(D62:D64)</f>
        <v>-18469.2</v>
      </c>
      <c r="E65" s="14"/>
      <c r="F65" s="32">
        <f>IF(D$12=0,0,D65/D$12)</f>
        <v>0</v>
      </c>
      <c r="G65" s="14"/>
      <c r="H65" s="33">
        <f>SUM(H62:H64)</f>
        <v>-13801.532740000001</v>
      </c>
      <c r="I65" s="14"/>
      <c r="J65" s="32">
        <f>IF(H$12=0,0,H65/H$12)</f>
        <v>0</v>
      </c>
      <c r="K65" s="15"/>
      <c r="L65" s="33">
        <f>+D65-H65</f>
        <v>-4667.6672600000002</v>
      </c>
      <c r="M65" s="15"/>
      <c r="N65" s="32">
        <f>IF(H65=0,0,L65/H65)</f>
        <v>0.33819919482363231</v>
      </c>
      <c r="O65" s="29"/>
      <c r="P65" s="33">
        <f>SUM(P62:P64)</f>
        <v>-190488.40000000002</v>
      </c>
      <c r="Q65" s="14"/>
      <c r="R65" s="32">
        <f>IF(P$12=0,0,P65/P$12)</f>
        <v>0</v>
      </c>
      <c r="S65" s="14"/>
      <c r="T65" s="33">
        <f>SUM(T62:T64)</f>
        <v>-202883.39288</v>
      </c>
      <c r="U65" s="14"/>
      <c r="V65" s="32">
        <f>IF(T$12=0,0,T65/T$12)</f>
        <v>0</v>
      </c>
      <c r="W65" s="15"/>
      <c r="X65" s="33">
        <f>+P65-T65</f>
        <v>12394.992879999976</v>
      </c>
      <c r="Y65" s="15"/>
      <c r="Z65" s="32">
        <f>IF(T65=0,0,X65/T65)</f>
        <v>-6.1094171898689001E-2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6" x14ac:dyDescent="0.25">
      <c r="A67" s="9"/>
      <c r="B67" s="60">
        <v>44356.891834571761</v>
      </c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55" t="s">
        <v>56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63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","433", " - ", "Hillside Dining Hall")</f>
        <v>Department 433 - Hillside Dining Hall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-83.2</v>
      </c>
      <c r="E12" s="4"/>
      <c r="F12" s="12"/>
      <c r="G12" s="4"/>
      <c r="H12" s="4">
        <f>SUM(OSRRefH13x_0)</f>
        <v>127530</v>
      </c>
      <c r="I12" s="4"/>
      <c r="J12" s="12"/>
      <c r="K12" s="4"/>
      <c r="L12" s="4">
        <f t="shared" ref="L12:L16" si="0">+D12-H12</f>
        <v>-127613.2</v>
      </c>
      <c r="M12" s="4"/>
      <c r="N12" s="12">
        <f t="shared" ref="N12:N16" si="1">IF(H12=0,0,L12/H12)</f>
        <v>-1.0006523955147808</v>
      </c>
      <c r="O12" s="10"/>
      <c r="P12" s="4">
        <f>SUM(OSRRefP13x_0)</f>
        <v>23558.720000000001</v>
      </c>
      <c r="Q12" s="4"/>
      <c r="R12" s="12"/>
      <c r="S12" s="4"/>
      <c r="T12" s="4">
        <f>SUM(OSRRefT13x_0)</f>
        <v>1702792</v>
      </c>
      <c r="U12" s="4"/>
      <c r="V12" s="12"/>
      <c r="W12" s="4"/>
      <c r="X12" s="4">
        <f t="shared" ref="X12:X16" si="2">+P12-T12</f>
        <v>-1679233.28</v>
      </c>
      <c r="Y12" s="4"/>
      <c r="Z12" s="12">
        <f t="shared" ref="Z12:Z16" si="3">IF(T12=0,0,X12/T12)</f>
        <v>-0.98616465193634928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--217.65</f>
        <v>217.65</v>
      </c>
      <c r="Q13" s="2"/>
      <c r="R13" s="19"/>
      <c r="S13" s="2"/>
      <c r="T13" s="2"/>
      <c r="U13" s="2"/>
      <c r="V13" s="19"/>
      <c r="W13" s="2"/>
      <c r="X13" s="2">
        <f t="shared" si="2"/>
        <v>217.65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127530</v>
      </c>
      <c r="I14" s="2"/>
      <c r="J14" s="19"/>
      <c r="K14" s="2"/>
      <c r="L14" s="2">
        <f t="shared" si="0"/>
        <v>-127530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1702792</v>
      </c>
      <c r="U14" s="2"/>
      <c r="V14" s="19"/>
      <c r="W14" s="2"/>
      <c r="X14" s="2">
        <f t="shared" si="2"/>
        <v>-1702792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--16096</f>
        <v>16096</v>
      </c>
      <c r="Q15" s="2"/>
      <c r="R15" s="19"/>
      <c r="S15" s="2"/>
      <c r="T15" s="2"/>
      <c r="U15" s="2"/>
      <c r="V15" s="19"/>
      <c r="W15" s="2"/>
      <c r="X15" s="2">
        <f t="shared" si="2"/>
        <v>16096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-83.2</f>
        <v>-83.2</v>
      </c>
      <c r="E16" s="2"/>
      <c r="F16" s="19"/>
      <c r="G16" s="2"/>
      <c r="H16" s="2"/>
      <c r="I16" s="2"/>
      <c r="J16" s="19"/>
      <c r="K16" s="2"/>
      <c r="L16" s="2">
        <f t="shared" si="0"/>
        <v>-83.2</v>
      </c>
      <c r="M16" s="2"/>
      <c r="N16" s="19">
        <f t="shared" si="1"/>
        <v>0</v>
      </c>
      <c r="O16" s="11"/>
      <c r="P16" s="2">
        <f>--7245.07</f>
        <v>7245.07</v>
      </c>
      <c r="Q16" s="2"/>
      <c r="R16" s="19"/>
      <c r="S16" s="2"/>
      <c r="T16" s="2"/>
      <c r="U16" s="2"/>
      <c r="V16" s="19"/>
      <c r="W16" s="2"/>
      <c r="X16" s="2">
        <f t="shared" si="2"/>
        <v>7245.07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257</v>
      </c>
      <c r="C18" s="10"/>
      <c r="D18" s="4">
        <f>SUM(OSRRefD16x_0)</f>
        <v>0</v>
      </c>
      <c r="E18" s="4"/>
      <c r="F18" s="12">
        <f t="shared" ref="F18:F21" si="5">IF(D$12=0,0,D18/D$12)</f>
        <v>0</v>
      </c>
      <c r="G18" s="4"/>
      <c r="H18" s="4">
        <f>SUM(OSRRefH16x_0)</f>
        <v>34433</v>
      </c>
      <c r="I18" s="4"/>
      <c r="J18" s="12">
        <f t="shared" ref="J18:J21" si="6">IF(H$12=0,0,H18/H$12)</f>
        <v>0.26999921587077552</v>
      </c>
      <c r="K18" s="4"/>
      <c r="L18" s="4">
        <f t="shared" ref="L18:L21" si="7">+D18-H18</f>
        <v>-34433</v>
      </c>
      <c r="M18" s="4"/>
      <c r="N18" s="12">
        <f t="shared" ref="N18:N21" si="8">IF(H18=0,0,L18/H18)</f>
        <v>-1</v>
      </c>
      <c r="O18" s="10"/>
      <c r="P18" s="4">
        <f>SUM(OSRRefP16x_0)</f>
        <v>25322.92</v>
      </c>
      <c r="Q18" s="4"/>
      <c r="R18" s="12">
        <f t="shared" ref="R18:R21" si="9">IF(P$12=0,0,P18/P$12)</f>
        <v>1.0748852229662731</v>
      </c>
      <c r="S18" s="4"/>
      <c r="T18" s="4">
        <f>SUM(OSRRefT16x_0)</f>
        <v>458348</v>
      </c>
      <c r="U18" s="4"/>
      <c r="V18" s="12">
        <f t="shared" ref="V18:V21" si="10">IF(T$12=0,0,T18/T$12)</f>
        <v>0.26917439123510095</v>
      </c>
      <c r="W18" s="4"/>
      <c r="X18" s="4">
        <f t="shared" ref="X18:X21" si="11">+P18-T18</f>
        <v>-433025.08</v>
      </c>
      <c r="Y18" s="4"/>
      <c r="Z18" s="12">
        <f t="shared" ref="Z18:Z21" si="12">IF(T18=0,0,X18/T18)</f>
        <v>-0.94475176067093125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34433</v>
      </c>
      <c r="I19" s="2"/>
      <c r="J19" s="19">
        <f t="shared" si="6"/>
        <v>0.26999921587077552</v>
      </c>
      <c r="K19" s="2"/>
      <c r="L19" s="2">
        <f t="shared" si="7"/>
        <v>-34433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458348</v>
      </c>
      <c r="U19" s="2"/>
      <c r="V19" s="19">
        <f t="shared" si="10"/>
        <v>0.26917439123510095</v>
      </c>
      <c r="W19" s="2"/>
      <c r="X19" s="2">
        <f t="shared" si="11"/>
        <v>-458348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14410.92</v>
      </c>
      <c r="Q20" s="2"/>
      <c r="R20" s="19">
        <f t="shared" si="9"/>
        <v>0.61170216378478959</v>
      </c>
      <c r="S20" s="2"/>
      <c r="T20" s="2"/>
      <c r="U20" s="2"/>
      <c r="V20" s="19">
        <f t="shared" si="10"/>
        <v>0</v>
      </c>
      <c r="W20" s="2"/>
      <c r="X20" s="2">
        <f t="shared" si="11"/>
        <v>14410.92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10912</v>
      </c>
      <c r="Q21" s="2"/>
      <c r="R21" s="19">
        <f t="shared" si="9"/>
        <v>0.4631830591814835</v>
      </c>
      <c r="S21" s="2"/>
      <c r="T21" s="2"/>
      <c r="U21" s="2"/>
      <c r="V21" s="19">
        <f t="shared" si="10"/>
        <v>0</v>
      </c>
      <c r="W21" s="2"/>
      <c r="X21" s="2">
        <f t="shared" si="11"/>
        <v>10912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0">
        <f>D12-D18</f>
        <v>-83.2</v>
      </c>
      <c r="E23" s="14"/>
      <c r="F23" s="21">
        <f>IF(D$12=0,0,D23/D$12)</f>
        <v>1</v>
      </c>
      <c r="G23" s="14"/>
      <c r="H23" s="20">
        <f>H12-H18</f>
        <v>93097</v>
      </c>
      <c r="I23" s="14"/>
      <c r="J23" s="21">
        <f>IF(H$12=0,0,H23/H$12)</f>
        <v>0.73000078412922453</v>
      </c>
      <c r="K23" s="15"/>
      <c r="L23" s="20">
        <f>+D23-H23</f>
        <v>-93180.2</v>
      </c>
      <c r="M23" s="15"/>
      <c r="N23" s="21">
        <f>IF(H23=0,0,L23/H23)</f>
        <v>-1.0008936915260427</v>
      </c>
      <c r="O23" s="29"/>
      <c r="P23" s="20">
        <f>P12-P18</f>
        <v>-1764.1999999999971</v>
      </c>
      <c r="Q23" s="14"/>
      <c r="R23" s="21">
        <f>IF(P$12=0,0,P23/P$12)</f>
        <v>-7.4885222966273077E-2</v>
      </c>
      <c r="S23" s="14"/>
      <c r="T23" s="20">
        <f>T12-T18</f>
        <v>1244444</v>
      </c>
      <c r="U23" s="14"/>
      <c r="V23" s="21">
        <f>IF(T$12=0,0,T23/T$12)</f>
        <v>0.7308256087648991</v>
      </c>
      <c r="W23" s="15"/>
      <c r="X23" s="20">
        <f>+P23-T23</f>
        <v>-1246208.2</v>
      </c>
      <c r="Y23" s="15"/>
      <c r="Z23" s="21">
        <f>IF(T23=0,0,X23/T23)</f>
        <v>-1.0014176612205932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2">
        <f>SUM(OSRRefD22x_0)</f>
        <v>47602.65</v>
      </c>
      <c r="E25" s="22"/>
      <c r="F25" s="31">
        <f t="shared" ref="F25:F36" si="13">IF(D$12=0,0,D25/D$12)</f>
        <v>-572.14723557692309</v>
      </c>
      <c r="G25" s="22"/>
      <c r="H25" s="22">
        <f>SUM(OSRRefH22x_0)</f>
        <v>121707.19633076923</v>
      </c>
      <c r="I25" s="22"/>
      <c r="J25" s="31">
        <f t="shared" ref="J25:J36" si="14">IF(H$12=0,0,H25/H$12)</f>
        <v>0.95434169474452468</v>
      </c>
      <c r="K25" s="4"/>
      <c r="L25" s="22">
        <f t="shared" ref="L25:L36" si="15">+D25-H25</f>
        <v>-74104.546330769226</v>
      </c>
      <c r="M25" s="4"/>
      <c r="N25" s="31">
        <f t="shared" ref="N25:N36" si="16">IF(H25=0,0,L25/H25)</f>
        <v>-0.60887563402062028</v>
      </c>
      <c r="O25" s="10"/>
      <c r="P25" s="22">
        <f>SUM(OSRRefP22x_0)</f>
        <v>562783.65999999992</v>
      </c>
      <c r="Q25" s="22"/>
      <c r="R25" s="31">
        <f t="shared" ref="R25:R36" si="17">IF(P$12=0,0,P25/P$12)</f>
        <v>23.888549972154678</v>
      </c>
      <c r="S25" s="22"/>
      <c r="T25" s="22">
        <f>SUM(OSRRefT22x_0)</f>
        <v>1414551.9056692305</v>
      </c>
      <c r="U25" s="22"/>
      <c r="V25" s="31">
        <f t="shared" ref="V25:V36" si="18">IF(T$12=0,0,T25/T$12)</f>
        <v>0.83072501260825193</v>
      </c>
      <c r="W25" s="4"/>
      <c r="X25" s="22">
        <f t="shared" ref="X25:X36" si="19">+P25-T25</f>
        <v>-851768.24566923059</v>
      </c>
      <c r="Y25" s="4"/>
      <c r="Z25" s="31">
        <f t="shared" ref="Z25:Z36" si="20">IF(T25=0,0,X25/T25)</f>
        <v>-0.60214704193993884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20216.71</v>
      </c>
      <c r="E26" s="1"/>
      <c r="F26" s="5">
        <f t="shared" si="13"/>
        <v>-242.98930288461537</v>
      </c>
      <c r="G26" s="1"/>
      <c r="H26" s="1">
        <f>SUM(OSRRefH22_0x_0)</f>
        <v>30541.374792307739</v>
      </c>
      <c r="I26" s="1"/>
      <c r="J26" s="5">
        <f t="shared" si="14"/>
        <v>0.23948384530939967</v>
      </c>
      <c r="K26" s="1"/>
      <c r="L26" s="1">
        <f t="shared" si="15"/>
        <v>-10324.66479230774</v>
      </c>
      <c r="M26" s="1"/>
      <c r="N26" s="5">
        <f t="shared" si="16"/>
        <v>-0.33805501103074598</v>
      </c>
      <c r="O26" s="13"/>
      <c r="P26" s="1">
        <f>SUM(OSRRefP22_0x_0)</f>
        <v>229984.17</v>
      </c>
      <c r="Q26" s="1"/>
      <c r="R26" s="5">
        <f t="shared" si="17"/>
        <v>9.7621674692003637</v>
      </c>
      <c r="S26" s="1"/>
      <c r="T26" s="1">
        <f>SUM(OSRRefT22_0x_0)</f>
        <v>353696.04720769264</v>
      </c>
      <c r="U26" s="1"/>
      <c r="V26" s="5">
        <f t="shared" si="18"/>
        <v>0.20771535643090444</v>
      </c>
      <c r="W26" s="1"/>
      <c r="X26" s="1">
        <f t="shared" si="19"/>
        <v>-123711.87720769263</v>
      </c>
      <c r="Y26" s="1"/>
      <c r="Z26" s="5">
        <f t="shared" si="20"/>
        <v>-0.3497688995519031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1817.28</v>
      </c>
      <c r="E27" s="2"/>
      <c r="F27" s="6">
        <f t="shared" si="13"/>
        <v>-21.842307692307692</v>
      </c>
      <c r="G27" s="2"/>
      <c r="H27" s="7">
        <v>3540.6898846153799</v>
      </c>
      <c r="I27" s="2"/>
      <c r="J27" s="6">
        <f t="shared" si="14"/>
        <v>2.7763584134049869E-2</v>
      </c>
      <c r="K27" s="2"/>
      <c r="L27" s="7">
        <f t="shared" si="15"/>
        <v>-1723.40988461538</v>
      </c>
      <c r="M27" s="2"/>
      <c r="N27" s="6">
        <f t="shared" si="16"/>
        <v>-0.48674409247298184</v>
      </c>
      <c r="O27" s="11"/>
      <c r="P27" s="7">
        <v>22521.15</v>
      </c>
      <c r="Q27" s="2"/>
      <c r="R27" s="6">
        <f t="shared" si="17"/>
        <v>0.95595813354885162</v>
      </c>
      <c r="S27" s="2"/>
      <c r="T27" s="7">
        <v>40271.969815384597</v>
      </c>
      <c r="U27" s="2"/>
      <c r="V27" s="6">
        <f t="shared" si="18"/>
        <v>2.3650551456305055E-2</v>
      </c>
      <c r="W27" s="2"/>
      <c r="X27" s="7">
        <f t="shared" si="19"/>
        <v>-17750.819815384595</v>
      </c>
      <c r="Y27" s="2"/>
      <c r="Z27" s="6">
        <f t="shared" si="20"/>
        <v>-0.44077356773850856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1511.29</v>
      </c>
      <c r="E28" s="2"/>
      <c r="F28" s="6">
        <f t="shared" si="13"/>
        <v>-18.164543269230769</v>
      </c>
      <c r="G28" s="2"/>
      <c r="H28" s="7">
        <v>2396.0758799999999</v>
      </c>
      <c r="I28" s="2"/>
      <c r="J28" s="6">
        <f t="shared" si="14"/>
        <v>1.8788331216184426E-2</v>
      </c>
      <c r="K28" s="2"/>
      <c r="L28" s="7">
        <f t="shared" si="15"/>
        <v>-884.78587999999991</v>
      </c>
      <c r="M28" s="2"/>
      <c r="N28" s="6">
        <f t="shared" si="16"/>
        <v>-0.36926454933472308</v>
      </c>
      <c r="O28" s="11"/>
      <c r="P28" s="7">
        <v>12742.68</v>
      </c>
      <c r="Q28" s="2"/>
      <c r="R28" s="6">
        <f t="shared" si="17"/>
        <v>0.54089016720772609</v>
      </c>
      <c r="S28" s="2"/>
      <c r="T28" s="7">
        <v>27108.424859999999</v>
      </c>
      <c r="U28" s="2"/>
      <c r="V28" s="6">
        <f t="shared" si="18"/>
        <v>1.5919986034700656E-2</v>
      </c>
      <c r="W28" s="2"/>
      <c r="X28" s="7">
        <f t="shared" si="19"/>
        <v>-14365.744859999999</v>
      </c>
      <c r="Y28" s="2"/>
      <c r="Z28" s="6">
        <f t="shared" si="20"/>
        <v>-0.52993653944082386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11992.75</v>
      </c>
      <c r="E29" s="2"/>
      <c r="F29" s="6">
        <f t="shared" si="13"/>
        <v>-144.14362980769229</v>
      </c>
      <c r="G29" s="2"/>
      <c r="H29" s="7">
        <v>18733.8461538462</v>
      </c>
      <c r="I29" s="2"/>
      <c r="J29" s="6">
        <f t="shared" si="14"/>
        <v>0.14689756256446482</v>
      </c>
      <c r="K29" s="2"/>
      <c r="L29" s="7">
        <f t="shared" si="15"/>
        <v>-6741.0961538461997</v>
      </c>
      <c r="M29" s="2"/>
      <c r="N29" s="6">
        <f t="shared" si="16"/>
        <v>-0.35983514001806843</v>
      </c>
      <c r="O29" s="11"/>
      <c r="P29" s="7">
        <v>134101.98000000001</v>
      </c>
      <c r="Q29" s="2"/>
      <c r="R29" s="6">
        <f t="shared" si="17"/>
        <v>5.6922438910093591</v>
      </c>
      <c r="S29" s="2"/>
      <c r="T29" s="7">
        <v>218866.15384615399</v>
      </c>
      <c r="U29" s="2"/>
      <c r="V29" s="6">
        <f t="shared" si="18"/>
        <v>0.12853369868201989</v>
      </c>
      <c r="W29" s="2"/>
      <c r="X29" s="7">
        <f t="shared" si="19"/>
        <v>-84764.173846153979</v>
      </c>
      <c r="Y29" s="2"/>
      <c r="Z29" s="6">
        <f t="shared" si="20"/>
        <v>-0.38728772063010092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91.59</v>
      </c>
      <c r="E30" s="2"/>
      <c r="F30" s="6">
        <f t="shared" si="13"/>
        <v>-1.1008413461538462</v>
      </c>
      <c r="G30" s="2"/>
      <c r="H30" s="7">
        <v>145.21672000000001</v>
      </c>
      <c r="I30" s="2"/>
      <c r="J30" s="6">
        <f t="shared" si="14"/>
        <v>1.1386867403748138E-3</v>
      </c>
      <c r="K30" s="2"/>
      <c r="L30" s="7">
        <f t="shared" si="15"/>
        <v>-53.626720000000006</v>
      </c>
      <c r="M30" s="2"/>
      <c r="N30" s="6">
        <f t="shared" si="16"/>
        <v>-0.36928750353265105</v>
      </c>
      <c r="O30" s="11"/>
      <c r="P30" s="7">
        <v>772.27</v>
      </c>
      <c r="Q30" s="2"/>
      <c r="R30" s="6">
        <f t="shared" si="17"/>
        <v>3.2780643430542912E-2</v>
      </c>
      <c r="S30" s="2"/>
      <c r="T30" s="7">
        <v>1642.9348399999999</v>
      </c>
      <c r="U30" s="2"/>
      <c r="V30" s="6">
        <f t="shared" si="18"/>
        <v>9.6484763846670638E-4</v>
      </c>
      <c r="W30" s="2"/>
      <c r="X30" s="7">
        <f t="shared" si="19"/>
        <v>-870.66483999999991</v>
      </c>
      <c r="Y30" s="2"/>
      <c r="Z30" s="6">
        <f t="shared" si="20"/>
        <v>-0.5299448394435412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950.04</v>
      </c>
      <c r="E31" s="2"/>
      <c r="F31" s="6">
        <f t="shared" si="13"/>
        <v>-11.418749999999999</v>
      </c>
      <c r="G31" s="2"/>
      <c r="H31" s="7">
        <v>1246.0870769230801</v>
      </c>
      <c r="I31" s="2"/>
      <c r="J31" s="6">
        <f t="shared" si="14"/>
        <v>9.7709329328242774E-3</v>
      </c>
      <c r="K31" s="2"/>
      <c r="L31" s="7">
        <f t="shared" si="15"/>
        <v>-296.04707692308011</v>
      </c>
      <c r="M31" s="2"/>
      <c r="N31" s="6">
        <f t="shared" si="16"/>
        <v>-0.23758137164386534</v>
      </c>
      <c r="O31" s="11"/>
      <c r="P31" s="7">
        <v>11480.91</v>
      </c>
      <c r="Q31" s="2"/>
      <c r="R31" s="6">
        <f t="shared" si="17"/>
        <v>0.48733165469091694</v>
      </c>
      <c r="S31" s="2"/>
      <c r="T31" s="7">
        <v>14953.044923076999</v>
      </c>
      <c r="U31" s="2"/>
      <c r="V31" s="6">
        <f t="shared" si="18"/>
        <v>8.7814864781353211E-3</v>
      </c>
      <c r="W31" s="2"/>
      <c r="X31" s="7">
        <f t="shared" si="19"/>
        <v>-3472.1349230769993</v>
      </c>
      <c r="Y31" s="2"/>
      <c r="Z31" s="6">
        <f t="shared" si="20"/>
        <v>-0.23220253406170549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7">
        <v>330.17</v>
      </c>
      <c r="E33" s="2"/>
      <c r="F33" s="6">
        <f t="shared" si="13"/>
        <v>-3.968389423076923</v>
      </c>
      <c r="G33" s="2"/>
      <c r="H33" s="7"/>
      <c r="I33" s="2"/>
      <c r="J33" s="6">
        <f t="shared" si="14"/>
        <v>0</v>
      </c>
      <c r="K33" s="2"/>
      <c r="L33" s="7">
        <f t="shared" si="15"/>
        <v>330.17</v>
      </c>
      <c r="M33" s="2"/>
      <c r="N33" s="6">
        <f t="shared" si="16"/>
        <v>0</v>
      </c>
      <c r="O33" s="11"/>
      <c r="P33" s="7">
        <v>4380.1899999999996</v>
      </c>
      <c r="Q33" s="2"/>
      <c r="R33" s="6">
        <f t="shared" si="17"/>
        <v>0.18592648497032094</v>
      </c>
      <c r="S33" s="2"/>
      <c r="T33" s="7"/>
      <c r="U33" s="2"/>
      <c r="V33" s="6">
        <f t="shared" si="18"/>
        <v>0</v>
      </c>
      <c r="W33" s="2"/>
      <c r="X33" s="7">
        <f t="shared" si="19"/>
        <v>4380.1899999999996</v>
      </c>
      <c r="Y33" s="2"/>
      <c r="Z33" s="6">
        <f t="shared" si="20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7">
        <v>1628.16</v>
      </c>
      <c r="E34" s="2"/>
      <c r="F34" s="6">
        <f t="shared" si="13"/>
        <v>-19.569230769230771</v>
      </c>
      <c r="G34" s="2"/>
      <c r="H34" s="7">
        <v>1260.2815384615401</v>
      </c>
      <c r="I34" s="2"/>
      <c r="J34" s="6">
        <f t="shared" si="14"/>
        <v>9.8822358540072153E-3</v>
      </c>
      <c r="K34" s="2"/>
      <c r="L34" s="7">
        <f t="shared" si="15"/>
        <v>367.87846153845999</v>
      </c>
      <c r="M34" s="2"/>
      <c r="N34" s="6">
        <f t="shared" si="16"/>
        <v>0.29190180948579092</v>
      </c>
      <c r="O34" s="11"/>
      <c r="P34" s="7">
        <v>20990.04</v>
      </c>
      <c r="Q34" s="2"/>
      <c r="R34" s="6">
        <f t="shared" si="17"/>
        <v>0.8909669116148925</v>
      </c>
      <c r="S34" s="2"/>
      <c r="T34" s="7">
        <v>15123.378461538499</v>
      </c>
      <c r="U34" s="2"/>
      <c r="V34" s="6">
        <f t="shared" si="18"/>
        <v>8.8815183895264369E-3</v>
      </c>
      <c r="W34" s="2"/>
      <c r="X34" s="7">
        <f t="shared" si="19"/>
        <v>5866.6615384615016</v>
      </c>
      <c r="Y34" s="2"/>
      <c r="Z34" s="6">
        <f t="shared" si="20"/>
        <v>0.38792003740311654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7">
        <v>1078.6199999999999</v>
      </c>
      <c r="E35" s="2"/>
      <c r="F35" s="6">
        <f t="shared" si="13"/>
        <v>-12.964182692307691</v>
      </c>
      <c r="G35" s="2"/>
      <c r="H35" s="7">
        <v>1469.1775384615401</v>
      </c>
      <c r="I35" s="2"/>
      <c r="J35" s="6">
        <f t="shared" si="14"/>
        <v>1.1520250438810791E-2</v>
      </c>
      <c r="K35" s="2"/>
      <c r="L35" s="7">
        <f t="shared" si="15"/>
        <v>-390.55753846154016</v>
      </c>
      <c r="M35" s="2"/>
      <c r="N35" s="6">
        <f t="shared" si="16"/>
        <v>-0.26583413388589872</v>
      </c>
      <c r="O35" s="11"/>
      <c r="P35" s="7">
        <v>14038.07</v>
      </c>
      <c r="Q35" s="2"/>
      <c r="R35" s="6">
        <f t="shared" si="17"/>
        <v>0.59587575216310562</v>
      </c>
      <c r="S35" s="2"/>
      <c r="T35" s="7">
        <v>16480.1404615385</v>
      </c>
      <c r="U35" s="2"/>
      <c r="V35" s="6">
        <f t="shared" si="18"/>
        <v>9.67830507868166E-3</v>
      </c>
      <c r="W35" s="2"/>
      <c r="X35" s="7">
        <f t="shared" si="19"/>
        <v>-2442.0704615385002</v>
      </c>
      <c r="Y35" s="2"/>
      <c r="Z35" s="6">
        <f t="shared" si="20"/>
        <v>-0.14818262424630579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7">
        <v>816.81</v>
      </c>
      <c r="E36" s="2"/>
      <c r="F36" s="6">
        <f t="shared" si="13"/>
        <v>-9.817427884615384</v>
      </c>
      <c r="G36" s="2"/>
      <c r="H36" s="7">
        <v>1750</v>
      </c>
      <c r="I36" s="2"/>
      <c r="J36" s="6">
        <f t="shared" si="14"/>
        <v>1.3722261428683448E-2</v>
      </c>
      <c r="K36" s="2"/>
      <c r="L36" s="7">
        <f t="shared" si="15"/>
        <v>-933.19</v>
      </c>
      <c r="M36" s="2"/>
      <c r="N36" s="6">
        <f t="shared" si="16"/>
        <v>-0.5332514285714286</v>
      </c>
      <c r="O36" s="11"/>
      <c r="P36" s="7">
        <v>8956.8799999999992</v>
      </c>
      <c r="Q36" s="2"/>
      <c r="R36" s="6">
        <f t="shared" si="17"/>
        <v>0.38019383056464862</v>
      </c>
      <c r="S36" s="2"/>
      <c r="T36" s="7">
        <v>19250</v>
      </c>
      <c r="U36" s="2"/>
      <c r="V36" s="6">
        <f t="shared" si="18"/>
        <v>1.1304962673068701E-2</v>
      </c>
      <c r="W36" s="2"/>
      <c r="X36" s="7">
        <f t="shared" si="19"/>
        <v>-10293.120000000001</v>
      </c>
      <c r="Y36" s="2"/>
      <c r="Z36" s="6">
        <f t="shared" si="20"/>
        <v>-0.53470753246753255</v>
      </c>
    </row>
    <row r="37" spans="1:26" s="27" customFormat="1" outlineLevel="1" collapsed="1" x14ac:dyDescent="0.25">
      <c r="A37" s="26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21554.28</v>
      </c>
      <c r="E37" s="1"/>
      <c r="F37" s="5">
        <f t="shared" ref="F37:F47" si="21">IF(D$12=0,0,D37/D$12)</f>
        <v>-259.06586538461534</v>
      </c>
      <c r="G37" s="1"/>
      <c r="H37" s="1">
        <f>SUM(OSRRefH22_1x_0)</f>
        <v>53744.821538461503</v>
      </c>
      <c r="I37" s="1"/>
      <c r="J37" s="5">
        <f t="shared" ref="J37:J47" si="22">IF(H$12=0,0,H37/H$12)</f>
        <v>0.4214288523364032</v>
      </c>
      <c r="K37" s="1"/>
      <c r="L37" s="1">
        <f t="shared" ref="L37:L47" si="23">+D37-H37</f>
        <v>-32190.541538461504</v>
      </c>
      <c r="M37" s="1"/>
      <c r="N37" s="5">
        <f t="shared" ref="N37:N47" si="24">IF(H37=0,0,L37/H37)</f>
        <v>-0.59895150113067042</v>
      </c>
      <c r="O37" s="13"/>
      <c r="P37" s="1">
        <f>SUM(OSRRefP22_1x_0)</f>
        <v>246230.04</v>
      </c>
      <c r="Q37" s="1"/>
      <c r="R37" s="5">
        <f t="shared" ref="R37:R47" si="25">IF(P$12=0,0,P37/P$12)</f>
        <v>10.451757990247348</v>
      </c>
      <c r="S37" s="1"/>
      <c r="T37" s="1">
        <f>SUM(OSRRefT22_1x_0)</f>
        <v>606604.85846153798</v>
      </c>
      <c r="U37" s="1"/>
      <c r="V37" s="5">
        <f t="shared" ref="V37:V47" si="26">IF(T$12=0,0,T37/T$12)</f>
        <v>0.35624131336154857</v>
      </c>
      <c r="W37" s="1"/>
      <c r="X37" s="1">
        <f t="shared" ref="X37:X47" si="27">+P37-T37</f>
        <v>-360374.81846153794</v>
      </c>
      <c r="Y37" s="1"/>
      <c r="Z37" s="5">
        <f t="shared" ref="Z37:Z47" si="28">IF(T37=0,0,X37/T37)</f>
        <v>-0.59408495239473535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7">
        <v>8392.92</v>
      </c>
      <c r="E39" s="2"/>
      <c r="F39" s="6">
        <f t="shared" si="21"/>
        <v>-100.8764423076923</v>
      </c>
      <c r="G39" s="2"/>
      <c r="H39" s="7">
        <v>13620.0215384615</v>
      </c>
      <c r="I39" s="2"/>
      <c r="J39" s="6">
        <f t="shared" si="22"/>
        <v>0.10679856926575317</v>
      </c>
      <c r="K39" s="2"/>
      <c r="L39" s="7">
        <f t="shared" si="23"/>
        <v>-5227.1015384615002</v>
      </c>
      <c r="M39" s="2"/>
      <c r="N39" s="6">
        <f t="shared" si="24"/>
        <v>-0.38378071016266152</v>
      </c>
      <c r="O39" s="11"/>
      <c r="P39" s="7">
        <v>100961.31</v>
      </c>
      <c r="Q39" s="2"/>
      <c r="R39" s="6">
        <f t="shared" si="25"/>
        <v>4.2855176342347967</v>
      </c>
      <c r="S39" s="2"/>
      <c r="T39" s="7">
        <v>163440.258461538</v>
      </c>
      <c r="U39" s="2"/>
      <c r="V39" s="6">
        <f t="shared" si="26"/>
        <v>9.5983689412175999E-2</v>
      </c>
      <c r="W39" s="2"/>
      <c r="X39" s="7">
        <f t="shared" si="27"/>
        <v>-62478.948461538006</v>
      </c>
      <c r="Y39" s="2"/>
      <c r="Z39" s="6">
        <f t="shared" si="28"/>
        <v>-0.38227392106236191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7">
        <v>13161.36</v>
      </c>
      <c r="E41" s="2"/>
      <c r="F41" s="6">
        <f t="shared" si="21"/>
        <v>-158.18942307692308</v>
      </c>
      <c r="G41" s="2"/>
      <c r="H41" s="7">
        <v>30537.599999999999</v>
      </c>
      <c r="I41" s="2"/>
      <c r="J41" s="6">
        <f t="shared" si="22"/>
        <v>0.23945424605975063</v>
      </c>
      <c r="K41" s="2"/>
      <c r="L41" s="7">
        <f t="shared" si="23"/>
        <v>-17376.239999999998</v>
      </c>
      <c r="M41" s="2"/>
      <c r="N41" s="6">
        <f t="shared" si="24"/>
        <v>-0.5690113171958503</v>
      </c>
      <c r="O41" s="11"/>
      <c r="P41" s="7">
        <v>145268.73000000001</v>
      </c>
      <c r="Q41" s="2"/>
      <c r="R41" s="6">
        <f t="shared" si="25"/>
        <v>6.1662403560125512</v>
      </c>
      <c r="S41" s="2"/>
      <c r="T41" s="7">
        <v>337491.20000000001</v>
      </c>
      <c r="U41" s="2"/>
      <c r="V41" s="6">
        <f t="shared" si="26"/>
        <v>0.19819872303839811</v>
      </c>
      <c r="W41" s="2"/>
      <c r="X41" s="7">
        <f t="shared" si="27"/>
        <v>-192222.47</v>
      </c>
      <c r="Y41" s="2"/>
      <c r="Z41" s="6">
        <f t="shared" si="28"/>
        <v>-0.56956291008476667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>
        <v>0</v>
      </c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1"/>
        <v>0</v>
      </c>
      <c r="G45" s="2"/>
      <c r="H45" s="7">
        <v>9587.2000000000007</v>
      </c>
      <c r="I45" s="2"/>
      <c r="J45" s="6">
        <f t="shared" si="22"/>
        <v>7.5176037010899407E-2</v>
      </c>
      <c r="K45" s="2"/>
      <c r="L45" s="7">
        <f t="shared" si="23"/>
        <v>-9587.2000000000007</v>
      </c>
      <c r="M45" s="2"/>
      <c r="N45" s="6">
        <f t="shared" si="24"/>
        <v>-1</v>
      </c>
      <c r="O45" s="11"/>
      <c r="P45" s="7"/>
      <c r="Q45" s="2"/>
      <c r="R45" s="6">
        <f t="shared" si="25"/>
        <v>0</v>
      </c>
      <c r="S45" s="2"/>
      <c r="T45" s="7">
        <v>105673.4</v>
      </c>
      <c r="U45" s="2"/>
      <c r="V45" s="6">
        <f t="shared" si="26"/>
        <v>6.2058900910974442E-2</v>
      </c>
      <c r="W45" s="2"/>
      <c r="X45" s="7">
        <f t="shared" si="27"/>
        <v>-105673.4</v>
      </c>
      <c r="Y45" s="2"/>
      <c r="Z45" s="6">
        <f t="shared" si="28"/>
        <v>-1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7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69" si="29">IF(D$12=0,0,D48/D$12)</f>
        <v>0</v>
      </c>
      <c r="G48" s="1"/>
      <c r="H48" s="1">
        <f>SUM(OSRRefH22_2x_0)</f>
        <v>500</v>
      </c>
      <c r="I48" s="1"/>
      <c r="J48" s="5">
        <f t="shared" ref="J48:J69" si="30">IF(H$12=0,0,H48/H$12)</f>
        <v>3.9206461224809853E-3</v>
      </c>
      <c r="K48" s="1"/>
      <c r="L48" s="1">
        <f t="shared" ref="L48:L69" si="31">+D48-H48</f>
        <v>-500</v>
      </c>
      <c r="M48" s="1"/>
      <c r="N48" s="5">
        <f t="shared" ref="N48:N69" si="32">IF(H48=0,0,L48/H48)</f>
        <v>-1</v>
      </c>
      <c r="O48" s="13"/>
      <c r="P48" s="1">
        <f>SUM(OSRRefP22_2x_0)</f>
        <v>204.75</v>
      </c>
      <c r="Q48" s="1"/>
      <c r="R48" s="5">
        <f t="shared" ref="R48:R69" si="33">IF(P$12=0,0,P48/P$12)</f>
        <v>8.6910494288314471E-3</v>
      </c>
      <c r="S48" s="1"/>
      <c r="T48" s="1">
        <f>SUM(OSRRefT22_2x_0)</f>
        <v>5500</v>
      </c>
      <c r="U48" s="1"/>
      <c r="V48" s="5">
        <f t="shared" ref="V48:V69" si="34">IF(T$12=0,0,T48/T$12)</f>
        <v>3.2299893351624863E-3</v>
      </c>
      <c r="W48" s="1"/>
      <c r="X48" s="1">
        <f t="shared" ref="X48:X69" si="35">+P48-T48</f>
        <v>-5295.25</v>
      </c>
      <c r="Y48" s="1"/>
      <c r="Z48" s="5">
        <f t="shared" ref="Z48:Z69" si="36">IF(T48=0,0,X48/T48)</f>
        <v>-0.96277272727272722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9"/>
        <v>0</v>
      </c>
      <c r="G49" s="2"/>
      <c r="H49" s="7">
        <v>500</v>
      </c>
      <c r="I49" s="2"/>
      <c r="J49" s="6">
        <f t="shared" si="30"/>
        <v>3.9206461224809853E-3</v>
      </c>
      <c r="K49" s="2"/>
      <c r="L49" s="7">
        <f t="shared" si="31"/>
        <v>-500</v>
      </c>
      <c r="M49" s="2"/>
      <c r="N49" s="6">
        <f t="shared" si="32"/>
        <v>-1</v>
      </c>
      <c r="O49" s="11"/>
      <c r="P49" s="7">
        <v>204.75</v>
      </c>
      <c r="Q49" s="2"/>
      <c r="R49" s="6">
        <f t="shared" si="33"/>
        <v>8.6910494288314471E-3</v>
      </c>
      <c r="S49" s="2"/>
      <c r="T49" s="7">
        <v>5500</v>
      </c>
      <c r="U49" s="2"/>
      <c r="V49" s="6">
        <f t="shared" si="34"/>
        <v>3.2299893351624863E-3</v>
      </c>
      <c r="W49" s="2"/>
      <c r="X49" s="7">
        <f t="shared" si="35"/>
        <v>-5295.25</v>
      </c>
      <c r="Y49" s="2"/>
      <c r="Z49" s="6">
        <f t="shared" si="36"/>
        <v>-0.96277272727272722</v>
      </c>
    </row>
    <row r="50" spans="1:26" s="27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15</v>
      </c>
      <c r="I50" s="1"/>
      <c r="J50" s="5">
        <f t="shared" si="30"/>
        <v>1.1761938367442955E-4</v>
      </c>
      <c r="K50" s="1"/>
      <c r="L50" s="1">
        <f t="shared" si="31"/>
        <v>-15</v>
      </c>
      <c r="M50" s="1"/>
      <c r="N50" s="5">
        <f t="shared" si="32"/>
        <v>-1</v>
      </c>
      <c r="O50" s="13"/>
      <c r="P50" s="1">
        <f>SUM(OSRRefP22_3x_0)</f>
        <v>0</v>
      </c>
      <c r="Q50" s="1"/>
      <c r="R50" s="5">
        <f t="shared" si="33"/>
        <v>0</v>
      </c>
      <c r="S50" s="1"/>
      <c r="T50" s="1">
        <f>SUM(OSRRefT22_3x_0)</f>
        <v>165</v>
      </c>
      <c r="U50" s="1"/>
      <c r="V50" s="5">
        <f t="shared" si="34"/>
        <v>9.6899680054874577E-5</v>
      </c>
      <c r="W50" s="1"/>
      <c r="X50" s="1">
        <f t="shared" si="35"/>
        <v>-165</v>
      </c>
      <c r="Y50" s="1"/>
      <c r="Z50" s="5">
        <f t="shared" si="36"/>
        <v>-1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9"/>
        <v>0</v>
      </c>
      <c r="G51" s="2"/>
      <c r="H51" s="7">
        <v>15</v>
      </c>
      <c r="I51" s="2"/>
      <c r="J51" s="6">
        <f t="shared" si="30"/>
        <v>1.1761938367442955E-4</v>
      </c>
      <c r="K51" s="2"/>
      <c r="L51" s="7">
        <f t="shared" si="31"/>
        <v>-15</v>
      </c>
      <c r="M51" s="2"/>
      <c r="N51" s="6">
        <f t="shared" si="32"/>
        <v>-1</v>
      </c>
      <c r="O51" s="11"/>
      <c r="P51" s="7">
        <v>0</v>
      </c>
      <c r="Q51" s="2"/>
      <c r="R51" s="6">
        <f t="shared" si="33"/>
        <v>0</v>
      </c>
      <c r="S51" s="2"/>
      <c r="T51" s="7">
        <v>165</v>
      </c>
      <c r="U51" s="2"/>
      <c r="V51" s="6">
        <f t="shared" si="34"/>
        <v>9.6899680054874577E-5</v>
      </c>
      <c r="W51" s="2"/>
      <c r="X51" s="7">
        <f t="shared" si="35"/>
        <v>-165</v>
      </c>
      <c r="Y51" s="2"/>
      <c r="Z51" s="6">
        <f t="shared" si="36"/>
        <v>-1</v>
      </c>
    </row>
    <row r="52" spans="1:26" s="27" customFormat="1" outlineLevel="1" collapsed="1" x14ac:dyDescent="0.25">
      <c r="A52" s="26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0</v>
      </c>
      <c r="E52" s="1"/>
      <c r="F52" s="5">
        <f t="shared" si="29"/>
        <v>0</v>
      </c>
      <c r="G52" s="1"/>
      <c r="H52" s="1">
        <f>SUM(OSRRefH22_4x_0)</f>
        <v>250</v>
      </c>
      <c r="I52" s="1"/>
      <c r="J52" s="5">
        <f t="shared" si="30"/>
        <v>1.9603230612404926E-3</v>
      </c>
      <c r="K52" s="1"/>
      <c r="L52" s="1">
        <f t="shared" si="31"/>
        <v>-250</v>
      </c>
      <c r="M52" s="1"/>
      <c r="N52" s="5">
        <f t="shared" si="32"/>
        <v>-1</v>
      </c>
      <c r="O52" s="13"/>
      <c r="P52" s="1">
        <f>SUM(OSRRefP22_4x_0)</f>
        <v>0</v>
      </c>
      <c r="Q52" s="1"/>
      <c r="R52" s="5">
        <f t="shared" si="33"/>
        <v>0</v>
      </c>
      <c r="S52" s="1"/>
      <c r="T52" s="1">
        <f>SUM(OSRRefT22_4x_0)</f>
        <v>2750</v>
      </c>
      <c r="U52" s="1"/>
      <c r="V52" s="5">
        <f t="shared" si="34"/>
        <v>1.6149946675812431E-3</v>
      </c>
      <c r="W52" s="1"/>
      <c r="X52" s="1">
        <f t="shared" si="35"/>
        <v>-2750</v>
      </c>
      <c r="Y52" s="1"/>
      <c r="Z52" s="5">
        <f t="shared" si="36"/>
        <v>-1</v>
      </c>
    </row>
    <row r="53" spans="1:26" s="24" customFormat="1" hidden="1" outlineLevel="2" x14ac:dyDescent="0.25">
      <c r="A53" s="25"/>
      <c r="B53" s="11" t="str">
        <f>CONCATENATE("          ", "6381", " - ", "BANK/CREDIT CARD FEES")</f>
        <v xml:space="preserve">          6381 - BANK/CREDIT CARD FEES</v>
      </c>
      <c r="C53" s="11"/>
      <c r="D53" s="7"/>
      <c r="E53" s="2"/>
      <c r="F53" s="6">
        <f t="shared" si="29"/>
        <v>0</v>
      </c>
      <c r="G53" s="2"/>
      <c r="H53" s="7">
        <v>250</v>
      </c>
      <c r="I53" s="2"/>
      <c r="J53" s="6">
        <f t="shared" si="30"/>
        <v>1.9603230612404926E-3</v>
      </c>
      <c r="K53" s="2"/>
      <c r="L53" s="7">
        <f t="shared" si="31"/>
        <v>-250</v>
      </c>
      <c r="M53" s="2"/>
      <c r="N53" s="6">
        <f t="shared" si="32"/>
        <v>-1</v>
      </c>
      <c r="O53" s="11"/>
      <c r="P53" s="7"/>
      <c r="Q53" s="2"/>
      <c r="R53" s="6">
        <f t="shared" si="33"/>
        <v>0</v>
      </c>
      <c r="S53" s="2"/>
      <c r="T53" s="7">
        <v>2750</v>
      </c>
      <c r="U53" s="2"/>
      <c r="V53" s="6">
        <f t="shared" si="34"/>
        <v>1.6149946675812431E-3</v>
      </c>
      <c r="W53" s="2"/>
      <c r="X53" s="7">
        <f t="shared" si="35"/>
        <v>-2750</v>
      </c>
      <c r="Y53" s="2"/>
      <c r="Z53" s="6">
        <f t="shared" si="36"/>
        <v>-1</v>
      </c>
    </row>
    <row r="54" spans="1:26" s="27" customFormat="1" outlineLevel="1" collapsed="1" x14ac:dyDescent="0.25">
      <c r="A54" s="26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272.74</v>
      </c>
      <c r="E54" s="1"/>
      <c r="F54" s="5">
        <f t="shared" si="29"/>
        <v>-3.2781250000000002</v>
      </c>
      <c r="G54" s="1"/>
      <c r="H54" s="1">
        <f>SUM(OSRRefH22_5x_0)</f>
        <v>0</v>
      </c>
      <c r="I54" s="1"/>
      <c r="J54" s="5">
        <f t="shared" si="30"/>
        <v>0</v>
      </c>
      <c r="K54" s="1"/>
      <c r="L54" s="1">
        <f t="shared" si="31"/>
        <v>272.74</v>
      </c>
      <c r="M54" s="1"/>
      <c r="N54" s="5">
        <f t="shared" si="32"/>
        <v>0</v>
      </c>
      <c r="O54" s="13"/>
      <c r="P54" s="1">
        <f>SUM(OSRRefP22_5x_0)</f>
        <v>2735.92</v>
      </c>
      <c r="Q54" s="1"/>
      <c r="R54" s="5">
        <f t="shared" si="33"/>
        <v>0.1161319460480026</v>
      </c>
      <c r="S54" s="1"/>
      <c r="T54" s="1">
        <f>SUM(OSRRefT22_5x_0)</f>
        <v>0</v>
      </c>
      <c r="U54" s="1"/>
      <c r="V54" s="5">
        <f t="shared" si="34"/>
        <v>0</v>
      </c>
      <c r="W54" s="1"/>
      <c r="X54" s="1">
        <f t="shared" si="35"/>
        <v>2735.92</v>
      </c>
      <c r="Y54" s="1"/>
      <c r="Z54" s="5">
        <f t="shared" si="36"/>
        <v>0</v>
      </c>
    </row>
    <row r="55" spans="1:26" s="24" customFormat="1" hidden="1" outlineLevel="2" x14ac:dyDescent="0.25">
      <c r="A55" s="25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272.74</v>
      </c>
      <c r="E55" s="2"/>
      <c r="F55" s="6">
        <f t="shared" si="29"/>
        <v>-3.2781250000000002</v>
      </c>
      <c r="G55" s="2"/>
      <c r="H55" s="7"/>
      <c r="I55" s="2"/>
      <c r="J55" s="6">
        <f t="shared" si="30"/>
        <v>0</v>
      </c>
      <c r="K55" s="2"/>
      <c r="L55" s="7">
        <f t="shared" si="31"/>
        <v>272.74</v>
      </c>
      <c r="M55" s="2"/>
      <c r="N55" s="6">
        <f t="shared" si="32"/>
        <v>0</v>
      </c>
      <c r="O55" s="11"/>
      <c r="P55" s="7">
        <v>2735.92</v>
      </c>
      <c r="Q55" s="2"/>
      <c r="R55" s="6">
        <f t="shared" si="33"/>
        <v>0.1161319460480026</v>
      </c>
      <c r="S55" s="2"/>
      <c r="T55" s="7"/>
      <c r="U55" s="2"/>
      <c r="V55" s="6">
        <f t="shared" si="34"/>
        <v>0</v>
      </c>
      <c r="W55" s="2"/>
      <c r="X55" s="7">
        <f t="shared" si="35"/>
        <v>2735.92</v>
      </c>
      <c r="Y55" s="2"/>
      <c r="Z55" s="6">
        <f t="shared" si="36"/>
        <v>0</v>
      </c>
    </row>
    <row r="56" spans="1:26" s="27" customFormat="1" outlineLevel="1" collapsed="1" x14ac:dyDescent="0.25">
      <c r="A56" s="26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0</v>
      </c>
      <c r="E56" s="1"/>
      <c r="F56" s="5">
        <f t="shared" si="29"/>
        <v>0</v>
      </c>
      <c r="G56" s="1"/>
      <c r="H56" s="1">
        <f>SUM(OSRRefH22_6x_0)</f>
        <v>5000</v>
      </c>
      <c r="I56" s="1"/>
      <c r="J56" s="5">
        <f t="shared" si="30"/>
        <v>3.9206461224809849E-2</v>
      </c>
      <c r="K56" s="1"/>
      <c r="L56" s="1">
        <f t="shared" si="31"/>
        <v>-5000</v>
      </c>
      <c r="M56" s="1"/>
      <c r="N56" s="5">
        <f t="shared" si="32"/>
        <v>-1</v>
      </c>
      <c r="O56" s="13"/>
      <c r="P56" s="1">
        <f>SUM(OSRRefP22_6x_0)</f>
        <v>0</v>
      </c>
      <c r="Q56" s="1"/>
      <c r="R56" s="5">
        <f t="shared" si="33"/>
        <v>0</v>
      </c>
      <c r="S56" s="1"/>
      <c r="T56" s="1">
        <f>SUM(OSRRefT22_6x_0)</f>
        <v>71000</v>
      </c>
      <c r="U56" s="1"/>
      <c r="V56" s="5">
        <f t="shared" si="34"/>
        <v>4.1696225963006636E-2</v>
      </c>
      <c r="W56" s="1"/>
      <c r="X56" s="1">
        <f t="shared" si="35"/>
        <v>-71000</v>
      </c>
      <c r="Y56" s="1"/>
      <c r="Z56" s="5">
        <f t="shared" si="36"/>
        <v>-1</v>
      </c>
    </row>
    <row r="57" spans="1:26" s="24" customFormat="1" hidden="1" outlineLevel="2" x14ac:dyDescent="0.25">
      <c r="A57" s="25"/>
      <c r="B57" s="11" t="str">
        <f>CONCATENATE("          ", "6399", " - ", "DONATION-ON CAMPUS")</f>
        <v xml:space="preserve">          6399 - DONATION-ON CAMPUS</v>
      </c>
      <c r="C57" s="11"/>
      <c r="D57" s="7"/>
      <c r="E57" s="2"/>
      <c r="F57" s="6">
        <f t="shared" si="29"/>
        <v>0</v>
      </c>
      <c r="G57" s="2"/>
      <c r="H57" s="7">
        <v>5000</v>
      </c>
      <c r="I57" s="2"/>
      <c r="J57" s="6">
        <f t="shared" si="30"/>
        <v>3.9206461224809849E-2</v>
      </c>
      <c r="K57" s="2"/>
      <c r="L57" s="7">
        <f t="shared" si="31"/>
        <v>-5000</v>
      </c>
      <c r="M57" s="2"/>
      <c r="N57" s="6">
        <f t="shared" si="32"/>
        <v>-1</v>
      </c>
      <c r="O57" s="11"/>
      <c r="P57" s="7"/>
      <c r="Q57" s="2"/>
      <c r="R57" s="6">
        <f t="shared" si="33"/>
        <v>0</v>
      </c>
      <c r="S57" s="2"/>
      <c r="T57" s="7">
        <v>71000</v>
      </c>
      <c r="U57" s="2"/>
      <c r="V57" s="6">
        <f t="shared" si="34"/>
        <v>4.1696225963006636E-2</v>
      </c>
      <c r="W57" s="2"/>
      <c r="X57" s="7">
        <f t="shared" si="35"/>
        <v>-71000</v>
      </c>
      <c r="Y57" s="2"/>
      <c r="Z57" s="6">
        <f t="shared" si="36"/>
        <v>-1</v>
      </c>
    </row>
    <row r="58" spans="1:26" s="27" customFormat="1" outlineLevel="1" collapsed="1" x14ac:dyDescent="0.25">
      <c r="A58" s="26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0</v>
      </c>
      <c r="E58" s="1"/>
      <c r="F58" s="5">
        <f t="shared" si="29"/>
        <v>0</v>
      </c>
      <c r="G58" s="1"/>
      <c r="H58" s="1">
        <f>SUM(OSRRefH22_7x_0)</f>
        <v>100</v>
      </c>
      <c r="I58" s="1"/>
      <c r="J58" s="5">
        <f t="shared" si="30"/>
        <v>7.8412922449619697E-4</v>
      </c>
      <c r="K58" s="1"/>
      <c r="L58" s="1">
        <f t="shared" si="31"/>
        <v>-100</v>
      </c>
      <c r="M58" s="1"/>
      <c r="N58" s="5">
        <f t="shared" si="32"/>
        <v>-1</v>
      </c>
      <c r="O58" s="13"/>
      <c r="P58" s="1">
        <f>SUM(OSRRefP22_7x_0)</f>
        <v>0</v>
      </c>
      <c r="Q58" s="1"/>
      <c r="R58" s="5">
        <f t="shared" si="33"/>
        <v>0</v>
      </c>
      <c r="S58" s="1"/>
      <c r="T58" s="1">
        <f>SUM(OSRRefT22_7x_0)</f>
        <v>1100</v>
      </c>
      <c r="U58" s="1"/>
      <c r="V58" s="5">
        <f t="shared" si="34"/>
        <v>6.4599786703249716E-4</v>
      </c>
      <c r="W58" s="1"/>
      <c r="X58" s="1">
        <f t="shared" si="35"/>
        <v>-1100</v>
      </c>
      <c r="Y58" s="1"/>
      <c r="Z58" s="5">
        <f t="shared" si="36"/>
        <v>-1</v>
      </c>
    </row>
    <row r="59" spans="1:26" s="24" customFormat="1" hidden="1" outlineLevel="2" x14ac:dyDescent="0.25">
      <c r="A59" s="25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9"/>
        <v>0</v>
      </c>
      <c r="G59" s="2"/>
      <c r="H59" s="7">
        <v>100</v>
      </c>
      <c r="I59" s="2"/>
      <c r="J59" s="6">
        <f t="shared" si="30"/>
        <v>7.8412922449619697E-4</v>
      </c>
      <c r="K59" s="2"/>
      <c r="L59" s="7">
        <f t="shared" si="31"/>
        <v>-100</v>
      </c>
      <c r="M59" s="2"/>
      <c r="N59" s="6">
        <f t="shared" si="32"/>
        <v>-1</v>
      </c>
      <c r="O59" s="11"/>
      <c r="P59" s="7"/>
      <c r="Q59" s="2"/>
      <c r="R59" s="6">
        <f t="shared" si="33"/>
        <v>0</v>
      </c>
      <c r="S59" s="2"/>
      <c r="T59" s="7">
        <v>1100</v>
      </c>
      <c r="U59" s="2"/>
      <c r="V59" s="6">
        <f t="shared" si="34"/>
        <v>6.4599786703249716E-4</v>
      </c>
      <c r="W59" s="2"/>
      <c r="X59" s="7">
        <f t="shared" si="35"/>
        <v>-1100</v>
      </c>
      <c r="Y59" s="2"/>
      <c r="Z59" s="6">
        <f t="shared" si="36"/>
        <v>-1</v>
      </c>
    </row>
    <row r="60" spans="1:26" s="27" customFormat="1" outlineLevel="1" collapsed="1" x14ac:dyDescent="0.25">
      <c r="A60" s="26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404.3</v>
      </c>
      <c r="E60" s="1"/>
      <c r="F60" s="5">
        <f t="shared" si="29"/>
        <v>-4.859375</v>
      </c>
      <c r="G60" s="1"/>
      <c r="H60" s="1">
        <f>SUM(OSRRefH22_8x_0)</f>
        <v>400</v>
      </c>
      <c r="I60" s="1"/>
      <c r="J60" s="5">
        <f t="shared" si="30"/>
        <v>3.1365168979847879E-3</v>
      </c>
      <c r="K60" s="1"/>
      <c r="L60" s="1">
        <f t="shared" si="31"/>
        <v>4.3000000000000114</v>
      </c>
      <c r="M60" s="1"/>
      <c r="N60" s="5">
        <f t="shared" si="32"/>
        <v>1.0750000000000029E-2</v>
      </c>
      <c r="O60" s="13"/>
      <c r="P60" s="1">
        <f>SUM(OSRRefP22_8x_0)</f>
        <v>2690.65</v>
      </c>
      <c r="Q60" s="1"/>
      <c r="R60" s="5">
        <f t="shared" si="33"/>
        <v>0.11421036456989174</v>
      </c>
      <c r="S60" s="1"/>
      <c r="T60" s="1">
        <f>SUM(OSRRefT22_8x_0)</f>
        <v>4400</v>
      </c>
      <c r="U60" s="1"/>
      <c r="V60" s="5">
        <f t="shared" si="34"/>
        <v>2.5839914681299887E-3</v>
      </c>
      <c r="W60" s="1"/>
      <c r="X60" s="1">
        <f t="shared" si="35"/>
        <v>-1709.35</v>
      </c>
      <c r="Y60" s="1"/>
      <c r="Z60" s="5">
        <f t="shared" si="36"/>
        <v>-0.38848863636363634</v>
      </c>
    </row>
    <row r="61" spans="1:26" s="24" customFormat="1" hidden="1" outlineLevel="2" x14ac:dyDescent="0.25">
      <c r="A61" s="25"/>
      <c r="B61" s="11" t="str">
        <f>CONCATENATE("          ", "6351", " - ", "EQUIPMENT RENTAL")</f>
        <v xml:space="preserve">          6351 - EQUIPMENT RENTAL</v>
      </c>
      <c r="C61" s="11"/>
      <c r="D61" s="7">
        <v>404.3</v>
      </c>
      <c r="E61" s="2"/>
      <c r="F61" s="6">
        <f t="shared" si="29"/>
        <v>-4.859375</v>
      </c>
      <c r="G61" s="2"/>
      <c r="H61" s="7">
        <v>400</v>
      </c>
      <c r="I61" s="2"/>
      <c r="J61" s="6">
        <f t="shared" si="30"/>
        <v>3.1365168979847879E-3</v>
      </c>
      <c r="K61" s="2"/>
      <c r="L61" s="7">
        <f t="shared" si="31"/>
        <v>4.3000000000000114</v>
      </c>
      <c r="M61" s="2"/>
      <c r="N61" s="6">
        <f t="shared" si="32"/>
        <v>1.0750000000000029E-2</v>
      </c>
      <c r="O61" s="11"/>
      <c r="P61" s="7">
        <v>2690.65</v>
      </c>
      <c r="Q61" s="2"/>
      <c r="R61" s="6">
        <f t="shared" si="33"/>
        <v>0.11421036456989174</v>
      </c>
      <c r="S61" s="2"/>
      <c r="T61" s="7">
        <v>4400</v>
      </c>
      <c r="U61" s="2"/>
      <c r="V61" s="6">
        <f t="shared" si="34"/>
        <v>2.5839914681299887E-3</v>
      </c>
      <c r="W61" s="2"/>
      <c r="X61" s="7">
        <f t="shared" si="35"/>
        <v>-1709.35</v>
      </c>
      <c r="Y61" s="2"/>
      <c r="Z61" s="6">
        <f t="shared" si="36"/>
        <v>-0.38848863636363634</v>
      </c>
    </row>
    <row r="62" spans="1:26" s="27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0</v>
      </c>
      <c r="E62" s="1"/>
      <c r="F62" s="5">
        <f t="shared" si="29"/>
        <v>0</v>
      </c>
      <c r="G62" s="1"/>
      <c r="H62" s="1">
        <f>SUM(OSRRefH22_9x_0)</f>
        <v>150</v>
      </c>
      <c r="I62" s="1"/>
      <c r="J62" s="5">
        <f t="shared" si="30"/>
        <v>1.1761938367442955E-3</v>
      </c>
      <c r="K62" s="1"/>
      <c r="L62" s="1">
        <f t="shared" si="31"/>
        <v>-150</v>
      </c>
      <c r="M62" s="1"/>
      <c r="N62" s="5">
        <f t="shared" si="32"/>
        <v>-1</v>
      </c>
      <c r="O62" s="13"/>
      <c r="P62" s="1">
        <f>SUM(OSRRefP22_9x_0)</f>
        <v>3847.45</v>
      </c>
      <c r="Q62" s="1"/>
      <c r="R62" s="5">
        <f t="shared" si="33"/>
        <v>0.16331320207549474</v>
      </c>
      <c r="S62" s="1"/>
      <c r="T62" s="1">
        <f>SUM(OSRRefT22_9x_0)</f>
        <v>3000</v>
      </c>
      <c r="U62" s="1"/>
      <c r="V62" s="5">
        <f t="shared" si="34"/>
        <v>1.7618123646340833E-3</v>
      </c>
      <c r="W62" s="1"/>
      <c r="X62" s="1">
        <f t="shared" si="35"/>
        <v>847.44999999999982</v>
      </c>
      <c r="Y62" s="1"/>
      <c r="Z62" s="5">
        <f t="shared" si="36"/>
        <v>0.28248333333333325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9"/>
        <v>0</v>
      </c>
      <c r="G63" s="2"/>
      <c r="H63" s="7">
        <v>150</v>
      </c>
      <c r="I63" s="2"/>
      <c r="J63" s="6">
        <f t="shared" si="30"/>
        <v>1.1761938367442955E-3</v>
      </c>
      <c r="K63" s="2"/>
      <c r="L63" s="7">
        <f t="shared" si="31"/>
        <v>-150</v>
      </c>
      <c r="M63" s="2"/>
      <c r="N63" s="6">
        <f t="shared" si="32"/>
        <v>-1</v>
      </c>
      <c r="O63" s="11"/>
      <c r="P63" s="7">
        <v>3847.45</v>
      </c>
      <c r="Q63" s="2"/>
      <c r="R63" s="6">
        <f t="shared" si="33"/>
        <v>0.16331320207549474</v>
      </c>
      <c r="S63" s="2"/>
      <c r="T63" s="7">
        <v>3000</v>
      </c>
      <c r="U63" s="2"/>
      <c r="V63" s="6">
        <f t="shared" si="34"/>
        <v>1.7618123646340833E-3</v>
      </c>
      <c r="W63" s="2"/>
      <c r="X63" s="7">
        <f t="shared" si="35"/>
        <v>847.44999999999982</v>
      </c>
      <c r="Y63" s="2"/>
      <c r="Z63" s="6">
        <f t="shared" si="36"/>
        <v>0.28248333333333325</v>
      </c>
    </row>
    <row r="64" spans="1:26" s="27" customFormat="1" outlineLevel="1" collapsed="1" x14ac:dyDescent="0.25">
      <c r="A64" s="26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0</v>
      </c>
      <c r="E64" s="1"/>
      <c r="F64" s="5">
        <f t="shared" si="29"/>
        <v>0</v>
      </c>
      <c r="G64" s="1"/>
      <c r="H64" s="1">
        <f>SUM(OSRRefH22_10x_0)</f>
        <v>10202</v>
      </c>
      <c r="I64" s="1"/>
      <c r="J64" s="5">
        <f t="shared" si="30"/>
        <v>7.9996863483102018E-2</v>
      </c>
      <c r="K64" s="1"/>
      <c r="L64" s="1">
        <f t="shared" si="31"/>
        <v>-10202</v>
      </c>
      <c r="M64" s="1"/>
      <c r="N64" s="5">
        <f t="shared" si="32"/>
        <v>-1</v>
      </c>
      <c r="O64" s="13"/>
      <c r="P64" s="1">
        <f>SUM(OSRRefP22_10x_0)</f>
        <v>1899.35</v>
      </c>
      <c r="Q64" s="1"/>
      <c r="R64" s="5">
        <f t="shared" si="33"/>
        <v>8.0621952296219823E-2</v>
      </c>
      <c r="S64" s="1"/>
      <c r="T64" s="1">
        <f>SUM(OSRRefT22_10x_0)</f>
        <v>136224</v>
      </c>
      <c r="U64" s="1"/>
      <c r="V64" s="5">
        <f t="shared" si="34"/>
        <v>8.0000375853304453E-2</v>
      </c>
      <c r="W64" s="1"/>
      <c r="X64" s="1">
        <f t="shared" si="35"/>
        <v>-134324.65</v>
      </c>
      <c r="Y64" s="1"/>
      <c r="Z64" s="5">
        <f t="shared" si="36"/>
        <v>-0.9860571558609349</v>
      </c>
    </row>
    <row r="65" spans="1:26" s="24" customFormat="1" hidden="1" outlineLevel="2" x14ac:dyDescent="0.25">
      <c r="A65" s="25"/>
      <c r="B65" s="11" t="str">
        <f>CONCATENATE("          ", "6387", " - ", "COMMISSION DUE HOUSING")</f>
        <v xml:space="preserve">          6387 - COMMISSION DUE HOUSING</v>
      </c>
      <c r="C65" s="11"/>
      <c r="D65" s="7"/>
      <c r="E65" s="2"/>
      <c r="F65" s="6">
        <f t="shared" si="29"/>
        <v>0</v>
      </c>
      <c r="G65" s="2"/>
      <c r="H65" s="7">
        <v>10202</v>
      </c>
      <c r="I65" s="2"/>
      <c r="J65" s="6">
        <f t="shared" si="30"/>
        <v>7.9996863483102018E-2</v>
      </c>
      <c r="K65" s="2"/>
      <c r="L65" s="7">
        <f t="shared" si="31"/>
        <v>-10202</v>
      </c>
      <c r="M65" s="2"/>
      <c r="N65" s="6">
        <f t="shared" si="32"/>
        <v>-1</v>
      </c>
      <c r="O65" s="11"/>
      <c r="P65" s="7">
        <v>1899.35</v>
      </c>
      <c r="Q65" s="2"/>
      <c r="R65" s="6">
        <f t="shared" si="33"/>
        <v>8.0621952296219823E-2</v>
      </c>
      <c r="S65" s="2"/>
      <c r="T65" s="7">
        <v>136224</v>
      </c>
      <c r="U65" s="2"/>
      <c r="V65" s="6">
        <f t="shared" si="34"/>
        <v>8.0000375853304453E-2</v>
      </c>
      <c r="W65" s="2"/>
      <c r="X65" s="7">
        <f t="shared" si="35"/>
        <v>-134324.65</v>
      </c>
      <c r="Y65" s="2"/>
      <c r="Z65" s="6">
        <f t="shared" si="36"/>
        <v>-0.9860571558609349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0</v>
      </c>
      <c r="E66" s="1"/>
      <c r="F66" s="5">
        <f t="shared" si="29"/>
        <v>0</v>
      </c>
      <c r="G66" s="1"/>
      <c r="H66" s="1">
        <f>SUM(OSRRefH22_11x_0)</f>
        <v>2000</v>
      </c>
      <c r="I66" s="1"/>
      <c r="J66" s="5">
        <f t="shared" si="30"/>
        <v>1.5682584489923941E-2</v>
      </c>
      <c r="K66" s="1"/>
      <c r="L66" s="1">
        <f t="shared" si="31"/>
        <v>-2000</v>
      </c>
      <c r="M66" s="1"/>
      <c r="N66" s="5">
        <f t="shared" si="32"/>
        <v>-1</v>
      </c>
      <c r="O66" s="13"/>
      <c r="P66" s="1">
        <f>SUM(OSRRefP22_11x_0)</f>
        <v>1345.25</v>
      </c>
      <c r="Q66" s="1"/>
      <c r="R66" s="5">
        <f t="shared" si="33"/>
        <v>5.7101998750356556E-2</v>
      </c>
      <c r="S66" s="1"/>
      <c r="T66" s="1">
        <f>SUM(OSRRefT22_11x_0)</f>
        <v>17400</v>
      </c>
      <c r="U66" s="1"/>
      <c r="V66" s="5">
        <f t="shared" si="34"/>
        <v>1.0218511714877683E-2</v>
      </c>
      <c r="W66" s="1"/>
      <c r="X66" s="1">
        <f t="shared" si="35"/>
        <v>-16054.75</v>
      </c>
      <c r="Y66" s="1"/>
      <c r="Z66" s="5">
        <f t="shared" si="36"/>
        <v>-0.92268678160919537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9"/>
        <v>0</v>
      </c>
      <c r="G67" s="2"/>
      <c r="H67" s="7"/>
      <c r="I67" s="2"/>
      <c r="J67" s="6">
        <f t="shared" si="30"/>
        <v>0</v>
      </c>
      <c r="K67" s="2"/>
      <c r="L67" s="7">
        <f t="shared" si="31"/>
        <v>0</v>
      </c>
      <c r="M67" s="2"/>
      <c r="N67" s="6">
        <f t="shared" si="32"/>
        <v>0</v>
      </c>
      <c r="O67" s="11"/>
      <c r="P67" s="7"/>
      <c r="Q67" s="2"/>
      <c r="R67" s="6">
        <f t="shared" si="33"/>
        <v>0</v>
      </c>
      <c r="S67" s="2"/>
      <c r="T67" s="7">
        <v>8000</v>
      </c>
      <c r="U67" s="2"/>
      <c r="V67" s="6">
        <f t="shared" si="34"/>
        <v>4.6981663056908885E-3</v>
      </c>
      <c r="W67" s="2"/>
      <c r="X67" s="7">
        <f t="shared" si="35"/>
        <v>-8000</v>
      </c>
      <c r="Y67" s="2"/>
      <c r="Z67" s="6">
        <f t="shared" si="36"/>
        <v>-1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7"/>
      <c r="E68" s="2"/>
      <c r="F68" s="6">
        <f t="shared" si="29"/>
        <v>0</v>
      </c>
      <c r="G68" s="2"/>
      <c r="H68" s="7">
        <v>1800</v>
      </c>
      <c r="I68" s="2"/>
      <c r="J68" s="6">
        <f t="shared" si="30"/>
        <v>1.4114326040931546E-2</v>
      </c>
      <c r="K68" s="2"/>
      <c r="L68" s="7">
        <f t="shared" si="31"/>
        <v>-1800</v>
      </c>
      <c r="M68" s="2"/>
      <c r="N68" s="6">
        <f t="shared" si="32"/>
        <v>-1</v>
      </c>
      <c r="O68" s="11"/>
      <c r="P68" s="7">
        <v>1326.25</v>
      </c>
      <c r="Q68" s="2"/>
      <c r="R68" s="6">
        <f t="shared" si="33"/>
        <v>5.6295503321063284E-2</v>
      </c>
      <c r="S68" s="2"/>
      <c r="T68" s="7">
        <v>7200</v>
      </c>
      <c r="U68" s="2"/>
      <c r="V68" s="6">
        <f t="shared" si="34"/>
        <v>4.2283496751217998E-3</v>
      </c>
      <c r="W68" s="2"/>
      <c r="X68" s="7">
        <f t="shared" si="35"/>
        <v>-5873.75</v>
      </c>
      <c r="Y68" s="2"/>
      <c r="Z68" s="6">
        <f t="shared" si="36"/>
        <v>-0.81579861111111107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7"/>
      <c r="E69" s="2"/>
      <c r="F69" s="6">
        <f t="shared" si="29"/>
        <v>0</v>
      </c>
      <c r="G69" s="2"/>
      <c r="H69" s="7">
        <v>200</v>
      </c>
      <c r="I69" s="2"/>
      <c r="J69" s="6">
        <f t="shared" si="30"/>
        <v>1.5682584489923939E-3</v>
      </c>
      <c r="K69" s="2"/>
      <c r="L69" s="7">
        <f t="shared" si="31"/>
        <v>-200</v>
      </c>
      <c r="M69" s="2"/>
      <c r="N69" s="6">
        <f t="shared" si="32"/>
        <v>-1</v>
      </c>
      <c r="O69" s="11"/>
      <c r="P69" s="7">
        <v>19</v>
      </c>
      <c r="Q69" s="2"/>
      <c r="R69" s="6">
        <f t="shared" si="33"/>
        <v>8.0649542929327222E-4</v>
      </c>
      <c r="S69" s="2"/>
      <c r="T69" s="7">
        <v>2200</v>
      </c>
      <c r="U69" s="2"/>
      <c r="V69" s="6">
        <f t="shared" si="34"/>
        <v>1.2919957340649943E-3</v>
      </c>
      <c r="W69" s="2"/>
      <c r="X69" s="7">
        <f t="shared" si="35"/>
        <v>-2181</v>
      </c>
      <c r="Y69" s="2"/>
      <c r="Z69" s="6">
        <f t="shared" si="36"/>
        <v>-0.99136363636363634</v>
      </c>
    </row>
    <row r="70" spans="1:26" s="27" customFormat="1" outlineLevel="1" collapsed="1" x14ac:dyDescent="0.25">
      <c r="A70" s="26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4990.619999999999</v>
      </c>
      <c r="E70" s="1"/>
      <c r="F70" s="5">
        <f t="shared" ref="F70:F74" si="37">IF(D$12=0,0,D70/D$12)</f>
        <v>-59.983413461538447</v>
      </c>
      <c r="G70" s="1"/>
      <c r="H70" s="1">
        <f>SUM(OSRRefH22_12x_0)</f>
        <v>6879</v>
      </c>
      <c r="I70" s="1"/>
      <c r="J70" s="5">
        <f t="shared" ref="J70:J74" si="38">IF(H$12=0,0,H70/H$12)</f>
        <v>5.394024935309339E-2</v>
      </c>
      <c r="K70" s="1"/>
      <c r="L70" s="1">
        <f t="shared" ref="L70:L74" si="39">+D70-H70</f>
        <v>-1888.380000000001</v>
      </c>
      <c r="M70" s="1"/>
      <c r="N70" s="5">
        <f t="shared" ref="N70:N74" si="40">IF(H70=0,0,L70/H70)</f>
        <v>-0.27451373746184055</v>
      </c>
      <c r="O70" s="13"/>
      <c r="P70" s="1">
        <f>SUM(OSRRefP22_12x_0)</f>
        <v>62280.75</v>
      </c>
      <c r="Q70" s="1"/>
      <c r="R70" s="5">
        <f t="shared" ref="R70:R74" si="41">IF(P$12=0,0,P70/P$12)</f>
        <v>2.6436389583135247</v>
      </c>
      <c r="S70" s="1"/>
      <c r="T70" s="1">
        <f>SUM(OSRRefT22_12x_0)</f>
        <v>74037</v>
      </c>
      <c r="U70" s="1"/>
      <c r="V70" s="5">
        <f t="shared" ref="V70:V74" si="42">IF(T$12=0,0,T70/T$12)</f>
        <v>4.3479767346804539E-2</v>
      </c>
      <c r="W70" s="1"/>
      <c r="X70" s="1">
        <f t="shared" ref="X70:X74" si="43">+P70-T70</f>
        <v>-11756.25</v>
      </c>
      <c r="Y70" s="1"/>
      <c r="Z70" s="5">
        <f t="shared" ref="Z70:Z74" si="44">IF(T70=0,0,X70/T70)</f>
        <v>-0.15878884881883382</v>
      </c>
    </row>
    <row r="71" spans="1:26" s="24" customFormat="1" hidden="1" outlineLevel="2" x14ac:dyDescent="0.25">
      <c r="A71" s="25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417.32</v>
      </c>
      <c r="E71" s="2"/>
      <c r="F71" s="6">
        <f t="shared" si="37"/>
        <v>-5.0158653846153847</v>
      </c>
      <c r="G71" s="2"/>
      <c r="H71" s="7">
        <v>450</v>
      </c>
      <c r="I71" s="2"/>
      <c r="J71" s="6">
        <f t="shared" si="38"/>
        <v>3.5285815102328866E-3</v>
      </c>
      <c r="K71" s="2"/>
      <c r="L71" s="7">
        <f t="shared" si="39"/>
        <v>-32.680000000000007</v>
      </c>
      <c r="M71" s="2"/>
      <c r="N71" s="6">
        <f t="shared" si="40"/>
        <v>-7.2622222222222241E-2</v>
      </c>
      <c r="O71" s="11"/>
      <c r="P71" s="7">
        <v>4678.8999999999996</v>
      </c>
      <c r="Q71" s="2"/>
      <c r="R71" s="6">
        <f t="shared" si="41"/>
        <v>0.19860586653264692</v>
      </c>
      <c r="S71" s="2"/>
      <c r="T71" s="7">
        <v>4950</v>
      </c>
      <c r="U71" s="2"/>
      <c r="V71" s="6">
        <f t="shared" si="42"/>
        <v>2.9069904016462375E-3</v>
      </c>
      <c r="W71" s="2"/>
      <c r="X71" s="7">
        <f t="shared" si="43"/>
        <v>-271.10000000000036</v>
      </c>
      <c r="Y71" s="2"/>
      <c r="Z71" s="6">
        <f t="shared" si="44"/>
        <v>-5.476767676767684E-2</v>
      </c>
    </row>
    <row r="72" spans="1:26" s="24" customFormat="1" hidden="1" outlineLevel="2" x14ac:dyDescent="0.25">
      <c r="A72" s="25"/>
      <c r="B72" s="11" t="str">
        <f>CONCATENATE("          ", "6284", " - ", "TRASH REMOVAL EXPENSE")</f>
        <v xml:space="preserve">          6284 - TRASH REMOVAL EXPENSE</v>
      </c>
      <c r="C72" s="11"/>
      <c r="D72" s="7"/>
      <c r="E72" s="2"/>
      <c r="F72" s="6">
        <f t="shared" si="37"/>
        <v>0</v>
      </c>
      <c r="G72" s="2"/>
      <c r="H72" s="7">
        <v>500</v>
      </c>
      <c r="I72" s="2"/>
      <c r="J72" s="6">
        <f t="shared" si="38"/>
        <v>3.9206461224809853E-3</v>
      </c>
      <c r="K72" s="2"/>
      <c r="L72" s="7">
        <f t="shared" si="39"/>
        <v>-500</v>
      </c>
      <c r="M72" s="2"/>
      <c r="N72" s="6">
        <f t="shared" si="40"/>
        <v>-1</v>
      </c>
      <c r="O72" s="11"/>
      <c r="P72" s="7"/>
      <c r="Q72" s="2"/>
      <c r="R72" s="6">
        <f t="shared" si="41"/>
        <v>0</v>
      </c>
      <c r="S72" s="2"/>
      <c r="T72" s="7">
        <v>5500</v>
      </c>
      <c r="U72" s="2"/>
      <c r="V72" s="6">
        <f t="shared" si="42"/>
        <v>3.2299893351624863E-3</v>
      </c>
      <c r="W72" s="2"/>
      <c r="X72" s="7">
        <f t="shared" si="43"/>
        <v>-5500</v>
      </c>
      <c r="Y72" s="2"/>
      <c r="Z72" s="6">
        <f t="shared" si="44"/>
        <v>-1</v>
      </c>
    </row>
    <row r="73" spans="1:26" s="24" customFormat="1" hidden="1" outlineLevel="2" x14ac:dyDescent="0.25">
      <c r="A73" s="25"/>
      <c r="B73" s="11" t="str">
        <f>CONCATENATE("          ", "6285", " - ", "JANITORIAL SERVICES")</f>
        <v xml:space="preserve">          6285 - JANITORIAL SERVICES</v>
      </c>
      <c r="C73" s="11"/>
      <c r="D73" s="7">
        <v>4428.8599999999997</v>
      </c>
      <c r="E73" s="2"/>
      <c r="F73" s="6">
        <f t="shared" si="37"/>
        <v>-53.231490384615377</v>
      </c>
      <c r="G73" s="2"/>
      <c r="H73" s="7">
        <v>4429</v>
      </c>
      <c r="I73" s="2"/>
      <c r="J73" s="6">
        <f t="shared" si="38"/>
        <v>3.4729083352936563E-2</v>
      </c>
      <c r="K73" s="2"/>
      <c r="L73" s="7">
        <f t="shared" si="39"/>
        <v>-0.14000000000032742</v>
      </c>
      <c r="M73" s="2"/>
      <c r="N73" s="6">
        <f t="shared" si="40"/>
        <v>-3.16098442086989E-5</v>
      </c>
      <c r="O73" s="11"/>
      <c r="P73" s="7">
        <v>51347.27</v>
      </c>
      <c r="Q73" s="2"/>
      <c r="R73" s="6">
        <f t="shared" si="41"/>
        <v>2.1795441348256608</v>
      </c>
      <c r="S73" s="2"/>
      <c r="T73" s="7">
        <v>47087</v>
      </c>
      <c r="U73" s="2"/>
      <c r="V73" s="6">
        <f t="shared" si="42"/>
        <v>2.7652819604508359E-2</v>
      </c>
      <c r="W73" s="2"/>
      <c r="X73" s="7">
        <f t="shared" si="43"/>
        <v>4260.2699999999968</v>
      </c>
      <c r="Y73" s="2"/>
      <c r="Z73" s="6">
        <f t="shared" si="44"/>
        <v>9.0476564656911604E-2</v>
      </c>
    </row>
    <row r="74" spans="1:26" s="24" customFormat="1" hidden="1" outlineLevel="2" x14ac:dyDescent="0.25">
      <c r="A74" s="25"/>
      <c r="B74" s="11" t="str">
        <f>CONCATENATE("          ", "6286", " - ", "LAUNDRY EXPENSE")</f>
        <v xml:space="preserve">          6286 - LAUNDRY EXPENSE</v>
      </c>
      <c r="C74" s="11"/>
      <c r="D74" s="7">
        <v>144.44</v>
      </c>
      <c r="E74" s="2"/>
      <c r="F74" s="6">
        <f t="shared" si="37"/>
        <v>-1.7360576923076922</v>
      </c>
      <c r="G74" s="2"/>
      <c r="H74" s="7">
        <v>1500</v>
      </c>
      <c r="I74" s="2"/>
      <c r="J74" s="6">
        <f t="shared" si="38"/>
        <v>1.1761938367442954E-2</v>
      </c>
      <c r="K74" s="2"/>
      <c r="L74" s="7">
        <f t="shared" si="39"/>
        <v>-1355.56</v>
      </c>
      <c r="M74" s="2"/>
      <c r="N74" s="6">
        <f t="shared" si="40"/>
        <v>-0.90370666666666666</v>
      </c>
      <c r="O74" s="11"/>
      <c r="P74" s="7">
        <v>6254.58</v>
      </c>
      <c r="Q74" s="2"/>
      <c r="R74" s="6">
        <f t="shared" si="41"/>
        <v>0.26548895695521657</v>
      </c>
      <c r="S74" s="2"/>
      <c r="T74" s="7">
        <v>16500</v>
      </c>
      <c r="U74" s="2"/>
      <c r="V74" s="6">
        <f t="shared" si="42"/>
        <v>9.6899680054874579E-3</v>
      </c>
      <c r="W74" s="2"/>
      <c r="X74" s="7">
        <f t="shared" si="43"/>
        <v>-10245.42</v>
      </c>
      <c r="Y74" s="2"/>
      <c r="Z74" s="6">
        <f t="shared" si="44"/>
        <v>-0.62093454545454541</v>
      </c>
    </row>
    <row r="75" spans="1:26" s="27" customFormat="1" outlineLevel="1" collapsed="1" x14ac:dyDescent="0.25">
      <c r="A75" s="26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0</v>
      </c>
      <c r="E75" s="1"/>
      <c r="F75" s="5">
        <f t="shared" ref="F75:F83" si="45">IF(D$12=0,0,D75/D$12)</f>
        <v>0</v>
      </c>
      <c r="G75" s="1"/>
      <c r="H75" s="1">
        <f>SUM(OSRRefH22_13x_0)</f>
        <v>11750</v>
      </c>
      <c r="I75" s="1"/>
      <c r="J75" s="5">
        <f t="shared" ref="J75:J83" si="46">IF(H$12=0,0,H75/H$12)</f>
        <v>9.2135183878303148E-2</v>
      </c>
      <c r="K75" s="1"/>
      <c r="L75" s="1">
        <f t="shared" ref="L75:L83" si="47">+D75-H75</f>
        <v>-11750</v>
      </c>
      <c r="M75" s="1"/>
      <c r="N75" s="5">
        <f t="shared" ref="N75:N83" si="48">IF(H75=0,0,L75/H75)</f>
        <v>-1</v>
      </c>
      <c r="O75" s="13"/>
      <c r="P75" s="1">
        <f>SUM(OSRRefP22_13x_0)</f>
        <v>10125.33</v>
      </c>
      <c r="Q75" s="1"/>
      <c r="R75" s="5">
        <f t="shared" ref="R75:R83" si="49">IF(P$12=0,0,P75/P$12)</f>
        <v>0.42979117710979203</v>
      </c>
      <c r="S75" s="1"/>
      <c r="T75" s="1">
        <f>SUM(OSRRefT22_13x_0)</f>
        <v>135250</v>
      </c>
      <c r="U75" s="1"/>
      <c r="V75" s="5">
        <f t="shared" ref="V75:V83" si="50">IF(T$12=0,0,T75/T$12)</f>
        <v>7.9428374105586591E-2</v>
      </c>
      <c r="W75" s="1"/>
      <c r="X75" s="1">
        <f t="shared" ref="X75:X83" si="51">+P75-T75</f>
        <v>-125124.67</v>
      </c>
      <c r="Y75" s="1"/>
      <c r="Z75" s="5">
        <f t="shared" ref="Z75:Z83" si="52">IF(T75=0,0,X75/T75)</f>
        <v>-0.92513619223659893</v>
      </c>
    </row>
    <row r="76" spans="1:26" s="24" customFormat="1" hidden="1" outlineLevel="2" x14ac:dyDescent="0.25">
      <c r="A76" s="25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45"/>
        <v>0</v>
      </c>
      <c r="G76" s="2"/>
      <c r="H76" s="7">
        <v>5000</v>
      </c>
      <c r="I76" s="2"/>
      <c r="J76" s="6">
        <f t="shared" si="46"/>
        <v>3.9206461224809849E-2</v>
      </c>
      <c r="K76" s="2"/>
      <c r="L76" s="7">
        <f t="shared" si="47"/>
        <v>-5000</v>
      </c>
      <c r="M76" s="2"/>
      <c r="N76" s="6">
        <f t="shared" si="48"/>
        <v>-1</v>
      </c>
      <c r="O76" s="11"/>
      <c r="P76" s="7">
        <v>1375.08</v>
      </c>
      <c r="Q76" s="2"/>
      <c r="R76" s="6">
        <f t="shared" si="49"/>
        <v>5.8368196574346991E-2</v>
      </c>
      <c r="S76" s="2"/>
      <c r="T76" s="7">
        <v>55000</v>
      </c>
      <c r="U76" s="2"/>
      <c r="V76" s="6">
        <f t="shared" si="50"/>
        <v>3.2299893351624857E-2</v>
      </c>
      <c r="W76" s="2"/>
      <c r="X76" s="7">
        <f t="shared" si="51"/>
        <v>-53624.92</v>
      </c>
      <c r="Y76" s="2"/>
      <c r="Z76" s="6">
        <f t="shared" si="52"/>
        <v>-0.97499854545454545</v>
      </c>
    </row>
    <row r="77" spans="1:26" s="24" customFormat="1" hidden="1" outlineLevel="2" x14ac:dyDescent="0.25">
      <c r="A77" s="25"/>
      <c r="B77" s="11" t="str">
        <f>CONCATENATE("          ", "6237", " - ", "JANITORIAL SUPPLIES")</f>
        <v xml:space="preserve">          6237 - JANITORIAL SUPPLIES</v>
      </c>
      <c r="C77" s="11"/>
      <c r="D77" s="7"/>
      <c r="E77" s="2"/>
      <c r="F77" s="6">
        <f t="shared" si="45"/>
        <v>0</v>
      </c>
      <c r="G77" s="2"/>
      <c r="H77" s="7">
        <v>4000</v>
      </c>
      <c r="I77" s="2"/>
      <c r="J77" s="6">
        <f t="shared" si="46"/>
        <v>3.1365168979847882E-2</v>
      </c>
      <c r="K77" s="2"/>
      <c r="L77" s="7">
        <f t="shared" si="47"/>
        <v>-4000</v>
      </c>
      <c r="M77" s="2"/>
      <c r="N77" s="6">
        <f t="shared" si="48"/>
        <v>-1</v>
      </c>
      <c r="O77" s="11"/>
      <c r="P77" s="7">
        <v>4689.93</v>
      </c>
      <c r="Q77" s="2"/>
      <c r="R77" s="6">
        <f t="shared" si="49"/>
        <v>0.19907405835291561</v>
      </c>
      <c r="S77" s="2"/>
      <c r="T77" s="7">
        <v>44000</v>
      </c>
      <c r="U77" s="2"/>
      <c r="V77" s="6">
        <f t="shared" si="50"/>
        <v>2.583991468129989E-2</v>
      </c>
      <c r="W77" s="2"/>
      <c r="X77" s="7">
        <f t="shared" si="51"/>
        <v>-39310.07</v>
      </c>
      <c r="Y77" s="2"/>
      <c r="Z77" s="6">
        <f t="shared" si="52"/>
        <v>-0.89341068181818184</v>
      </c>
    </row>
    <row r="78" spans="1:26" s="24" customFormat="1" hidden="1" outlineLevel="2" x14ac:dyDescent="0.25">
      <c r="A78" s="25"/>
      <c r="B78" s="11" t="str">
        <f>CONCATENATE("          ", "6239", " - ", "KITCHEN SUPPLIES")</f>
        <v xml:space="preserve">          6239 - KITCHEN SUPPLIES</v>
      </c>
      <c r="C78" s="11"/>
      <c r="D78" s="7"/>
      <c r="E78" s="2"/>
      <c r="F78" s="6">
        <f t="shared" si="45"/>
        <v>0</v>
      </c>
      <c r="G78" s="2"/>
      <c r="H78" s="7">
        <v>1500</v>
      </c>
      <c r="I78" s="2"/>
      <c r="J78" s="6">
        <f t="shared" si="46"/>
        <v>1.1761938367442954E-2</v>
      </c>
      <c r="K78" s="2"/>
      <c r="L78" s="7">
        <f t="shared" si="47"/>
        <v>-1500</v>
      </c>
      <c r="M78" s="2"/>
      <c r="N78" s="6">
        <f t="shared" si="48"/>
        <v>-1</v>
      </c>
      <c r="O78" s="11"/>
      <c r="P78" s="7">
        <v>1031.07</v>
      </c>
      <c r="Q78" s="2"/>
      <c r="R78" s="6">
        <f t="shared" si="49"/>
        <v>4.3765960120074429E-2</v>
      </c>
      <c r="S78" s="2"/>
      <c r="T78" s="7">
        <v>16500</v>
      </c>
      <c r="U78" s="2"/>
      <c r="V78" s="6">
        <f t="shared" si="50"/>
        <v>9.6899680054874579E-3</v>
      </c>
      <c r="W78" s="2"/>
      <c r="X78" s="7">
        <f t="shared" si="51"/>
        <v>-15468.93</v>
      </c>
      <c r="Y78" s="2"/>
      <c r="Z78" s="6">
        <f t="shared" si="52"/>
        <v>-0.93751090909090906</v>
      </c>
    </row>
    <row r="79" spans="1:26" s="24" customFormat="1" hidden="1" outlineLevel="2" x14ac:dyDescent="0.25">
      <c r="A79" s="25"/>
      <c r="B79" s="11" t="str">
        <f>CONCATENATE("          ", "6241", " - ", "OFFICE EXPENSE")</f>
        <v xml:space="preserve">          6241 - OFFICE EXPENSE</v>
      </c>
      <c r="C79" s="11"/>
      <c r="D79" s="7"/>
      <c r="E79" s="2"/>
      <c r="F79" s="6">
        <f t="shared" si="45"/>
        <v>0</v>
      </c>
      <c r="G79" s="2"/>
      <c r="H79" s="7">
        <v>500</v>
      </c>
      <c r="I79" s="2"/>
      <c r="J79" s="6">
        <f t="shared" si="46"/>
        <v>3.9206461224809853E-3</v>
      </c>
      <c r="K79" s="2"/>
      <c r="L79" s="7">
        <f t="shared" si="47"/>
        <v>-500</v>
      </c>
      <c r="M79" s="2"/>
      <c r="N79" s="6">
        <f t="shared" si="48"/>
        <v>-1</v>
      </c>
      <c r="O79" s="11"/>
      <c r="P79" s="7">
        <v>19.7</v>
      </c>
      <c r="Q79" s="2"/>
      <c r="R79" s="6">
        <f t="shared" si="49"/>
        <v>8.3620841879355069E-4</v>
      </c>
      <c r="S79" s="2"/>
      <c r="T79" s="7">
        <v>5500</v>
      </c>
      <c r="U79" s="2"/>
      <c r="V79" s="6">
        <f t="shared" si="50"/>
        <v>3.2299893351624863E-3</v>
      </c>
      <c r="W79" s="2"/>
      <c r="X79" s="7">
        <f t="shared" si="51"/>
        <v>-5480.3</v>
      </c>
      <c r="Y79" s="2"/>
      <c r="Z79" s="6">
        <f t="shared" si="52"/>
        <v>-0.99641818181818187</v>
      </c>
    </row>
    <row r="80" spans="1:26" s="24" customFormat="1" hidden="1" outlineLevel="2" x14ac:dyDescent="0.25">
      <c r="A80" s="25"/>
      <c r="B80" s="11" t="str">
        <f>CONCATENATE("          ", "6243", " - ", "PAPER SUPPLIES")</f>
        <v xml:space="preserve">          6243 - PAPER SUPPLIES</v>
      </c>
      <c r="C80" s="11"/>
      <c r="D80" s="7"/>
      <c r="E80" s="2"/>
      <c r="F80" s="6">
        <f t="shared" si="45"/>
        <v>0</v>
      </c>
      <c r="G80" s="2"/>
      <c r="H80" s="7">
        <v>500</v>
      </c>
      <c r="I80" s="2"/>
      <c r="J80" s="6">
        <f t="shared" si="46"/>
        <v>3.9206461224809853E-3</v>
      </c>
      <c r="K80" s="2"/>
      <c r="L80" s="7">
        <f t="shared" si="47"/>
        <v>-500</v>
      </c>
      <c r="M80" s="2"/>
      <c r="N80" s="6">
        <f t="shared" si="48"/>
        <v>-1</v>
      </c>
      <c r="O80" s="11"/>
      <c r="P80" s="7">
        <v>3009.55</v>
      </c>
      <c r="Q80" s="2"/>
      <c r="R80" s="6">
        <f t="shared" si="49"/>
        <v>0.12774675364366145</v>
      </c>
      <c r="S80" s="2"/>
      <c r="T80" s="7">
        <v>5500</v>
      </c>
      <c r="U80" s="2"/>
      <c r="V80" s="6">
        <f t="shared" si="50"/>
        <v>3.2299893351624863E-3</v>
      </c>
      <c r="W80" s="2"/>
      <c r="X80" s="7">
        <f t="shared" si="51"/>
        <v>-2490.4499999999998</v>
      </c>
      <c r="Y80" s="2"/>
      <c r="Z80" s="6">
        <f t="shared" si="52"/>
        <v>-0.45280909090909088</v>
      </c>
    </row>
    <row r="81" spans="1:26" s="24" customFormat="1" hidden="1" outlineLevel="2" x14ac:dyDescent="0.25">
      <c r="A81" s="25"/>
      <c r="B81" s="11" t="str">
        <f>CONCATENATE("          ", "6244", " - ", "SAFETY SUPPLY EXPENSE")</f>
        <v xml:space="preserve">          6244 - SAFETY SUPPLY EXPENSE</v>
      </c>
      <c r="C81" s="11"/>
      <c r="D81" s="7"/>
      <c r="E81" s="2"/>
      <c r="F81" s="6">
        <f t="shared" si="45"/>
        <v>0</v>
      </c>
      <c r="G81" s="2"/>
      <c r="H81" s="7">
        <v>100</v>
      </c>
      <c r="I81" s="2"/>
      <c r="J81" s="6">
        <f t="shared" si="46"/>
        <v>7.8412922449619697E-4</v>
      </c>
      <c r="K81" s="2"/>
      <c r="L81" s="7">
        <f t="shared" si="47"/>
        <v>-100</v>
      </c>
      <c r="M81" s="2"/>
      <c r="N81" s="6">
        <f t="shared" si="48"/>
        <v>-1</v>
      </c>
      <c r="O81" s="11"/>
      <c r="P81" s="7"/>
      <c r="Q81" s="2"/>
      <c r="R81" s="6">
        <f t="shared" si="49"/>
        <v>0</v>
      </c>
      <c r="S81" s="2"/>
      <c r="T81" s="7">
        <v>1100</v>
      </c>
      <c r="U81" s="2"/>
      <c r="V81" s="6">
        <f t="shared" si="50"/>
        <v>6.4599786703249716E-4</v>
      </c>
      <c r="W81" s="2"/>
      <c r="X81" s="7">
        <f t="shared" si="51"/>
        <v>-1100</v>
      </c>
      <c r="Y81" s="2"/>
      <c r="Z81" s="6">
        <f t="shared" si="52"/>
        <v>-1</v>
      </c>
    </row>
    <row r="82" spans="1:26" s="24" customFormat="1" hidden="1" outlineLevel="2" x14ac:dyDescent="0.25">
      <c r="A82" s="25"/>
      <c r="B82" s="11" t="str">
        <f>CONCATENATE("          ", "6245", " - ", "PRINTING")</f>
        <v xml:space="preserve">          6245 - PRINTING</v>
      </c>
      <c r="C82" s="11"/>
      <c r="D82" s="7"/>
      <c r="E82" s="2"/>
      <c r="F82" s="6">
        <f t="shared" si="45"/>
        <v>0</v>
      </c>
      <c r="G82" s="2"/>
      <c r="H82" s="7">
        <v>150</v>
      </c>
      <c r="I82" s="2"/>
      <c r="J82" s="6">
        <f t="shared" si="46"/>
        <v>1.1761938367442955E-3</v>
      </c>
      <c r="K82" s="2"/>
      <c r="L82" s="7">
        <f t="shared" si="47"/>
        <v>-150</v>
      </c>
      <c r="M82" s="2"/>
      <c r="N82" s="6">
        <f t="shared" si="48"/>
        <v>-1</v>
      </c>
      <c r="O82" s="11"/>
      <c r="P82" s="7"/>
      <c r="Q82" s="2"/>
      <c r="R82" s="6">
        <f t="shared" si="49"/>
        <v>0</v>
      </c>
      <c r="S82" s="2"/>
      <c r="T82" s="7">
        <v>1650</v>
      </c>
      <c r="U82" s="2"/>
      <c r="V82" s="6">
        <f t="shared" si="50"/>
        <v>9.6899680054874586E-4</v>
      </c>
      <c r="W82" s="2"/>
      <c r="X82" s="7">
        <f t="shared" si="51"/>
        <v>-1650</v>
      </c>
      <c r="Y82" s="2"/>
      <c r="Z82" s="6">
        <f t="shared" si="52"/>
        <v>-1</v>
      </c>
    </row>
    <row r="83" spans="1:26" s="24" customFormat="1" hidden="1" outlineLevel="2" x14ac:dyDescent="0.25">
      <c r="A83" s="25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45"/>
        <v>0</v>
      </c>
      <c r="G83" s="2"/>
      <c r="H83" s="7"/>
      <c r="I83" s="2"/>
      <c r="J83" s="6">
        <f t="shared" si="46"/>
        <v>0</v>
      </c>
      <c r="K83" s="2"/>
      <c r="L83" s="7">
        <f t="shared" si="47"/>
        <v>0</v>
      </c>
      <c r="M83" s="2"/>
      <c r="N83" s="6">
        <f t="shared" si="48"/>
        <v>0</v>
      </c>
      <c r="O83" s="11"/>
      <c r="P83" s="7"/>
      <c r="Q83" s="2"/>
      <c r="R83" s="6">
        <f t="shared" si="49"/>
        <v>0</v>
      </c>
      <c r="S83" s="2"/>
      <c r="T83" s="7">
        <v>6000</v>
      </c>
      <c r="U83" s="2"/>
      <c r="V83" s="6">
        <f t="shared" si="50"/>
        <v>3.5236247292681666E-3</v>
      </c>
      <c r="W83" s="2"/>
      <c r="X83" s="7">
        <f t="shared" si="51"/>
        <v>-6000</v>
      </c>
      <c r="Y83" s="2"/>
      <c r="Z83" s="6">
        <f t="shared" si="52"/>
        <v>-1</v>
      </c>
    </row>
    <row r="84" spans="1:26" s="27" customFormat="1" outlineLevel="1" collapsed="1" x14ac:dyDescent="0.25">
      <c r="A84" s="26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SUM(OSRRefD22_14x_0)</f>
        <v>164</v>
      </c>
      <c r="E84" s="1"/>
      <c r="F84" s="5">
        <f t="shared" ref="F84:F87" si="53">IF(D$12=0,0,D84/D$12)</f>
        <v>-1.971153846153846</v>
      </c>
      <c r="G84" s="1"/>
      <c r="H84" s="1">
        <f>SUM(OSRRefH22_14x_0)</f>
        <v>175</v>
      </c>
      <c r="I84" s="1"/>
      <c r="J84" s="5">
        <f t="shared" ref="J84:J87" si="54">IF(H$12=0,0,H84/H$12)</f>
        <v>1.3722261428683448E-3</v>
      </c>
      <c r="K84" s="1"/>
      <c r="L84" s="1">
        <f t="shared" ref="L84:L87" si="55">+D84-H84</f>
        <v>-11</v>
      </c>
      <c r="M84" s="1"/>
      <c r="N84" s="5">
        <f t="shared" ref="N84:N87" si="56">IF(H84=0,0,L84/H84)</f>
        <v>-6.2857142857142861E-2</v>
      </c>
      <c r="O84" s="13"/>
      <c r="P84" s="1">
        <f>SUM(OSRRefP22_14x_0)</f>
        <v>1440</v>
      </c>
      <c r="Q84" s="1"/>
      <c r="R84" s="5">
        <f t="shared" ref="R84:R87" si="57">IF(P$12=0,0,P84/P$12)</f>
        <v>6.1123864114858532E-2</v>
      </c>
      <c r="S84" s="1"/>
      <c r="T84" s="1">
        <f>SUM(OSRRefT22_14x_0)</f>
        <v>1925</v>
      </c>
      <c r="U84" s="1"/>
      <c r="V84" s="5">
        <f t="shared" ref="V84:V87" si="58">IF(T$12=0,0,T84/T$12)</f>
        <v>1.1304962673068701E-3</v>
      </c>
      <c r="W84" s="1"/>
      <c r="X84" s="1">
        <f t="shared" ref="X84:X87" si="59">+P84-T84</f>
        <v>-485</v>
      </c>
      <c r="Y84" s="1"/>
      <c r="Z84" s="5">
        <f t="shared" ref="Z84:Z87" si="60">IF(T84=0,0,X84/T84)</f>
        <v>-0.25194805194805192</v>
      </c>
    </row>
    <row r="85" spans="1:26" s="24" customFormat="1" hidden="1" outlineLevel="2" x14ac:dyDescent="0.25">
      <c r="A85" s="25"/>
      <c r="B85" s="11" t="str">
        <f>CONCATENATE("          ", "6309", " - ", "TELEPHONE")</f>
        <v xml:space="preserve">          6309 - TELEPHONE</v>
      </c>
      <c r="C85" s="11"/>
      <c r="D85" s="7">
        <v>164</v>
      </c>
      <c r="E85" s="2"/>
      <c r="F85" s="6">
        <f t="shared" si="53"/>
        <v>-1.971153846153846</v>
      </c>
      <c r="G85" s="2"/>
      <c r="H85" s="7">
        <v>175</v>
      </c>
      <c r="I85" s="2"/>
      <c r="J85" s="6">
        <f t="shared" si="54"/>
        <v>1.3722261428683448E-3</v>
      </c>
      <c r="K85" s="2"/>
      <c r="L85" s="7">
        <f t="shared" si="55"/>
        <v>-11</v>
      </c>
      <c r="M85" s="2"/>
      <c r="N85" s="6">
        <f t="shared" si="56"/>
        <v>-6.2857142857142861E-2</v>
      </c>
      <c r="O85" s="11"/>
      <c r="P85" s="7">
        <v>1440</v>
      </c>
      <c r="Q85" s="2"/>
      <c r="R85" s="6">
        <f t="shared" si="57"/>
        <v>6.1123864114858532E-2</v>
      </c>
      <c r="S85" s="2"/>
      <c r="T85" s="7">
        <v>1925</v>
      </c>
      <c r="U85" s="2"/>
      <c r="V85" s="6">
        <f t="shared" si="58"/>
        <v>1.1304962673068701E-3</v>
      </c>
      <c r="W85" s="2"/>
      <c r="X85" s="7">
        <f t="shared" si="59"/>
        <v>-485</v>
      </c>
      <c r="Y85" s="2"/>
      <c r="Z85" s="6">
        <f t="shared" si="60"/>
        <v>-0.25194805194805192</v>
      </c>
    </row>
    <row r="86" spans="1:26" s="27" customFormat="1" outlineLevel="1" collapsed="1" x14ac:dyDescent="0.25">
      <c r="A86" s="26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SUM(OSRRefD22_15x_0)</f>
        <v>0</v>
      </c>
      <c r="E86" s="1"/>
      <c r="F86" s="5">
        <f t="shared" si="53"/>
        <v>0</v>
      </c>
      <c r="G86" s="1"/>
      <c r="H86" s="1">
        <f>SUM(OSRRefH22_15x_0)</f>
        <v>0</v>
      </c>
      <c r="I86" s="1"/>
      <c r="J86" s="5">
        <f t="shared" si="54"/>
        <v>0</v>
      </c>
      <c r="K86" s="1"/>
      <c r="L86" s="1">
        <f t="shared" si="55"/>
        <v>0</v>
      </c>
      <c r="M86" s="1"/>
      <c r="N86" s="5">
        <f t="shared" si="56"/>
        <v>0</v>
      </c>
      <c r="O86" s="13"/>
      <c r="P86" s="1">
        <f>SUM(OSRRefP22_15x_0)</f>
        <v>0</v>
      </c>
      <c r="Q86" s="1"/>
      <c r="R86" s="5">
        <f t="shared" si="57"/>
        <v>0</v>
      </c>
      <c r="S86" s="1"/>
      <c r="T86" s="1">
        <f>SUM(OSRRefT22_15x_0)</f>
        <v>1500</v>
      </c>
      <c r="U86" s="1"/>
      <c r="V86" s="5">
        <f t="shared" si="58"/>
        <v>8.8090618231704166E-4</v>
      </c>
      <c r="W86" s="1"/>
      <c r="X86" s="1">
        <f t="shared" si="59"/>
        <v>-1500</v>
      </c>
      <c r="Y86" s="1"/>
      <c r="Z86" s="5">
        <f t="shared" si="60"/>
        <v>-1</v>
      </c>
    </row>
    <row r="87" spans="1:26" s="24" customFormat="1" hidden="1" outlineLevel="2" x14ac:dyDescent="0.25">
      <c r="A87" s="25"/>
      <c r="B87" s="11" t="str">
        <f>CONCATENATE("          ", "6376", " - ", "TRAINING")</f>
        <v xml:space="preserve">          6376 - TRAINING</v>
      </c>
      <c r="C87" s="11"/>
      <c r="D87" s="7"/>
      <c r="E87" s="2"/>
      <c r="F87" s="6">
        <f t="shared" si="53"/>
        <v>0</v>
      </c>
      <c r="G87" s="2"/>
      <c r="H87" s="7"/>
      <c r="I87" s="2"/>
      <c r="J87" s="6">
        <f t="shared" si="54"/>
        <v>0</v>
      </c>
      <c r="K87" s="2"/>
      <c r="L87" s="7">
        <f t="shared" si="55"/>
        <v>0</v>
      </c>
      <c r="M87" s="2"/>
      <c r="N87" s="6">
        <f t="shared" si="56"/>
        <v>0</v>
      </c>
      <c r="O87" s="11"/>
      <c r="P87" s="7"/>
      <c r="Q87" s="2"/>
      <c r="R87" s="6">
        <f t="shared" si="57"/>
        <v>0</v>
      </c>
      <c r="S87" s="2"/>
      <c r="T87" s="7">
        <v>1500</v>
      </c>
      <c r="U87" s="2"/>
      <c r="V87" s="6">
        <f t="shared" si="58"/>
        <v>8.8090618231704166E-4</v>
      </c>
      <c r="W87" s="2"/>
      <c r="X87" s="7">
        <f t="shared" si="59"/>
        <v>-1500</v>
      </c>
      <c r="Y87" s="2"/>
      <c r="Z87" s="6">
        <f t="shared" si="60"/>
        <v>-1</v>
      </c>
    </row>
    <row r="88" spans="1:26" s="56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9" t="s">
        <v>293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8" t="s">
        <v>277</v>
      </c>
      <c r="C91" s="28"/>
      <c r="D91" s="20">
        <f>+D23-D25+D89</f>
        <v>-47685.85</v>
      </c>
      <c r="E91" s="14"/>
      <c r="F91" s="21">
        <f>IF(D$12=0,0,D91/D$12)</f>
        <v>573.14723557692309</v>
      </c>
      <c r="G91" s="14"/>
      <c r="H91" s="20">
        <f>+H23-H25+H89</f>
        <v>-28610.196330769235</v>
      </c>
      <c r="I91" s="14"/>
      <c r="J91" s="21">
        <f>IF(H$12=0,0,H91/H$12)</f>
        <v>-0.2243409106153002</v>
      </c>
      <c r="K91" s="15"/>
      <c r="L91" s="20">
        <f>+D91-H91</f>
        <v>-19075.653669230764</v>
      </c>
      <c r="M91" s="15"/>
      <c r="N91" s="21">
        <f>IF(H91=0,0,L91/H91)</f>
        <v>0.66674319353466249</v>
      </c>
      <c r="O91" s="29"/>
      <c r="P91" s="20">
        <f>+P23-P25+P89</f>
        <v>-564547.85999999987</v>
      </c>
      <c r="Q91" s="14"/>
      <c r="R91" s="21">
        <f>IF(P$12=0,0,P91/P$12)</f>
        <v>-23.963435195120951</v>
      </c>
      <c r="S91" s="14"/>
      <c r="T91" s="20">
        <f>+T23-T25+T89</f>
        <v>-170107.9056692305</v>
      </c>
      <c r="U91" s="14"/>
      <c r="V91" s="21">
        <f>IF(T$12=0,0,T91/T$12)</f>
        <v>-9.9899403843352858E-2</v>
      </c>
      <c r="W91" s="15"/>
      <c r="X91" s="20">
        <f>+P91-T91</f>
        <v>-394439.95433076937</v>
      </c>
      <c r="Y91" s="15"/>
      <c r="Z91" s="21">
        <f>IF(T91=0,0,X91/T91)</f>
        <v>2.3187632154953781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128</v>
      </c>
      <c r="C93" s="10"/>
      <c r="D93" s="4">
        <v>88.29</v>
      </c>
      <c r="E93" s="4"/>
      <c r="F93" s="12">
        <f>IF(D$12=0,0,D93/D$12)</f>
        <v>-1.0611778846153848</v>
      </c>
      <c r="G93" s="4"/>
      <c r="H93" s="4">
        <v>29008</v>
      </c>
      <c r="I93" s="4"/>
      <c r="J93" s="12">
        <f>IF(H$12=0,0,H93/H$12)</f>
        <v>0.22746020544185683</v>
      </c>
      <c r="K93" s="4"/>
      <c r="L93" s="4">
        <f>+D93-H93</f>
        <v>-28919.71</v>
      </c>
      <c r="M93" s="4"/>
      <c r="N93" s="12">
        <f>IF(H93=0,0,L93/H93)</f>
        <v>-0.99695635686707107</v>
      </c>
      <c r="O93" s="10"/>
      <c r="P93" s="4">
        <v>5034.28</v>
      </c>
      <c r="Q93" s="4"/>
      <c r="R93" s="12">
        <f>IF(P$12=0,0,P93/P$12)</f>
        <v>0.21369072683065971</v>
      </c>
      <c r="S93" s="4"/>
      <c r="T93" s="4">
        <v>314361</v>
      </c>
      <c r="U93" s="4"/>
      <c r="V93" s="12">
        <f>IF(T$12=0,0,T93/T$12)</f>
        <v>0.18461503225291168</v>
      </c>
      <c r="W93" s="4"/>
      <c r="X93" s="4">
        <f>+P93-T93</f>
        <v>-309326.71999999997</v>
      </c>
      <c r="Y93" s="4"/>
      <c r="Z93" s="12">
        <f>IF(T93=0,0,X93/T93)</f>
        <v>-0.98398567252299096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126</v>
      </c>
      <c r="C95" s="28"/>
      <c r="D95" s="35">
        <f>+D91-D93</f>
        <v>-47774.14</v>
      </c>
      <c r="E95" s="14"/>
      <c r="F95" s="34">
        <f>IF(D$12=0,0,D95/D$12)</f>
        <v>574.20841346153838</v>
      </c>
      <c r="G95" s="14"/>
      <c r="H95" s="35">
        <f>+H91-H93</f>
        <v>-57618.196330769235</v>
      </c>
      <c r="I95" s="14"/>
      <c r="J95" s="34">
        <f>IF(H$12=0,0,H95/H$12)</f>
        <v>-0.451801116057157</v>
      </c>
      <c r="K95" s="15"/>
      <c r="L95" s="35">
        <f>D95-H95</f>
        <v>9844.0563307692355</v>
      </c>
      <c r="M95" s="15"/>
      <c r="N95" s="34">
        <f>IF(H95=0,0,L95/H95)</f>
        <v>-0.1708497828404309</v>
      </c>
      <c r="O95" s="29"/>
      <c r="P95" s="35">
        <f>+P91-P93</f>
        <v>-569582.1399999999</v>
      </c>
      <c r="Q95" s="14"/>
      <c r="R95" s="34">
        <f>IF(P$12=0,0,P95/P$12)</f>
        <v>-24.17712592195161</v>
      </c>
      <c r="S95" s="14"/>
      <c r="T95" s="35">
        <f>+T91-T93</f>
        <v>-484468.9056692305</v>
      </c>
      <c r="U95" s="14"/>
      <c r="V95" s="34">
        <f>IF(T$12=0,0,T95/T$12)</f>
        <v>-0.28451443609626453</v>
      </c>
      <c r="W95" s="15"/>
      <c r="X95" s="35">
        <f>P95-T95</f>
        <v>-85113.234330769395</v>
      </c>
      <c r="Y95" s="15"/>
      <c r="Z95" s="34">
        <f>IF(T95=0,0,X95/T95)</f>
        <v>0.17568358533391648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294</v>
      </c>
      <c r="C98" s="28"/>
      <c r="D98" s="33">
        <f>SUM(D95:D97)</f>
        <v>-47774.14</v>
      </c>
      <c r="E98" s="14"/>
      <c r="F98" s="32">
        <f>IF(D$12=0,0,D98/D$12)</f>
        <v>574.20841346153838</v>
      </c>
      <c r="G98" s="14"/>
      <c r="H98" s="33">
        <f>SUM(H95:H97)</f>
        <v>-57618.196330769235</v>
      </c>
      <c r="I98" s="14"/>
      <c r="J98" s="32">
        <f>IF(H$12=0,0,H98/H$12)</f>
        <v>-0.451801116057157</v>
      </c>
      <c r="K98" s="15"/>
      <c r="L98" s="33">
        <f>+D98-H98</f>
        <v>9844.0563307692355</v>
      </c>
      <c r="M98" s="15"/>
      <c r="N98" s="32">
        <f>IF(H98=0,0,L98/H98)</f>
        <v>-0.1708497828404309</v>
      </c>
      <c r="O98" s="29"/>
      <c r="P98" s="33">
        <f>SUM(P95:P97)</f>
        <v>-569582.1399999999</v>
      </c>
      <c r="Q98" s="14"/>
      <c r="R98" s="32">
        <f>IF(P$12=0,0,P98/P$12)</f>
        <v>-24.17712592195161</v>
      </c>
      <c r="S98" s="14"/>
      <c r="T98" s="33">
        <f>SUM(T95:T97)</f>
        <v>-484468.9056692305</v>
      </c>
      <c r="U98" s="14"/>
      <c r="V98" s="32">
        <f>IF(T$12=0,0,T98/T$12)</f>
        <v>-0.28451443609626453</v>
      </c>
      <c r="W98" s="15"/>
      <c r="X98" s="33">
        <f>+P98-T98</f>
        <v>-85113.234330769395</v>
      </c>
      <c r="Y98" s="15"/>
      <c r="Z98" s="32">
        <f>IF(T98=0,0,X98/T98)</f>
        <v>0.17568358533391648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60">
        <v>44356.891834571761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5" t="s">
        <v>56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63"/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139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","435", " - ", "Ground Floor Coffee House")</f>
        <v>Department 435 - Ground Floor Coffee House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108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295</v>
      </c>
      <c r="C18" s="10"/>
      <c r="D18" s="22">
        <f>SUM(OSRRefD22x_0)</f>
        <v>0</v>
      </c>
      <c r="E18" s="22"/>
      <c r="F18" s="31">
        <f t="shared" ref="F18:F20" si="0">IF(D$12=0,0,D18/D$12)</f>
        <v>0</v>
      </c>
      <c r="G18" s="22"/>
      <c r="H18" s="22">
        <f>SUM(OSRRefH22x_0)</f>
        <v>0</v>
      </c>
      <c r="I18" s="22"/>
      <c r="J18" s="31">
        <f t="shared" ref="J18:J20" si="1">IF(H$12=0,0,H18/H$12)</f>
        <v>0</v>
      </c>
      <c r="K18" s="4"/>
      <c r="L18" s="22">
        <f t="shared" ref="L18:L20" si="2">+D18-H18</f>
        <v>0</v>
      </c>
      <c r="M18" s="4"/>
      <c r="N18" s="31">
        <f t="shared" ref="N18:N20" si="3">IF(H18=0,0,L18/H18)</f>
        <v>0</v>
      </c>
      <c r="O18" s="10"/>
      <c r="P18" s="22">
        <f>SUM(OSRRefP22x_0)</f>
        <v>178.69</v>
      </c>
      <c r="Q18" s="22"/>
      <c r="R18" s="31">
        <f t="shared" ref="R18:R20" si="4">IF(P$12=0,0,P18/P$12)</f>
        <v>0</v>
      </c>
      <c r="S18" s="22"/>
      <c r="T18" s="22">
        <f>SUM(OSRRefT22x_0)</f>
        <v>0</v>
      </c>
      <c r="U18" s="22"/>
      <c r="V18" s="31">
        <f t="shared" ref="V18:V20" si="5">IF(T$12=0,0,T18/T$12)</f>
        <v>0</v>
      </c>
      <c r="W18" s="4"/>
      <c r="X18" s="22">
        <f t="shared" ref="X18:X20" si="6">+P18-T18</f>
        <v>178.69</v>
      </c>
      <c r="Y18" s="4"/>
      <c r="Z18" s="31">
        <f t="shared" ref="Z18:Z20" si="7">IF(T18=0,0,X18/T18)</f>
        <v>0</v>
      </c>
    </row>
    <row r="19" spans="1:26" s="27" customFormat="1" outlineLevel="1" collapsed="1" x14ac:dyDescent="0.25">
      <c r="A19" s="26"/>
      <c r="B19" s="13" t="str">
        <f>CONCATENATE("     ","Telephone/Data Lines                              ")</f>
        <v xml:space="preserve">     Telephone/Data Lines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178.69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178.69</v>
      </c>
      <c r="Y19" s="1"/>
      <c r="Z19" s="5">
        <f t="shared" si="7"/>
        <v>0</v>
      </c>
    </row>
    <row r="20" spans="1:26" s="24" customFormat="1" hidden="1" outlineLevel="2" x14ac:dyDescent="0.25">
      <c r="A20" s="25"/>
      <c r="B20" s="11" t="str">
        <f>CONCATENATE("          ", "6309", " - ", "TELEPHONE")</f>
        <v xml:space="preserve">          6309 - TELEPHONE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178.69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178.69</v>
      </c>
      <c r="Y20" s="2"/>
      <c r="Z20" s="6">
        <f t="shared" si="7"/>
        <v>0</v>
      </c>
    </row>
    <row r="21" spans="1:26" s="56" customFormat="1" x14ac:dyDescent="0.25">
      <c r="A21" s="36"/>
      <c r="B21" s="36"/>
      <c r="C21" s="36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293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277</v>
      </c>
      <c r="C24" s="28"/>
      <c r="D24" s="20">
        <f>+D16-D18+D22</f>
        <v>0</v>
      </c>
      <c r="E24" s="14"/>
      <c r="F24" s="21">
        <f>IF(D$12=0,0,D24/D$12)</f>
        <v>0</v>
      </c>
      <c r="G24" s="14"/>
      <c r="H24" s="20">
        <f>+H16-H18+H22</f>
        <v>0</v>
      </c>
      <c r="I24" s="14"/>
      <c r="J24" s="21">
        <f>IF(H$12=0,0,H24/H$12)</f>
        <v>0</v>
      </c>
      <c r="K24" s="15"/>
      <c r="L24" s="20">
        <f>+D24-H24</f>
        <v>0</v>
      </c>
      <c r="M24" s="15"/>
      <c r="N24" s="21">
        <f>IF(H24=0,0,L24/H24)</f>
        <v>0</v>
      </c>
      <c r="O24" s="29"/>
      <c r="P24" s="20">
        <f>+P16-P18+P22</f>
        <v>-178.69</v>
      </c>
      <c r="Q24" s="14"/>
      <c r="R24" s="21">
        <f>IF(P$12=0,0,P24/P$12)</f>
        <v>0</v>
      </c>
      <c r="S24" s="14"/>
      <c r="T24" s="20">
        <f>+T16-T18+T22</f>
        <v>0</v>
      </c>
      <c r="U24" s="14"/>
      <c r="V24" s="21">
        <f>IF(T$12=0,0,T24/T$12)</f>
        <v>0</v>
      </c>
      <c r="W24" s="15"/>
      <c r="X24" s="20">
        <f>+P24-T24</f>
        <v>-178.69</v>
      </c>
      <c r="Y24" s="15"/>
      <c r="Z24" s="21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128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8" t="s">
        <v>126</v>
      </c>
      <c r="C28" s="28"/>
      <c r="D28" s="35">
        <f>+D24-D26</f>
        <v>0</v>
      </c>
      <c r="E28" s="14"/>
      <c r="F28" s="34">
        <f>IF(D$12=0,0,D28/D$12)</f>
        <v>0</v>
      </c>
      <c r="G28" s="14"/>
      <c r="H28" s="35">
        <f>+H24-H26</f>
        <v>0</v>
      </c>
      <c r="I28" s="14"/>
      <c r="J28" s="34">
        <f>IF(H$12=0,0,H28/H$12)</f>
        <v>0</v>
      </c>
      <c r="K28" s="15"/>
      <c r="L28" s="35">
        <f>D28-H28</f>
        <v>0</v>
      </c>
      <c r="M28" s="15"/>
      <c r="N28" s="34">
        <f>IF(H28=0,0,L28/H28)</f>
        <v>0</v>
      </c>
      <c r="O28" s="29"/>
      <c r="P28" s="35">
        <f>+P24-P26</f>
        <v>-178.69</v>
      </c>
      <c r="Q28" s="14"/>
      <c r="R28" s="34">
        <f>IF(P$12=0,0,P28/P$12)</f>
        <v>0</v>
      </c>
      <c r="S28" s="14"/>
      <c r="T28" s="35">
        <f>+T24-T26</f>
        <v>0</v>
      </c>
      <c r="U28" s="14"/>
      <c r="V28" s="34">
        <f>IF(T$12=0,0,T28/T$12)</f>
        <v>0</v>
      </c>
      <c r="W28" s="15"/>
      <c r="X28" s="35">
        <f>P28-T28</f>
        <v>-178.69</v>
      </c>
      <c r="Y28" s="15"/>
      <c r="Z28" s="34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294</v>
      </c>
      <c r="C31" s="28"/>
      <c r="D31" s="33">
        <f>SUM(D28:D30)</f>
        <v>0</v>
      </c>
      <c r="E31" s="14"/>
      <c r="F31" s="32">
        <f>IF(D$12=0,0,D31/D$12)</f>
        <v>0</v>
      </c>
      <c r="G31" s="14"/>
      <c r="H31" s="33">
        <f>SUM(H28:H30)</f>
        <v>0</v>
      </c>
      <c r="I31" s="14"/>
      <c r="J31" s="32">
        <f>IF(H$12=0,0,H31/H$12)</f>
        <v>0</v>
      </c>
      <c r="K31" s="15"/>
      <c r="L31" s="33">
        <f>+D31-H31</f>
        <v>0</v>
      </c>
      <c r="M31" s="15"/>
      <c r="N31" s="32">
        <f>IF(H31=0,0,L31/H31)</f>
        <v>0</v>
      </c>
      <c r="O31" s="29"/>
      <c r="P31" s="33">
        <f>SUM(P28:P30)</f>
        <v>-178.69</v>
      </c>
      <c r="Q31" s="14"/>
      <c r="R31" s="32">
        <f>IF(P$12=0,0,P31/P$12)</f>
        <v>0</v>
      </c>
      <c r="S31" s="14"/>
      <c r="T31" s="33">
        <f>SUM(T28:T30)</f>
        <v>0</v>
      </c>
      <c r="U31" s="14"/>
      <c r="V31" s="32">
        <f>IF(T$12=0,0,T31/T$12)</f>
        <v>0</v>
      </c>
      <c r="W31" s="15"/>
      <c r="X31" s="33">
        <f>+P31-T31</f>
        <v>-178.69</v>
      </c>
      <c r="Y31" s="15"/>
      <c r="Z31" s="32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60">
        <v>44356.891834571761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5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63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","444", " - ", "Parkside Dining Hall")</f>
        <v>Department 444 - Parkside Dining Hall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50611.9</v>
      </c>
      <c r="E12" s="4"/>
      <c r="F12" s="12"/>
      <c r="G12" s="4"/>
      <c r="H12" s="4">
        <f>SUM(OSRRefH13x_0)</f>
        <v>115189</v>
      </c>
      <c r="I12" s="4"/>
      <c r="J12" s="12"/>
      <c r="K12" s="4"/>
      <c r="L12" s="4">
        <f t="shared" ref="L12:L16" si="0">+D12-H12</f>
        <v>-64577.1</v>
      </c>
      <c r="M12" s="4"/>
      <c r="N12" s="12">
        <f t="shared" ref="N12:N16" si="1">IF(H12=0,0,L12/H12)</f>
        <v>-0.56061863545998314</v>
      </c>
      <c r="O12" s="10"/>
      <c r="P12" s="4">
        <f>SUM(OSRRefP13x_0)</f>
        <v>968325.88</v>
      </c>
      <c r="Q12" s="4"/>
      <c r="R12" s="12"/>
      <c r="S12" s="4"/>
      <c r="T12" s="4">
        <f>SUM(OSRRefT13x_0)</f>
        <v>1667519</v>
      </c>
      <c r="U12" s="4"/>
      <c r="V12" s="12"/>
      <c r="W12" s="4"/>
      <c r="X12" s="4">
        <f t="shared" ref="X12:X16" si="2">+P12-T12</f>
        <v>-699193.12</v>
      </c>
      <c r="Y12" s="4"/>
      <c r="Z12" s="12">
        <f t="shared" ref="Z12:Z16" si="3">IF(T12=0,0,X12/T12)</f>
        <v>-0.41930144124294838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--21.66</f>
        <v>21.66</v>
      </c>
      <c r="E13" s="2"/>
      <c r="F13" s="19"/>
      <c r="G13" s="2"/>
      <c r="H13" s="2"/>
      <c r="I13" s="2"/>
      <c r="J13" s="19"/>
      <c r="K13" s="2"/>
      <c r="L13" s="2">
        <f t="shared" si="0"/>
        <v>21.66</v>
      </c>
      <c r="M13" s="2"/>
      <c r="N13" s="19">
        <f t="shared" si="1"/>
        <v>0</v>
      </c>
      <c r="O13" s="11"/>
      <c r="P13" s="2">
        <f>--888.91</f>
        <v>888.91</v>
      </c>
      <c r="Q13" s="2"/>
      <c r="R13" s="19"/>
      <c r="S13" s="2"/>
      <c r="T13" s="2"/>
      <c r="U13" s="2"/>
      <c r="V13" s="19"/>
      <c r="W13" s="2"/>
      <c r="X13" s="2">
        <f t="shared" si="2"/>
        <v>888.91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115189</v>
      </c>
      <c r="I14" s="2"/>
      <c r="J14" s="19"/>
      <c r="K14" s="2"/>
      <c r="L14" s="2">
        <f t="shared" si="0"/>
        <v>-115189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1667519</v>
      </c>
      <c r="U14" s="2"/>
      <c r="V14" s="19"/>
      <c r="W14" s="2"/>
      <c r="X14" s="2">
        <f t="shared" si="2"/>
        <v>-1667519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--47615</f>
        <v>47615</v>
      </c>
      <c r="E15" s="2"/>
      <c r="F15" s="19"/>
      <c r="G15" s="2"/>
      <c r="H15" s="2"/>
      <c r="I15" s="2"/>
      <c r="J15" s="19"/>
      <c r="K15" s="2"/>
      <c r="L15" s="2">
        <f t="shared" si="0"/>
        <v>47615</v>
      </c>
      <c r="M15" s="2"/>
      <c r="N15" s="19">
        <f t="shared" si="1"/>
        <v>0</v>
      </c>
      <c r="O15" s="11"/>
      <c r="P15" s="2">
        <f>--924347.72</f>
        <v>924347.72</v>
      </c>
      <c r="Q15" s="2"/>
      <c r="R15" s="19"/>
      <c r="S15" s="2"/>
      <c r="T15" s="2"/>
      <c r="U15" s="2"/>
      <c r="V15" s="19"/>
      <c r="W15" s="2"/>
      <c r="X15" s="2">
        <f t="shared" si="2"/>
        <v>924347.72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--2975.24</f>
        <v>2975.24</v>
      </c>
      <c r="E16" s="2"/>
      <c r="F16" s="19"/>
      <c r="G16" s="2"/>
      <c r="H16" s="2"/>
      <c r="I16" s="2"/>
      <c r="J16" s="19"/>
      <c r="K16" s="2"/>
      <c r="L16" s="2">
        <f t="shared" si="0"/>
        <v>2975.24</v>
      </c>
      <c r="M16" s="2"/>
      <c r="N16" s="19">
        <f t="shared" si="1"/>
        <v>0</v>
      </c>
      <c r="O16" s="11"/>
      <c r="P16" s="2">
        <f>--43089.25</f>
        <v>43089.25</v>
      </c>
      <c r="Q16" s="2"/>
      <c r="R16" s="19"/>
      <c r="S16" s="2"/>
      <c r="T16" s="2"/>
      <c r="U16" s="2"/>
      <c r="V16" s="19"/>
      <c r="W16" s="2"/>
      <c r="X16" s="2">
        <f t="shared" si="2"/>
        <v>43089.25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257</v>
      </c>
      <c r="C18" s="10"/>
      <c r="D18" s="4">
        <f>SUM(OSRRefD16x_0)</f>
        <v>25181.79</v>
      </c>
      <c r="E18" s="4"/>
      <c r="F18" s="12">
        <f t="shared" ref="F18:F21" si="4">IF(D$12=0,0,D18/D$12)</f>
        <v>0.49754682199245631</v>
      </c>
      <c r="G18" s="4"/>
      <c r="H18" s="4">
        <f>SUM(OSRRefH16x_0)</f>
        <v>32253</v>
      </c>
      <c r="I18" s="4"/>
      <c r="J18" s="12">
        <f t="shared" ref="J18:J21" si="5">IF(H$12=0,0,H18/H$12)</f>
        <v>0.28000069451076059</v>
      </c>
      <c r="K18" s="4"/>
      <c r="L18" s="4">
        <f t="shared" ref="L18:L21" si="6">+D18-H18</f>
        <v>-7071.2099999999991</v>
      </c>
      <c r="M18" s="4"/>
      <c r="N18" s="12">
        <f t="shared" ref="N18:N21" si="7">IF(H18=0,0,L18/H18)</f>
        <v>-0.21924193098316433</v>
      </c>
      <c r="O18" s="10"/>
      <c r="P18" s="4">
        <f>SUM(OSRRefP16x_0)</f>
        <v>415749.05</v>
      </c>
      <c r="Q18" s="4"/>
      <c r="R18" s="12">
        <f t="shared" ref="R18:R21" si="8">IF(P$12=0,0,P18/P$12)</f>
        <v>0.42934827890792299</v>
      </c>
      <c r="S18" s="4"/>
      <c r="T18" s="4">
        <f>SUM(OSRRefT16x_0)</f>
        <v>450809</v>
      </c>
      <c r="U18" s="4"/>
      <c r="V18" s="12">
        <f t="shared" ref="V18:V21" si="9">IF(T$12=0,0,T18/T$12)</f>
        <v>0.27034714447031788</v>
      </c>
      <c r="W18" s="4"/>
      <c r="X18" s="4">
        <f t="shared" ref="X18:X21" si="10">+P18-T18</f>
        <v>-35059.950000000012</v>
      </c>
      <c r="Y18" s="4"/>
      <c r="Z18" s="12">
        <f t="shared" ref="Z18:Z21" si="11">IF(T18=0,0,X18/T18)</f>
        <v>-7.7771184692408568E-2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32253</v>
      </c>
      <c r="I19" s="2"/>
      <c r="J19" s="19">
        <f t="shared" si="5"/>
        <v>0.28000069451076059</v>
      </c>
      <c r="K19" s="2"/>
      <c r="L19" s="2">
        <f t="shared" si="6"/>
        <v>-32253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450809</v>
      </c>
      <c r="U19" s="2"/>
      <c r="V19" s="19">
        <f t="shared" si="9"/>
        <v>0.27034714447031788</v>
      </c>
      <c r="W19" s="2"/>
      <c r="X19" s="2">
        <f t="shared" si="10"/>
        <v>-450809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24078.79</v>
      </c>
      <c r="E20" s="2"/>
      <c r="F20" s="19">
        <f t="shared" si="4"/>
        <v>0.47575352832041479</v>
      </c>
      <c r="G20" s="2"/>
      <c r="H20" s="2"/>
      <c r="I20" s="2"/>
      <c r="J20" s="19">
        <f t="shared" si="5"/>
        <v>0</v>
      </c>
      <c r="K20" s="2"/>
      <c r="L20" s="2">
        <f t="shared" si="6"/>
        <v>24078.79</v>
      </c>
      <c r="M20" s="2"/>
      <c r="N20" s="19">
        <f t="shared" si="7"/>
        <v>0</v>
      </c>
      <c r="O20" s="11"/>
      <c r="P20" s="2">
        <v>429337.75</v>
      </c>
      <c r="Q20" s="2"/>
      <c r="R20" s="19">
        <f t="shared" si="8"/>
        <v>0.44338146781742527</v>
      </c>
      <c r="S20" s="2"/>
      <c r="T20" s="2"/>
      <c r="U20" s="2"/>
      <c r="V20" s="19">
        <f t="shared" si="9"/>
        <v>0</v>
      </c>
      <c r="W20" s="2"/>
      <c r="X20" s="2">
        <f t="shared" si="10"/>
        <v>429337.75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1103</v>
      </c>
      <c r="E21" s="2"/>
      <c r="F21" s="19">
        <f t="shared" si="4"/>
        <v>2.1793293672041556E-2</v>
      </c>
      <c r="G21" s="2"/>
      <c r="H21" s="2"/>
      <c r="I21" s="2"/>
      <c r="J21" s="19">
        <f t="shared" si="5"/>
        <v>0</v>
      </c>
      <c r="K21" s="2"/>
      <c r="L21" s="2">
        <f t="shared" si="6"/>
        <v>1103</v>
      </c>
      <c r="M21" s="2"/>
      <c r="N21" s="19">
        <f t="shared" si="7"/>
        <v>0</v>
      </c>
      <c r="O21" s="11"/>
      <c r="P21" s="2">
        <v>-13588.7</v>
      </c>
      <c r="Q21" s="2"/>
      <c r="R21" s="19">
        <f t="shared" si="8"/>
        <v>-1.4033188909502245E-2</v>
      </c>
      <c r="S21" s="2"/>
      <c r="T21" s="2"/>
      <c r="U21" s="2"/>
      <c r="V21" s="19">
        <f t="shared" si="9"/>
        <v>0</v>
      </c>
      <c r="W21" s="2"/>
      <c r="X21" s="2">
        <f t="shared" si="10"/>
        <v>-13588.7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108</v>
      </c>
      <c r="C23" s="28"/>
      <c r="D23" s="20">
        <f>D12-D18</f>
        <v>25430.11</v>
      </c>
      <c r="E23" s="14"/>
      <c r="F23" s="21">
        <f>IF(D$12=0,0,D23/D$12)</f>
        <v>0.50245317800754363</v>
      </c>
      <c r="G23" s="14"/>
      <c r="H23" s="20">
        <f>H12-H18</f>
        <v>82936</v>
      </c>
      <c r="I23" s="14"/>
      <c r="J23" s="21">
        <f>IF(H$12=0,0,H23/H$12)</f>
        <v>0.71999930548923941</v>
      </c>
      <c r="K23" s="15"/>
      <c r="L23" s="20">
        <f>+D23-H23</f>
        <v>-57505.89</v>
      </c>
      <c r="M23" s="15"/>
      <c r="N23" s="21">
        <f>IF(H23=0,0,L23/H23)</f>
        <v>-0.69337670010610586</v>
      </c>
      <c r="O23" s="29"/>
      <c r="P23" s="20">
        <f>P12-P18</f>
        <v>552576.83000000007</v>
      </c>
      <c r="Q23" s="14"/>
      <c r="R23" s="21">
        <f>IF(P$12=0,0,P23/P$12)</f>
        <v>0.57065172109207707</v>
      </c>
      <c r="S23" s="14"/>
      <c r="T23" s="20">
        <f>T12-T18</f>
        <v>1216710</v>
      </c>
      <c r="U23" s="14"/>
      <c r="V23" s="21">
        <f>IF(T$12=0,0,T23/T$12)</f>
        <v>0.72965285552968207</v>
      </c>
      <c r="W23" s="15"/>
      <c r="X23" s="20">
        <f>+P23-T23</f>
        <v>-664133.16999999993</v>
      </c>
      <c r="Y23" s="15"/>
      <c r="Z23" s="21">
        <f>IF(T23=0,0,X23/T23)</f>
        <v>-0.54584343845287697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295</v>
      </c>
      <c r="C25" s="10"/>
      <c r="D25" s="22">
        <f>SUM(OSRRefD22x_0)</f>
        <v>96436.47</v>
      </c>
      <c r="E25" s="22"/>
      <c r="F25" s="31">
        <f t="shared" ref="F25:F36" si="12">IF(D$12=0,0,D25/D$12)</f>
        <v>1.9054109804216004</v>
      </c>
      <c r="G25" s="22"/>
      <c r="H25" s="22">
        <f>SUM(OSRRefH22x_0)</f>
        <v>112896.07910126929</v>
      </c>
      <c r="I25" s="22"/>
      <c r="J25" s="31">
        <f t="shared" ref="J25:J36" si="13">IF(H$12=0,0,H25/H$12)</f>
        <v>0.9800942720335214</v>
      </c>
      <c r="K25" s="4"/>
      <c r="L25" s="22">
        <f t="shared" ref="L25:L36" si="14">+D25-H25</f>
        <v>-16459.609101269292</v>
      </c>
      <c r="M25" s="4"/>
      <c r="N25" s="31">
        <f t="shared" ref="N25:N36" si="15">IF(H25=0,0,L25/H25)</f>
        <v>-0.1457943378751427</v>
      </c>
      <c r="O25" s="10"/>
      <c r="P25" s="22">
        <f>SUM(OSRRefP22x_0)</f>
        <v>1265237.3300000003</v>
      </c>
      <c r="Q25" s="22"/>
      <c r="R25" s="31">
        <f t="shared" ref="R25:R36" si="16">IF(P$12=0,0,P25/P$12)</f>
        <v>1.3066234788643678</v>
      </c>
      <c r="S25" s="22"/>
      <c r="T25" s="22">
        <f>SUM(OSRRefT22x_0)</f>
        <v>1395740.2102969817</v>
      </c>
      <c r="U25" s="22"/>
      <c r="V25" s="31">
        <f t="shared" ref="V25:V36" si="17">IF(T$12=0,0,T25/T$12)</f>
        <v>0.83701607615684248</v>
      </c>
      <c r="W25" s="4"/>
      <c r="X25" s="22">
        <f t="shared" ref="X25:X36" si="18">+P25-T25</f>
        <v>-130502.88029698143</v>
      </c>
      <c r="Y25" s="4"/>
      <c r="Z25" s="31">
        <f t="shared" ref="Z25:Z36" si="19">IF(T25=0,0,X25/T25)</f>
        <v>-9.3500838719272394E-2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30299.73</v>
      </c>
      <c r="E26" s="1"/>
      <c r="F26" s="5">
        <f t="shared" si="12"/>
        <v>0.59866809979471225</v>
      </c>
      <c r="G26" s="1"/>
      <c r="H26" s="1">
        <f>SUM(OSRRefH22_0x_0)</f>
        <v>34704.731329730792</v>
      </c>
      <c r="I26" s="1"/>
      <c r="J26" s="5">
        <f t="shared" si="13"/>
        <v>0.30128511689250531</v>
      </c>
      <c r="K26" s="1"/>
      <c r="L26" s="1">
        <f t="shared" si="14"/>
        <v>-4405.0013297307923</v>
      </c>
      <c r="M26" s="1"/>
      <c r="N26" s="5">
        <f t="shared" si="15"/>
        <v>-0.12692797670377362</v>
      </c>
      <c r="O26" s="13"/>
      <c r="P26" s="1">
        <f>SUM(OSRRefP22_0x_0)</f>
        <v>340970.93</v>
      </c>
      <c r="Q26" s="1"/>
      <c r="R26" s="5">
        <f t="shared" si="16"/>
        <v>0.35212415266645564</v>
      </c>
      <c r="S26" s="1"/>
      <c r="T26" s="1">
        <f>SUM(OSRRefT22_0x_0)</f>
        <v>410916.44529351976</v>
      </c>
      <c r="U26" s="1"/>
      <c r="V26" s="5">
        <f t="shared" si="17"/>
        <v>0.24642384602125658</v>
      </c>
      <c r="W26" s="1"/>
      <c r="X26" s="1">
        <f t="shared" si="18"/>
        <v>-69945.515293519769</v>
      </c>
      <c r="Y26" s="1"/>
      <c r="Z26" s="5">
        <f t="shared" si="19"/>
        <v>-0.1702183402359507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3110.81</v>
      </c>
      <c r="E27" s="2"/>
      <c r="F27" s="6">
        <f t="shared" si="12"/>
        <v>6.1464003524862726E-2</v>
      </c>
      <c r="G27" s="2"/>
      <c r="H27" s="7">
        <v>3171.7882047692301</v>
      </c>
      <c r="I27" s="2"/>
      <c r="J27" s="6">
        <f t="shared" si="13"/>
        <v>2.7535512981007128E-2</v>
      </c>
      <c r="K27" s="2"/>
      <c r="L27" s="7">
        <f t="shared" si="14"/>
        <v>-60.97820476923016</v>
      </c>
      <c r="M27" s="2"/>
      <c r="N27" s="6">
        <f t="shared" si="15"/>
        <v>-1.9225181768927964E-2</v>
      </c>
      <c r="O27" s="11"/>
      <c r="P27" s="7">
        <v>39529.370000000003</v>
      </c>
      <c r="Q27" s="2"/>
      <c r="R27" s="6">
        <f t="shared" si="16"/>
        <v>4.0822383059719525E-2</v>
      </c>
      <c r="S27" s="2"/>
      <c r="T27" s="7">
        <v>38791.478127230803</v>
      </c>
      <c r="U27" s="2"/>
      <c r="V27" s="6">
        <f t="shared" si="17"/>
        <v>2.3262990183158815E-2</v>
      </c>
      <c r="W27" s="2"/>
      <c r="X27" s="7">
        <f t="shared" si="18"/>
        <v>737.89187276919984</v>
      </c>
      <c r="Y27" s="2"/>
      <c r="Z27" s="6">
        <f t="shared" si="19"/>
        <v>1.9022009688545879E-2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3174.15</v>
      </c>
      <c r="E28" s="2"/>
      <c r="F28" s="6">
        <f t="shared" si="12"/>
        <v>6.2715487859574523E-2</v>
      </c>
      <c r="G28" s="2"/>
      <c r="H28" s="7">
        <v>2356.4092166999999</v>
      </c>
      <c r="I28" s="2"/>
      <c r="J28" s="6">
        <f t="shared" si="13"/>
        <v>2.0456894466485513E-2</v>
      </c>
      <c r="K28" s="2"/>
      <c r="L28" s="7">
        <f t="shared" si="14"/>
        <v>817.7407833000002</v>
      </c>
      <c r="M28" s="2"/>
      <c r="N28" s="6">
        <f t="shared" si="15"/>
        <v>0.34702834189606241</v>
      </c>
      <c r="O28" s="11"/>
      <c r="P28" s="7">
        <v>27370.91</v>
      </c>
      <c r="Q28" s="2"/>
      <c r="R28" s="6">
        <f t="shared" si="16"/>
        <v>2.8266217567168607E-2</v>
      </c>
      <c r="S28" s="2"/>
      <c r="T28" s="7">
        <v>29969.983060049999</v>
      </c>
      <c r="U28" s="2"/>
      <c r="V28" s="6">
        <f t="shared" si="17"/>
        <v>1.7972798546853137E-2</v>
      </c>
      <c r="W28" s="2"/>
      <c r="X28" s="7">
        <f t="shared" si="18"/>
        <v>-2599.0730600499992</v>
      </c>
      <c r="Y28" s="2"/>
      <c r="Z28" s="6">
        <f t="shared" si="19"/>
        <v>-8.6722540177694152E-2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17668.509999999998</v>
      </c>
      <c r="E29" s="2"/>
      <c r="F29" s="6">
        <f t="shared" si="12"/>
        <v>0.34909793941740969</v>
      </c>
      <c r="G29" s="2"/>
      <c r="H29" s="7">
        <v>19569.615384615401</v>
      </c>
      <c r="I29" s="2"/>
      <c r="J29" s="6">
        <f t="shared" si="13"/>
        <v>0.16989135581188655</v>
      </c>
      <c r="K29" s="2"/>
      <c r="L29" s="7">
        <f t="shared" si="14"/>
        <v>-1901.1053846154027</v>
      </c>
      <c r="M29" s="2"/>
      <c r="N29" s="6">
        <f t="shared" si="15"/>
        <v>-9.7145771506064016E-2</v>
      </c>
      <c r="O29" s="11"/>
      <c r="P29" s="7">
        <v>191438.63</v>
      </c>
      <c r="Q29" s="2"/>
      <c r="R29" s="6">
        <f t="shared" si="16"/>
        <v>0.19770062326538251</v>
      </c>
      <c r="S29" s="2"/>
      <c r="T29" s="7">
        <v>227510.384615385</v>
      </c>
      <c r="U29" s="2"/>
      <c r="V29" s="6">
        <f t="shared" si="17"/>
        <v>0.1364364571650368</v>
      </c>
      <c r="W29" s="2"/>
      <c r="X29" s="7">
        <f t="shared" si="18"/>
        <v>-36071.754615384998</v>
      </c>
      <c r="Y29" s="2"/>
      <c r="Z29" s="6">
        <f t="shared" si="19"/>
        <v>-0.15854992586982647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192.38</v>
      </c>
      <c r="E30" s="2"/>
      <c r="F30" s="6">
        <f t="shared" si="12"/>
        <v>3.8010823541499133E-3</v>
      </c>
      <c r="G30" s="2"/>
      <c r="H30" s="7">
        <v>142.81267980000001</v>
      </c>
      <c r="I30" s="2"/>
      <c r="J30" s="6">
        <f t="shared" si="13"/>
        <v>1.239811785847607E-3</v>
      </c>
      <c r="K30" s="2"/>
      <c r="L30" s="7">
        <f t="shared" si="14"/>
        <v>49.567320199999983</v>
      </c>
      <c r="M30" s="2"/>
      <c r="N30" s="6">
        <f t="shared" si="15"/>
        <v>0.34707926683692114</v>
      </c>
      <c r="O30" s="11"/>
      <c r="P30" s="7">
        <v>1738.62</v>
      </c>
      <c r="Q30" s="2"/>
      <c r="R30" s="6">
        <f t="shared" si="16"/>
        <v>1.7954905842235672E-3</v>
      </c>
      <c r="S30" s="2"/>
      <c r="T30" s="7">
        <v>1816.3626096999999</v>
      </c>
      <c r="U30" s="2"/>
      <c r="V30" s="6">
        <f t="shared" si="17"/>
        <v>1.0892605179910993E-3</v>
      </c>
      <c r="W30" s="2"/>
      <c r="X30" s="7">
        <f t="shared" si="18"/>
        <v>-77.742609700000003</v>
      </c>
      <c r="Y30" s="2"/>
      <c r="Z30" s="6">
        <f t="shared" si="19"/>
        <v>-4.2801260764138052E-2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1457.53</v>
      </c>
      <c r="E31" s="2"/>
      <c r="F31" s="6">
        <f t="shared" si="12"/>
        <v>2.8798168019774004E-2</v>
      </c>
      <c r="G31" s="2"/>
      <c r="H31" s="7">
        <v>1778.4998461538501</v>
      </c>
      <c r="I31" s="2"/>
      <c r="J31" s="6">
        <f t="shared" si="13"/>
        <v>1.5439841010459766E-2</v>
      </c>
      <c r="K31" s="2"/>
      <c r="L31" s="7">
        <f t="shared" si="14"/>
        <v>-320.96984615385009</v>
      </c>
      <c r="M31" s="2"/>
      <c r="N31" s="6">
        <f t="shared" si="15"/>
        <v>-0.18047223723295414</v>
      </c>
      <c r="O31" s="11"/>
      <c r="P31" s="7">
        <v>17556.59</v>
      </c>
      <c r="Q31" s="2"/>
      <c r="R31" s="6">
        <f t="shared" si="16"/>
        <v>1.8130869330890961E-2</v>
      </c>
      <c r="S31" s="2"/>
      <c r="T31" s="7">
        <v>21341.998153846202</v>
      </c>
      <c r="U31" s="2"/>
      <c r="V31" s="6">
        <f t="shared" si="17"/>
        <v>1.2798653660825575E-2</v>
      </c>
      <c r="W31" s="2"/>
      <c r="X31" s="7">
        <f t="shared" si="18"/>
        <v>-3785.4081538462015</v>
      </c>
      <c r="Y31" s="2"/>
      <c r="Z31" s="6">
        <f t="shared" si="19"/>
        <v>-0.1773689664181704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7">
        <v>559.57000000000005</v>
      </c>
      <c r="E33" s="2"/>
      <c r="F33" s="6">
        <f t="shared" si="12"/>
        <v>1.1056095503231455E-2</v>
      </c>
      <c r="G33" s="2"/>
      <c r="H33" s="7"/>
      <c r="I33" s="2"/>
      <c r="J33" s="6">
        <f t="shared" si="13"/>
        <v>0</v>
      </c>
      <c r="K33" s="2"/>
      <c r="L33" s="7">
        <f t="shared" si="14"/>
        <v>559.57000000000005</v>
      </c>
      <c r="M33" s="2"/>
      <c r="N33" s="6">
        <f t="shared" si="15"/>
        <v>0</v>
      </c>
      <c r="O33" s="11"/>
      <c r="P33" s="7">
        <v>6027.67</v>
      </c>
      <c r="Q33" s="2"/>
      <c r="R33" s="6">
        <f t="shared" si="16"/>
        <v>6.2248362090663112E-3</v>
      </c>
      <c r="S33" s="2"/>
      <c r="T33" s="7"/>
      <c r="U33" s="2"/>
      <c r="V33" s="6">
        <f t="shared" si="17"/>
        <v>0</v>
      </c>
      <c r="W33" s="2"/>
      <c r="X33" s="7">
        <f t="shared" si="18"/>
        <v>6027.67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7">
        <v>2340.3200000000002</v>
      </c>
      <c r="E34" s="2"/>
      <c r="F34" s="6">
        <f t="shared" si="12"/>
        <v>4.6240508655079143E-2</v>
      </c>
      <c r="G34" s="2"/>
      <c r="H34" s="7">
        <v>3283.8667692307699</v>
      </c>
      <c r="I34" s="2"/>
      <c r="J34" s="6">
        <f t="shared" si="13"/>
        <v>2.8508510094112892E-2</v>
      </c>
      <c r="K34" s="2"/>
      <c r="L34" s="7">
        <f t="shared" si="14"/>
        <v>-943.54676923076977</v>
      </c>
      <c r="M34" s="2"/>
      <c r="N34" s="6">
        <f t="shared" si="15"/>
        <v>-0.28732796898815449</v>
      </c>
      <c r="O34" s="11"/>
      <c r="P34" s="7">
        <v>30104.58</v>
      </c>
      <c r="Q34" s="2"/>
      <c r="R34" s="6">
        <f t="shared" si="16"/>
        <v>3.1089306422337901E-2</v>
      </c>
      <c r="S34" s="2"/>
      <c r="T34" s="7">
        <v>39406.401230769203</v>
      </c>
      <c r="U34" s="2"/>
      <c r="V34" s="6">
        <f t="shared" si="17"/>
        <v>2.3631755458719931E-2</v>
      </c>
      <c r="W34" s="2"/>
      <c r="X34" s="7">
        <f t="shared" si="18"/>
        <v>-9301.8212307692011</v>
      </c>
      <c r="Y34" s="2"/>
      <c r="Z34" s="6">
        <f t="shared" si="19"/>
        <v>-0.23604848299382836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7">
        <v>1500.08</v>
      </c>
      <c r="E35" s="2"/>
      <c r="F35" s="6">
        <f t="shared" si="12"/>
        <v>2.9638879393976515E-2</v>
      </c>
      <c r="G35" s="2"/>
      <c r="H35" s="7">
        <v>2476.7392284615398</v>
      </c>
      <c r="I35" s="2"/>
      <c r="J35" s="6">
        <f t="shared" si="13"/>
        <v>2.1501525566343486E-2</v>
      </c>
      <c r="K35" s="2"/>
      <c r="L35" s="7">
        <f t="shared" si="14"/>
        <v>-976.6592284615399</v>
      </c>
      <c r="M35" s="2"/>
      <c r="N35" s="6">
        <f t="shared" si="15"/>
        <v>-0.39433268437719421</v>
      </c>
      <c r="O35" s="11"/>
      <c r="P35" s="7">
        <v>18915.330000000002</v>
      </c>
      <c r="Q35" s="2"/>
      <c r="R35" s="6">
        <f t="shared" si="16"/>
        <v>1.9534053969516959E-2</v>
      </c>
      <c r="S35" s="2"/>
      <c r="T35" s="7">
        <v>30904.837496538501</v>
      </c>
      <c r="U35" s="2"/>
      <c r="V35" s="6">
        <f t="shared" si="17"/>
        <v>1.8533424504631434E-2</v>
      </c>
      <c r="W35" s="2"/>
      <c r="X35" s="7">
        <f t="shared" si="18"/>
        <v>-11989.507496538499</v>
      </c>
      <c r="Y35" s="2"/>
      <c r="Z35" s="6">
        <f t="shared" si="19"/>
        <v>-0.38794921661961124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7">
        <v>296.38</v>
      </c>
      <c r="E36" s="2"/>
      <c r="F36" s="6">
        <f t="shared" si="12"/>
        <v>5.855935066654285E-3</v>
      </c>
      <c r="G36" s="2"/>
      <c r="H36" s="7">
        <v>1925</v>
      </c>
      <c r="I36" s="2"/>
      <c r="J36" s="6">
        <f t="shared" si="13"/>
        <v>1.6711665176362325E-2</v>
      </c>
      <c r="K36" s="2"/>
      <c r="L36" s="7">
        <f t="shared" si="14"/>
        <v>-1628.62</v>
      </c>
      <c r="M36" s="2"/>
      <c r="N36" s="6">
        <f t="shared" si="15"/>
        <v>-0.84603636363636359</v>
      </c>
      <c r="O36" s="11"/>
      <c r="P36" s="7">
        <v>8289.23</v>
      </c>
      <c r="Q36" s="2"/>
      <c r="R36" s="6">
        <f t="shared" si="16"/>
        <v>8.560372258149292E-3</v>
      </c>
      <c r="S36" s="2"/>
      <c r="T36" s="7">
        <v>21175</v>
      </c>
      <c r="U36" s="2"/>
      <c r="V36" s="6">
        <f t="shared" si="17"/>
        <v>1.2698505984039762E-2</v>
      </c>
      <c r="W36" s="2"/>
      <c r="X36" s="7">
        <f t="shared" si="18"/>
        <v>-12885.77</v>
      </c>
      <c r="Y36" s="2"/>
      <c r="Z36" s="6">
        <f t="shared" si="19"/>
        <v>-0.60853695395513574</v>
      </c>
    </row>
    <row r="37" spans="1:26" s="27" customFormat="1" outlineLevel="1" collapsed="1" x14ac:dyDescent="0.25">
      <c r="A37" s="26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41921.839999999997</v>
      </c>
      <c r="E37" s="1"/>
      <c r="F37" s="5">
        <f t="shared" ref="F37:F47" si="20">IF(D$12=0,0,D37/D$12)</f>
        <v>0.82830006381898313</v>
      </c>
      <c r="G37" s="1"/>
      <c r="H37" s="1">
        <f>SUM(OSRRefH22_1x_0)</f>
        <v>49167.347771538502</v>
      </c>
      <c r="I37" s="1"/>
      <c r="J37" s="5">
        <f t="shared" ref="J37:J47" si="21">IF(H$12=0,0,H37/H$12)</f>
        <v>0.42684065120400821</v>
      </c>
      <c r="K37" s="1"/>
      <c r="L37" s="1">
        <f t="shared" ref="L37:L47" si="22">+D37-H37</f>
        <v>-7245.507771538505</v>
      </c>
      <c r="M37" s="1"/>
      <c r="N37" s="5">
        <f t="shared" ref="N37:N47" si="23">IF(H37=0,0,L37/H37)</f>
        <v>-0.14736421832647056</v>
      </c>
      <c r="O37" s="13"/>
      <c r="P37" s="1">
        <f>SUM(OSRRefP22_1x_0)</f>
        <v>589643.54999999993</v>
      </c>
      <c r="Q37" s="1"/>
      <c r="R37" s="5">
        <f t="shared" ref="R37:R47" si="24">IF(P$12=0,0,P37/P$12)</f>
        <v>0.60893090041133668</v>
      </c>
      <c r="S37" s="1"/>
      <c r="T37" s="1">
        <f>SUM(OSRRefT22_1x_0)</f>
        <v>628289.76500346197</v>
      </c>
      <c r="U37" s="1"/>
      <c r="V37" s="5">
        <f t="shared" ref="V37:V47" si="25">IF(T$12=0,0,T37/T$12)</f>
        <v>0.37678117311014864</v>
      </c>
      <c r="W37" s="1"/>
      <c r="X37" s="1">
        <f t="shared" ref="X37:X47" si="26">+P37-T37</f>
        <v>-38646.215003462043</v>
      </c>
      <c r="Y37" s="1"/>
      <c r="Z37" s="5">
        <f t="shared" ref="Z37:Z47" si="27">IF(T37=0,0,X37/T37)</f>
        <v>-6.1510177558358116E-2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7">
        <v>14341.53</v>
      </c>
      <c r="E39" s="2"/>
      <c r="F39" s="6">
        <f t="shared" si="20"/>
        <v>0.28336280598041175</v>
      </c>
      <c r="G39" s="2"/>
      <c r="H39" s="7">
        <v>17815.8884615385</v>
      </c>
      <c r="I39" s="2"/>
      <c r="J39" s="6">
        <f t="shared" si="21"/>
        <v>0.15466657807202511</v>
      </c>
      <c r="K39" s="2"/>
      <c r="L39" s="7">
        <f t="shared" si="22"/>
        <v>-3474.3584615384989</v>
      </c>
      <c r="M39" s="2"/>
      <c r="N39" s="6">
        <f t="shared" si="23"/>
        <v>-0.19501460558866054</v>
      </c>
      <c r="O39" s="11"/>
      <c r="P39" s="7">
        <v>168846.79</v>
      </c>
      <c r="Q39" s="2"/>
      <c r="R39" s="6">
        <f t="shared" si="24"/>
        <v>0.17436979996858085</v>
      </c>
      <c r="S39" s="2"/>
      <c r="T39" s="7">
        <v>213790.66153846201</v>
      </c>
      <c r="U39" s="2"/>
      <c r="V39" s="6">
        <f t="shared" si="25"/>
        <v>0.12820883092694116</v>
      </c>
      <c r="W39" s="2"/>
      <c r="X39" s="7">
        <f t="shared" si="26"/>
        <v>-44943.871538462001</v>
      </c>
      <c r="Y39" s="2"/>
      <c r="Z39" s="6">
        <f t="shared" si="27"/>
        <v>-0.21022373575646741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7">
        <v>15665.42</v>
      </c>
      <c r="E41" s="2"/>
      <c r="F41" s="6">
        <f t="shared" si="20"/>
        <v>0.30952048826461759</v>
      </c>
      <c r="G41" s="2"/>
      <c r="H41" s="7">
        <v>18273.024000000001</v>
      </c>
      <c r="I41" s="2"/>
      <c r="J41" s="6">
        <f t="shared" si="21"/>
        <v>0.15863514745331586</v>
      </c>
      <c r="K41" s="2"/>
      <c r="L41" s="7">
        <f t="shared" si="22"/>
        <v>-2607.6040000000012</v>
      </c>
      <c r="M41" s="2"/>
      <c r="N41" s="6">
        <f t="shared" si="23"/>
        <v>-0.14270237920116566</v>
      </c>
      <c r="O41" s="11"/>
      <c r="P41" s="7">
        <v>184635.81</v>
      </c>
      <c r="Q41" s="2"/>
      <c r="R41" s="6">
        <f t="shared" si="24"/>
        <v>0.19067528175535287</v>
      </c>
      <c r="S41" s="2"/>
      <c r="T41" s="7">
        <v>219276.288</v>
      </c>
      <c r="U41" s="2"/>
      <c r="V41" s="6">
        <f t="shared" si="25"/>
        <v>0.13149852445459392</v>
      </c>
      <c r="W41" s="2"/>
      <c r="X41" s="7">
        <f t="shared" si="26"/>
        <v>-34640.478000000003</v>
      </c>
      <c r="Y41" s="2"/>
      <c r="Z41" s="6">
        <f t="shared" si="27"/>
        <v>-0.15797639733850294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7">
        <v>6092.92</v>
      </c>
      <c r="E42" s="2"/>
      <c r="F42" s="6">
        <f t="shared" si="20"/>
        <v>0.1203851268180013</v>
      </c>
      <c r="G42" s="2"/>
      <c r="H42" s="7">
        <v>3936.5539100000001</v>
      </c>
      <c r="I42" s="2"/>
      <c r="J42" s="6">
        <f t="shared" si="21"/>
        <v>3.4174738126036344E-2</v>
      </c>
      <c r="K42" s="2"/>
      <c r="L42" s="7">
        <f t="shared" si="22"/>
        <v>2156.36609</v>
      </c>
      <c r="M42" s="2"/>
      <c r="N42" s="6">
        <f t="shared" si="23"/>
        <v>0.54778014966902866</v>
      </c>
      <c r="O42" s="11"/>
      <c r="P42" s="7">
        <v>106066.99</v>
      </c>
      <c r="Q42" s="2"/>
      <c r="R42" s="6">
        <f t="shared" si="24"/>
        <v>0.10953646101041935</v>
      </c>
      <c r="S42" s="2"/>
      <c r="T42" s="7">
        <v>59678.391065000003</v>
      </c>
      <c r="U42" s="2"/>
      <c r="V42" s="6">
        <f t="shared" si="25"/>
        <v>3.5788732281311339E-2</v>
      </c>
      <c r="W42" s="2"/>
      <c r="X42" s="7">
        <f t="shared" si="26"/>
        <v>46388.598935000002</v>
      </c>
      <c r="Y42" s="2"/>
      <c r="Z42" s="6">
        <f t="shared" si="27"/>
        <v>0.77730981192966242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7">
        <v>252.7</v>
      </c>
      <c r="E43" s="2"/>
      <c r="F43" s="6">
        <f t="shared" si="20"/>
        <v>4.9928969274024484E-3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252.7</v>
      </c>
      <c r="M43" s="2"/>
      <c r="N43" s="6">
        <f t="shared" si="23"/>
        <v>0</v>
      </c>
      <c r="O43" s="11"/>
      <c r="P43" s="7">
        <v>2427.2199999999998</v>
      </c>
      <c r="Q43" s="2"/>
      <c r="R43" s="6">
        <f t="shared" si="24"/>
        <v>2.5066148185567444E-3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2427.2199999999998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7">
        <v>5569.27</v>
      </c>
      <c r="E44" s="2"/>
      <c r="F44" s="6">
        <f t="shared" si="20"/>
        <v>0.11003874582855021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5569.27</v>
      </c>
      <c r="M44" s="2"/>
      <c r="N44" s="6">
        <f t="shared" si="23"/>
        <v>0</v>
      </c>
      <c r="O44" s="11"/>
      <c r="P44" s="7">
        <v>117035.86</v>
      </c>
      <c r="Q44" s="2"/>
      <c r="R44" s="6">
        <f t="shared" si="24"/>
        <v>0.12086412479236845</v>
      </c>
      <c r="S44" s="2"/>
      <c r="T44" s="7">
        <v>9252.83</v>
      </c>
      <c r="U44" s="2"/>
      <c r="V44" s="6">
        <f t="shared" si="25"/>
        <v>5.5488603128360158E-3</v>
      </c>
      <c r="W44" s="2"/>
      <c r="X44" s="7">
        <f t="shared" si="26"/>
        <v>107783.03</v>
      </c>
      <c r="Y44" s="2"/>
      <c r="Z44" s="6">
        <f t="shared" si="27"/>
        <v>11.648655600502765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0"/>
        <v>0</v>
      </c>
      <c r="G45" s="2"/>
      <c r="H45" s="7">
        <v>9141.8814000000002</v>
      </c>
      <c r="I45" s="2"/>
      <c r="J45" s="6">
        <f t="shared" si="21"/>
        <v>7.9364187552630902E-2</v>
      </c>
      <c r="K45" s="2"/>
      <c r="L45" s="7">
        <f t="shared" si="22"/>
        <v>-9141.8814000000002</v>
      </c>
      <c r="M45" s="2"/>
      <c r="N45" s="6">
        <f t="shared" si="23"/>
        <v>-1</v>
      </c>
      <c r="O45" s="11"/>
      <c r="P45" s="7">
        <v>10630.88</v>
      </c>
      <c r="Q45" s="2"/>
      <c r="R45" s="6">
        <f t="shared" si="24"/>
        <v>1.0978618066058505E-2</v>
      </c>
      <c r="S45" s="2"/>
      <c r="T45" s="7">
        <v>126291.5944</v>
      </c>
      <c r="U45" s="2"/>
      <c r="V45" s="6">
        <f t="shared" si="25"/>
        <v>7.5736225134466234E-2</v>
      </c>
      <c r="W45" s="2"/>
      <c r="X45" s="7">
        <f t="shared" si="26"/>
        <v>-115660.7144</v>
      </c>
      <c r="Y45" s="2"/>
      <c r="Z45" s="6">
        <f t="shared" si="27"/>
        <v>-0.91582274299009081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7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70" si="28">IF(D$12=0,0,D48/D$12)</f>
        <v>0</v>
      </c>
      <c r="G48" s="1"/>
      <c r="H48" s="1">
        <f>SUM(OSRRefH22_2x_0)</f>
        <v>369</v>
      </c>
      <c r="I48" s="1"/>
      <c r="J48" s="5">
        <f t="shared" ref="J48:J70" si="29">IF(H$12=0,0,H48/H$12)</f>
        <v>3.2034308831572459E-3</v>
      </c>
      <c r="K48" s="1"/>
      <c r="L48" s="1">
        <f t="shared" ref="L48:L70" si="30">+D48-H48</f>
        <v>-369</v>
      </c>
      <c r="M48" s="1"/>
      <c r="N48" s="5">
        <f t="shared" ref="N48:N70" si="31">IF(H48=0,0,L48/H48)</f>
        <v>-1</v>
      </c>
      <c r="O48" s="13"/>
      <c r="P48" s="1">
        <f>SUM(OSRRefP22_2x_0)</f>
        <v>1363.18</v>
      </c>
      <c r="Q48" s="1"/>
      <c r="R48" s="5">
        <f t="shared" ref="R48:R70" si="32">IF(P$12=0,0,P48/P$12)</f>
        <v>1.4077698718534715E-3</v>
      </c>
      <c r="S48" s="1"/>
      <c r="T48" s="1">
        <f>SUM(OSRRefT22_2x_0)</f>
        <v>4059</v>
      </c>
      <c r="U48" s="1"/>
      <c r="V48" s="5">
        <f t="shared" ref="V48:V70" si="33">IF(T$12=0,0,T48/T$12)</f>
        <v>2.4341551730445049E-3</v>
      </c>
      <c r="W48" s="1"/>
      <c r="X48" s="1">
        <f t="shared" ref="X48:X70" si="34">+P48-T48</f>
        <v>-2695.8199999999997</v>
      </c>
      <c r="Y48" s="1"/>
      <c r="Z48" s="5">
        <f t="shared" ref="Z48:Z70" si="35">IF(T48=0,0,X48/T48)</f>
        <v>-0.66415865976841582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8"/>
        <v>0</v>
      </c>
      <c r="G49" s="2"/>
      <c r="H49" s="7">
        <v>369</v>
      </c>
      <c r="I49" s="2"/>
      <c r="J49" s="6">
        <f t="shared" si="29"/>
        <v>3.2034308831572459E-3</v>
      </c>
      <c r="K49" s="2"/>
      <c r="L49" s="7">
        <f t="shared" si="30"/>
        <v>-369</v>
      </c>
      <c r="M49" s="2"/>
      <c r="N49" s="6">
        <f t="shared" si="31"/>
        <v>-1</v>
      </c>
      <c r="O49" s="11"/>
      <c r="P49" s="7">
        <v>1363.18</v>
      </c>
      <c r="Q49" s="2"/>
      <c r="R49" s="6">
        <f t="shared" si="32"/>
        <v>1.4077698718534715E-3</v>
      </c>
      <c r="S49" s="2"/>
      <c r="T49" s="7">
        <v>4059</v>
      </c>
      <c r="U49" s="2"/>
      <c r="V49" s="6">
        <f t="shared" si="33"/>
        <v>2.4341551730445049E-3</v>
      </c>
      <c r="W49" s="2"/>
      <c r="X49" s="7">
        <f t="shared" si="34"/>
        <v>-2695.8199999999997</v>
      </c>
      <c r="Y49" s="2"/>
      <c r="Z49" s="6">
        <f t="shared" si="35"/>
        <v>-0.66415865976841582</v>
      </c>
    </row>
    <row r="50" spans="1:26" s="27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8</v>
      </c>
      <c r="I50" s="1"/>
      <c r="J50" s="5">
        <f t="shared" si="29"/>
        <v>6.9451076057609669E-5</v>
      </c>
      <c r="K50" s="1"/>
      <c r="L50" s="1">
        <f t="shared" si="30"/>
        <v>-8</v>
      </c>
      <c r="M50" s="1"/>
      <c r="N50" s="5">
        <f t="shared" si="31"/>
        <v>-1</v>
      </c>
      <c r="O50" s="13"/>
      <c r="P50" s="1">
        <f>SUM(OSRRefP22_3x_0)</f>
        <v>23.8</v>
      </c>
      <c r="Q50" s="1"/>
      <c r="R50" s="5">
        <f t="shared" si="32"/>
        <v>2.4578502435564359E-5</v>
      </c>
      <c r="S50" s="1"/>
      <c r="T50" s="1">
        <f>SUM(OSRRefT22_3x_0)</f>
        <v>80</v>
      </c>
      <c r="U50" s="1"/>
      <c r="V50" s="5">
        <f t="shared" si="33"/>
        <v>4.7975465347021531E-5</v>
      </c>
      <c r="W50" s="1"/>
      <c r="X50" s="1">
        <f t="shared" si="34"/>
        <v>-56.2</v>
      </c>
      <c r="Y50" s="1"/>
      <c r="Z50" s="5">
        <f t="shared" si="35"/>
        <v>-0.70250000000000001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8"/>
        <v>0</v>
      </c>
      <c r="G51" s="2"/>
      <c r="H51" s="7">
        <v>8</v>
      </c>
      <c r="I51" s="2"/>
      <c r="J51" s="6">
        <f t="shared" si="29"/>
        <v>6.9451076057609669E-5</v>
      </c>
      <c r="K51" s="2"/>
      <c r="L51" s="7">
        <f t="shared" si="30"/>
        <v>-8</v>
      </c>
      <c r="M51" s="2"/>
      <c r="N51" s="6">
        <f t="shared" si="31"/>
        <v>-1</v>
      </c>
      <c r="O51" s="11"/>
      <c r="P51" s="7">
        <v>23.8</v>
      </c>
      <c r="Q51" s="2"/>
      <c r="R51" s="6">
        <f t="shared" si="32"/>
        <v>2.4578502435564359E-5</v>
      </c>
      <c r="S51" s="2"/>
      <c r="T51" s="7">
        <v>80</v>
      </c>
      <c r="U51" s="2"/>
      <c r="V51" s="6">
        <f t="shared" si="33"/>
        <v>4.7975465347021531E-5</v>
      </c>
      <c r="W51" s="2"/>
      <c r="X51" s="7">
        <f t="shared" si="34"/>
        <v>-56.2</v>
      </c>
      <c r="Y51" s="2"/>
      <c r="Z51" s="6">
        <f t="shared" si="35"/>
        <v>-0.70250000000000001</v>
      </c>
    </row>
    <row r="52" spans="1:26" s="27" customFormat="1" outlineLevel="1" collapsed="1" x14ac:dyDescent="0.25">
      <c r="A52" s="26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77.19</v>
      </c>
      <c r="E52" s="1"/>
      <c r="F52" s="5">
        <f t="shared" si="28"/>
        <v>1.5251353930597349E-3</v>
      </c>
      <c r="G52" s="1"/>
      <c r="H52" s="1">
        <f>SUM(OSRRefH22_4x_0)</f>
        <v>135</v>
      </c>
      <c r="I52" s="1"/>
      <c r="J52" s="5">
        <f t="shared" si="29"/>
        <v>1.1719869084721632E-3</v>
      </c>
      <c r="K52" s="1"/>
      <c r="L52" s="1">
        <f t="shared" si="30"/>
        <v>-57.81</v>
      </c>
      <c r="M52" s="1"/>
      <c r="N52" s="5">
        <f t="shared" si="31"/>
        <v>-0.42822222222222223</v>
      </c>
      <c r="O52" s="13"/>
      <c r="P52" s="1">
        <f>SUM(OSRRefP22_4x_0)</f>
        <v>423.53</v>
      </c>
      <c r="Q52" s="1"/>
      <c r="R52" s="5">
        <f t="shared" si="32"/>
        <v>4.3738374523254501E-4</v>
      </c>
      <c r="S52" s="1"/>
      <c r="T52" s="1">
        <f>SUM(OSRRefT22_4x_0)</f>
        <v>1485</v>
      </c>
      <c r="U52" s="1"/>
      <c r="V52" s="5">
        <f t="shared" si="33"/>
        <v>8.9054457550408726E-4</v>
      </c>
      <c r="W52" s="1"/>
      <c r="X52" s="1">
        <f t="shared" si="34"/>
        <v>-1061.47</v>
      </c>
      <c r="Y52" s="1"/>
      <c r="Z52" s="5">
        <f t="shared" si="35"/>
        <v>-0.71479461279461276</v>
      </c>
    </row>
    <row r="53" spans="1:26" s="24" customFormat="1" hidden="1" outlineLevel="2" x14ac:dyDescent="0.25">
      <c r="A53" s="25"/>
      <c r="B53" s="11" t="str">
        <f>CONCATENATE("          ", "6381", " - ", "BANK/CREDIT CARD FEES")</f>
        <v xml:space="preserve">          6381 - BANK/CREDIT CARD FEES</v>
      </c>
      <c r="C53" s="11"/>
      <c r="D53" s="7">
        <v>77.19</v>
      </c>
      <c r="E53" s="2"/>
      <c r="F53" s="6">
        <f t="shared" si="28"/>
        <v>1.5251353930597349E-3</v>
      </c>
      <c r="G53" s="2"/>
      <c r="H53" s="7">
        <v>135</v>
      </c>
      <c r="I53" s="2"/>
      <c r="J53" s="6">
        <f t="shared" si="29"/>
        <v>1.1719869084721632E-3</v>
      </c>
      <c r="K53" s="2"/>
      <c r="L53" s="7">
        <f t="shared" si="30"/>
        <v>-57.81</v>
      </c>
      <c r="M53" s="2"/>
      <c r="N53" s="6">
        <f t="shared" si="31"/>
        <v>-0.42822222222222223</v>
      </c>
      <c r="O53" s="11"/>
      <c r="P53" s="7">
        <v>423.53</v>
      </c>
      <c r="Q53" s="2"/>
      <c r="R53" s="6">
        <f t="shared" si="32"/>
        <v>4.3738374523254501E-4</v>
      </c>
      <c r="S53" s="2"/>
      <c r="T53" s="7">
        <v>1485</v>
      </c>
      <c r="U53" s="2"/>
      <c r="V53" s="6">
        <f t="shared" si="33"/>
        <v>8.9054457550408726E-4</v>
      </c>
      <c r="W53" s="2"/>
      <c r="X53" s="7">
        <f t="shared" si="34"/>
        <v>-1061.47</v>
      </c>
      <c r="Y53" s="2"/>
      <c r="Z53" s="6">
        <f t="shared" si="35"/>
        <v>-0.71479461279461276</v>
      </c>
    </row>
    <row r="54" spans="1:26" s="27" customFormat="1" outlineLevel="1" collapsed="1" x14ac:dyDescent="0.25">
      <c r="A54" s="26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272.74</v>
      </c>
      <c r="E54" s="1"/>
      <c r="F54" s="5">
        <f t="shared" si="28"/>
        <v>5.3888512385427143E-3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272.74</v>
      </c>
      <c r="M54" s="1"/>
      <c r="N54" s="5">
        <f t="shared" si="31"/>
        <v>0</v>
      </c>
      <c r="O54" s="13"/>
      <c r="P54" s="1">
        <f>SUM(OSRRefP22_5x_0)</f>
        <v>2735.92</v>
      </c>
      <c r="Q54" s="1"/>
      <c r="R54" s="5">
        <f t="shared" si="32"/>
        <v>2.8254124530886233E-3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2735.92</v>
      </c>
      <c r="Y54" s="1"/>
      <c r="Z54" s="5">
        <f t="shared" si="35"/>
        <v>0</v>
      </c>
    </row>
    <row r="55" spans="1:26" s="24" customFormat="1" hidden="1" outlineLevel="2" x14ac:dyDescent="0.25">
      <c r="A55" s="25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272.74</v>
      </c>
      <c r="E55" s="2"/>
      <c r="F55" s="6">
        <f t="shared" si="28"/>
        <v>5.3888512385427143E-3</v>
      </c>
      <c r="G55" s="2"/>
      <c r="H55" s="7"/>
      <c r="I55" s="2"/>
      <c r="J55" s="6">
        <f t="shared" si="29"/>
        <v>0</v>
      </c>
      <c r="K55" s="2"/>
      <c r="L55" s="7">
        <f t="shared" si="30"/>
        <v>272.74</v>
      </c>
      <c r="M55" s="2"/>
      <c r="N55" s="6">
        <f t="shared" si="31"/>
        <v>0</v>
      </c>
      <c r="O55" s="11"/>
      <c r="P55" s="7">
        <v>2735.92</v>
      </c>
      <c r="Q55" s="2"/>
      <c r="R55" s="6">
        <f t="shared" si="32"/>
        <v>2.8254124530886233E-3</v>
      </c>
      <c r="S55" s="2"/>
      <c r="T55" s="7"/>
      <c r="U55" s="2"/>
      <c r="V55" s="6">
        <f t="shared" si="33"/>
        <v>0</v>
      </c>
      <c r="W55" s="2"/>
      <c r="X55" s="7">
        <f t="shared" si="34"/>
        <v>2735.92</v>
      </c>
      <c r="Y55" s="2"/>
      <c r="Z55" s="6">
        <f t="shared" si="35"/>
        <v>0</v>
      </c>
    </row>
    <row r="56" spans="1:26" s="27" customFormat="1" outlineLevel="1" collapsed="1" x14ac:dyDescent="0.25">
      <c r="A56" s="26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3603.41</v>
      </c>
      <c r="E56" s="1"/>
      <c r="F56" s="5">
        <f t="shared" si="28"/>
        <v>7.1196892430436309E-2</v>
      </c>
      <c r="G56" s="1"/>
      <c r="H56" s="1">
        <f>SUM(OSRRefH22_6x_0)</f>
        <v>3100</v>
      </c>
      <c r="I56" s="1"/>
      <c r="J56" s="5">
        <f t="shared" si="29"/>
        <v>2.6912291972323747E-2</v>
      </c>
      <c r="K56" s="1"/>
      <c r="L56" s="1">
        <f t="shared" si="30"/>
        <v>503.40999999999985</v>
      </c>
      <c r="M56" s="1"/>
      <c r="N56" s="5">
        <f t="shared" si="31"/>
        <v>0.16239032258064512</v>
      </c>
      <c r="O56" s="13"/>
      <c r="P56" s="1">
        <f>SUM(OSRRefP22_6x_0)</f>
        <v>61909.05</v>
      </c>
      <c r="Q56" s="1"/>
      <c r="R56" s="5">
        <f t="shared" si="32"/>
        <v>6.3934106563381332E-2</v>
      </c>
      <c r="S56" s="1"/>
      <c r="T56" s="1">
        <f>SUM(OSRRefT22_6x_0)</f>
        <v>33000</v>
      </c>
      <c r="U56" s="1"/>
      <c r="V56" s="5">
        <f t="shared" si="33"/>
        <v>1.9789879455646382E-2</v>
      </c>
      <c r="W56" s="1"/>
      <c r="X56" s="1">
        <f t="shared" si="34"/>
        <v>28909.050000000003</v>
      </c>
      <c r="Y56" s="1"/>
      <c r="Z56" s="5">
        <f t="shared" si="35"/>
        <v>0.8760318181818183</v>
      </c>
    </row>
    <row r="57" spans="1:26" s="24" customFormat="1" hidden="1" outlineLevel="2" x14ac:dyDescent="0.25">
      <c r="A57" s="25"/>
      <c r="B57" s="11" t="str">
        <f>CONCATENATE("          ", "6399", " - ", "DONATION-ON CAMPUS")</f>
        <v xml:space="preserve">          6399 - DONATION-ON CAMPUS</v>
      </c>
      <c r="C57" s="11"/>
      <c r="D57" s="7">
        <v>3603.41</v>
      </c>
      <c r="E57" s="2"/>
      <c r="F57" s="6">
        <f t="shared" si="28"/>
        <v>7.1196892430436309E-2</v>
      </c>
      <c r="G57" s="2"/>
      <c r="H57" s="7">
        <v>3100</v>
      </c>
      <c r="I57" s="2"/>
      <c r="J57" s="6">
        <f t="shared" si="29"/>
        <v>2.6912291972323747E-2</v>
      </c>
      <c r="K57" s="2"/>
      <c r="L57" s="7">
        <f t="shared" si="30"/>
        <v>503.40999999999985</v>
      </c>
      <c r="M57" s="2"/>
      <c r="N57" s="6">
        <f t="shared" si="31"/>
        <v>0.16239032258064512</v>
      </c>
      <c r="O57" s="11"/>
      <c r="P57" s="7">
        <v>61909.05</v>
      </c>
      <c r="Q57" s="2"/>
      <c r="R57" s="6">
        <f t="shared" si="32"/>
        <v>6.3934106563381332E-2</v>
      </c>
      <c r="S57" s="2"/>
      <c r="T57" s="7">
        <v>33000</v>
      </c>
      <c r="U57" s="2"/>
      <c r="V57" s="6">
        <f t="shared" si="33"/>
        <v>1.9789879455646382E-2</v>
      </c>
      <c r="W57" s="2"/>
      <c r="X57" s="7">
        <f t="shared" si="34"/>
        <v>28909.050000000003</v>
      </c>
      <c r="Y57" s="2"/>
      <c r="Z57" s="6">
        <f t="shared" si="35"/>
        <v>0.8760318181818183</v>
      </c>
    </row>
    <row r="58" spans="1:26" s="27" customFormat="1" outlineLevel="1" collapsed="1" x14ac:dyDescent="0.25">
      <c r="A58" s="26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150</v>
      </c>
      <c r="I58" s="1"/>
      <c r="J58" s="5">
        <f t="shared" si="29"/>
        <v>1.3022076760801813E-3</v>
      </c>
      <c r="K58" s="1"/>
      <c r="L58" s="1">
        <f t="shared" si="30"/>
        <v>-150</v>
      </c>
      <c r="M58" s="1"/>
      <c r="N58" s="5">
        <f t="shared" si="31"/>
        <v>-1</v>
      </c>
      <c r="O58" s="13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1500</v>
      </c>
      <c r="U58" s="1"/>
      <c r="V58" s="5">
        <f t="shared" si="33"/>
        <v>8.9953997525665374E-4</v>
      </c>
      <c r="W58" s="1"/>
      <c r="X58" s="1">
        <f t="shared" si="34"/>
        <v>-1500</v>
      </c>
      <c r="Y58" s="1"/>
      <c r="Z58" s="5">
        <f t="shared" si="35"/>
        <v>-1</v>
      </c>
    </row>
    <row r="59" spans="1:26" s="24" customFormat="1" hidden="1" outlineLevel="2" x14ac:dyDescent="0.25">
      <c r="A59" s="25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150</v>
      </c>
      <c r="I59" s="2"/>
      <c r="J59" s="6">
        <f t="shared" si="29"/>
        <v>1.3022076760801813E-3</v>
      </c>
      <c r="K59" s="2"/>
      <c r="L59" s="7">
        <f t="shared" si="30"/>
        <v>-150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1500</v>
      </c>
      <c r="U59" s="2"/>
      <c r="V59" s="6">
        <f t="shared" si="33"/>
        <v>8.9953997525665374E-4</v>
      </c>
      <c r="W59" s="2"/>
      <c r="X59" s="7">
        <f t="shared" si="34"/>
        <v>-1500</v>
      </c>
      <c r="Y59" s="2"/>
      <c r="Z59" s="6">
        <f t="shared" si="35"/>
        <v>-1</v>
      </c>
    </row>
    <row r="60" spans="1:26" s="27" customFormat="1" outlineLevel="1" collapsed="1" x14ac:dyDescent="0.25">
      <c r="A60" s="26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404.02</v>
      </c>
      <c r="E60" s="1"/>
      <c r="F60" s="5">
        <f t="shared" si="28"/>
        <v>7.982707624096308E-3</v>
      </c>
      <c r="G60" s="1"/>
      <c r="H60" s="1">
        <f>SUM(OSRRefH22_8x_0)</f>
        <v>290</v>
      </c>
      <c r="I60" s="1"/>
      <c r="J60" s="5">
        <f t="shared" si="29"/>
        <v>2.5176015070883504E-3</v>
      </c>
      <c r="K60" s="1"/>
      <c r="L60" s="1">
        <f t="shared" si="30"/>
        <v>114.01999999999998</v>
      </c>
      <c r="M60" s="1"/>
      <c r="N60" s="5">
        <f t="shared" si="31"/>
        <v>0.39317241379310336</v>
      </c>
      <c r="O60" s="13"/>
      <c r="P60" s="1">
        <f>SUM(OSRRefP22_8x_0)</f>
        <v>3574.85</v>
      </c>
      <c r="Q60" s="1"/>
      <c r="R60" s="5">
        <f t="shared" si="32"/>
        <v>3.6917840097385394E-3</v>
      </c>
      <c r="S60" s="1"/>
      <c r="T60" s="1">
        <f>SUM(OSRRefT22_8x_0)</f>
        <v>3190</v>
      </c>
      <c r="U60" s="1"/>
      <c r="V60" s="5">
        <f t="shared" si="33"/>
        <v>1.9130216807124836E-3</v>
      </c>
      <c r="W60" s="1"/>
      <c r="X60" s="1">
        <f t="shared" si="34"/>
        <v>384.84999999999991</v>
      </c>
      <c r="Y60" s="1"/>
      <c r="Z60" s="5">
        <f t="shared" si="35"/>
        <v>0.1206426332288401</v>
      </c>
    </row>
    <row r="61" spans="1:26" s="24" customFormat="1" hidden="1" outlineLevel="2" x14ac:dyDescent="0.25">
      <c r="A61" s="25"/>
      <c r="B61" s="11" t="str">
        <f>CONCATENATE("          ", "6351", " - ", "EQUIPMENT RENTAL")</f>
        <v xml:space="preserve">          6351 - EQUIPMENT RENTAL</v>
      </c>
      <c r="C61" s="11"/>
      <c r="D61" s="7">
        <v>404.02</v>
      </c>
      <c r="E61" s="2"/>
      <c r="F61" s="6">
        <f t="shared" si="28"/>
        <v>7.982707624096308E-3</v>
      </c>
      <c r="G61" s="2"/>
      <c r="H61" s="7">
        <v>290</v>
      </c>
      <c r="I61" s="2"/>
      <c r="J61" s="6">
        <f t="shared" si="29"/>
        <v>2.5176015070883504E-3</v>
      </c>
      <c r="K61" s="2"/>
      <c r="L61" s="7">
        <f t="shared" si="30"/>
        <v>114.01999999999998</v>
      </c>
      <c r="M61" s="2"/>
      <c r="N61" s="6">
        <f t="shared" si="31"/>
        <v>0.39317241379310336</v>
      </c>
      <c r="O61" s="11"/>
      <c r="P61" s="7">
        <v>3574.85</v>
      </c>
      <c r="Q61" s="2"/>
      <c r="R61" s="6">
        <f t="shared" si="32"/>
        <v>3.6917840097385394E-3</v>
      </c>
      <c r="S61" s="2"/>
      <c r="T61" s="7">
        <v>3190</v>
      </c>
      <c r="U61" s="2"/>
      <c r="V61" s="6">
        <f t="shared" si="33"/>
        <v>1.9130216807124836E-3</v>
      </c>
      <c r="W61" s="2"/>
      <c r="X61" s="7">
        <f t="shared" si="34"/>
        <v>384.84999999999991</v>
      </c>
      <c r="Y61" s="2"/>
      <c r="Z61" s="6">
        <f t="shared" si="35"/>
        <v>0.1206426332288401</v>
      </c>
    </row>
    <row r="62" spans="1:26" s="27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270</v>
      </c>
      <c r="I62" s="1"/>
      <c r="J62" s="5">
        <f t="shared" si="29"/>
        <v>2.3439738169443265E-3</v>
      </c>
      <c r="K62" s="1"/>
      <c r="L62" s="1">
        <f t="shared" si="30"/>
        <v>-270</v>
      </c>
      <c r="M62" s="1"/>
      <c r="N62" s="5">
        <f t="shared" si="31"/>
        <v>-1</v>
      </c>
      <c r="O62" s="13"/>
      <c r="P62" s="1">
        <f>SUM(OSRRefP22_9x_0)</f>
        <v>1888.78</v>
      </c>
      <c r="Q62" s="1"/>
      <c r="R62" s="5">
        <f t="shared" si="32"/>
        <v>1.9505623458086238E-3</v>
      </c>
      <c r="S62" s="1"/>
      <c r="T62" s="1">
        <f>SUM(OSRRefT22_9x_0)</f>
        <v>4450</v>
      </c>
      <c r="U62" s="1"/>
      <c r="V62" s="5">
        <f t="shared" si="33"/>
        <v>2.6686352599280729E-3</v>
      </c>
      <c r="W62" s="1"/>
      <c r="X62" s="1">
        <f t="shared" si="34"/>
        <v>-2561.2200000000003</v>
      </c>
      <c r="Y62" s="1"/>
      <c r="Z62" s="5">
        <f t="shared" si="35"/>
        <v>-0.57555505617977532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8"/>
        <v>0</v>
      </c>
      <c r="G63" s="2"/>
      <c r="H63" s="7">
        <v>270</v>
      </c>
      <c r="I63" s="2"/>
      <c r="J63" s="6">
        <f t="shared" si="29"/>
        <v>2.3439738169443265E-3</v>
      </c>
      <c r="K63" s="2"/>
      <c r="L63" s="7">
        <f t="shared" si="30"/>
        <v>-270</v>
      </c>
      <c r="M63" s="2"/>
      <c r="N63" s="6">
        <f t="shared" si="31"/>
        <v>-1</v>
      </c>
      <c r="O63" s="11"/>
      <c r="P63" s="7">
        <v>1888.78</v>
      </c>
      <c r="Q63" s="2"/>
      <c r="R63" s="6">
        <f t="shared" si="32"/>
        <v>1.9505623458086238E-3</v>
      </c>
      <c r="S63" s="2"/>
      <c r="T63" s="7">
        <v>4450</v>
      </c>
      <c r="U63" s="2"/>
      <c r="V63" s="6">
        <f t="shared" si="33"/>
        <v>2.6686352599280729E-3</v>
      </c>
      <c r="W63" s="2"/>
      <c r="X63" s="7">
        <f t="shared" si="34"/>
        <v>-2561.2200000000003</v>
      </c>
      <c r="Y63" s="2"/>
      <c r="Z63" s="6">
        <f t="shared" si="35"/>
        <v>-0.57555505617977532</v>
      </c>
    </row>
    <row r="64" spans="1:26" s="27" customFormat="1" outlineLevel="1" collapsed="1" x14ac:dyDescent="0.25">
      <c r="A64" s="26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3760.68</v>
      </c>
      <c r="E64" s="1"/>
      <c r="F64" s="5">
        <f t="shared" si="28"/>
        <v>7.4304264412124413E-2</v>
      </c>
      <c r="G64" s="1"/>
      <c r="H64" s="1">
        <f>SUM(OSRRefH22_10x_0)</f>
        <v>9215</v>
      </c>
      <c r="I64" s="1"/>
      <c r="J64" s="5">
        <f t="shared" si="29"/>
        <v>7.9998958233859135E-2</v>
      </c>
      <c r="K64" s="1"/>
      <c r="L64" s="1">
        <f t="shared" si="30"/>
        <v>-5454.32</v>
      </c>
      <c r="M64" s="1"/>
      <c r="N64" s="5">
        <f t="shared" si="31"/>
        <v>-0.59189582202930002</v>
      </c>
      <c r="O64" s="13"/>
      <c r="P64" s="1">
        <f>SUM(OSRRefP22_10x_0)</f>
        <v>67501.119999999995</v>
      </c>
      <c r="Q64" s="1"/>
      <c r="R64" s="5">
        <f t="shared" si="32"/>
        <v>6.9709094215265624E-2</v>
      </c>
      <c r="S64" s="1"/>
      <c r="T64" s="1">
        <f>SUM(OSRRefT22_10x_0)</f>
        <v>135678</v>
      </c>
      <c r="U64" s="1"/>
      <c r="V64" s="5">
        <f t="shared" si="33"/>
        <v>8.1365189841914848E-2</v>
      </c>
      <c r="W64" s="1"/>
      <c r="X64" s="1">
        <f t="shared" si="34"/>
        <v>-68176.88</v>
      </c>
      <c r="Y64" s="1"/>
      <c r="Z64" s="5">
        <f t="shared" si="35"/>
        <v>-0.50249030793496374</v>
      </c>
    </row>
    <row r="65" spans="1:26" s="24" customFormat="1" hidden="1" outlineLevel="2" x14ac:dyDescent="0.25">
      <c r="A65" s="25"/>
      <c r="B65" s="11" t="str">
        <f>CONCATENATE("          ", "6387", " - ", "COMMISSION DUE HOUSING")</f>
        <v xml:space="preserve">          6387 - COMMISSION DUE HOUSING</v>
      </c>
      <c r="C65" s="11"/>
      <c r="D65" s="7">
        <v>3760.68</v>
      </c>
      <c r="E65" s="2"/>
      <c r="F65" s="6">
        <f t="shared" si="28"/>
        <v>7.4304264412124413E-2</v>
      </c>
      <c r="G65" s="2"/>
      <c r="H65" s="7">
        <v>9215</v>
      </c>
      <c r="I65" s="2"/>
      <c r="J65" s="6">
        <f t="shared" si="29"/>
        <v>7.9998958233859135E-2</v>
      </c>
      <c r="K65" s="2"/>
      <c r="L65" s="7">
        <f t="shared" si="30"/>
        <v>-5454.32</v>
      </c>
      <c r="M65" s="2"/>
      <c r="N65" s="6">
        <f t="shared" si="31"/>
        <v>-0.59189582202930002</v>
      </c>
      <c r="O65" s="11"/>
      <c r="P65" s="7">
        <v>67501.119999999995</v>
      </c>
      <c r="Q65" s="2"/>
      <c r="R65" s="6">
        <f t="shared" si="32"/>
        <v>6.9709094215265624E-2</v>
      </c>
      <c r="S65" s="2"/>
      <c r="T65" s="7">
        <v>135678</v>
      </c>
      <c r="U65" s="2"/>
      <c r="V65" s="6">
        <f t="shared" si="33"/>
        <v>8.1365189841914848E-2</v>
      </c>
      <c r="W65" s="2"/>
      <c r="X65" s="7">
        <f t="shared" si="34"/>
        <v>-68176.88</v>
      </c>
      <c r="Y65" s="2"/>
      <c r="Z65" s="6">
        <f t="shared" si="35"/>
        <v>-0.50249030793496374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15.290000000000001</v>
      </c>
      <c r="E66" s="1"/>
      <c r="F66" s="5">
        <f t="shared" si="28"/>
        <v>3.0210286513646003E-4</v>
      </c>
      <c r="G66" s="1"/>
      <c r="H66" s="1">
        <f>SUM(OSRRefH22_11x_0)</f>
        <v>288</v>
      </c>
      <c r="I66" s="1"/>
      <c r="J66" s="5">
        <f t="shared" si="29"/>
        <v>2.500238738073948E-3</v>
      </c>
      <c r="K66" s="1"/>
      <c r="L66" s="1">
        <f t="shared" si="30"/>
        <v>-272.70999999999998</v>
      </c>
      <c r="M66" s="1"/>
      <c r="N66" s="5">
        <f t="shared" si="31"/>
        <v>-0.94690972222222214</v>
      </c>
      <c r="O66" s="13"/>
      <c r="P66" s="1">
        <f>SUM(OSRRefP22_11x_0)</f>
        <v>3515.0299999999997</v>
      </c>
      <c r="Q66" s="1"/>
      <c r="R66" s="5">
        <f t="shared" si="32"/>
        <v>3.6300072863899905E-3</v>
      </c>
      <c r="S66" s="1"/>
      <c r="T66" s="1">
        <f>SUM(OSRRefT22_11x_0)</f>
        <v>14751</v>
      </c>
      <c r="U66" s="1"/>
      <c r="V66" s="5">
        <f t="shared" si="33"/>
        <v>8.8460761166739323E-3</v>
      </c>
      <c r="W66" s="1"/>
      <c r="X66" s="1">
        <f t="shared" si="34"/>
        <v>-11235.970000000001</v>
      </c>
      <c r="Y66" s="1"/>
      <c r="Z66" s="5">
        <f t="shared" si="35"/>
        <v>-0.76170903667547973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8"/>
        <v>0</v>
      </c>
      <c r="G67" s="2"/>
      <c r="H67" s="7"/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/>
      <c r="Q67" s="2"/>
      <c r="R67" s="6">
        <f t="shared" si="32"/>
        <v>0</v>
      </c>
      <c r="S67" s="2"/>
      <c r="T67" s="7">
        <v>8500</v>
      </c>
      <c r="U67" s="2"/>
      <c r="V67" s="6">
        <f t="shared" si="33"/>
        <v>5.0973931931210378E-3</v>
      </c>
      <c r="W67" s="2"/>
      <c r="X67" s="7">
        <f t="shared" si="34"/>
        <v>-8500</v>
      </c>
      <c r="Y67" s="2"/>
      <c r="Z67" s="6">
        <f t="shared" si="35"/>
        <v>-1</v>
      </c>
    </row>
    <row r="68" spans="1:26" s="24" customFormat="1" hidden="1" outlineLevel="2" x14ac:dyDescent="0.25">
      <c r="A68" s="25"/>
      <c r="B68" s="11" t="str">
        <f>CONCATENATE("          ", "6372", " - ", "COMPUTER HARDWARE MAINTENANCE")</f>
        <v xml:space="preserve">          6372 - COMPUTER HARDWARE MAINTENANCE</v>
      </c>
      <c r="C68" s="11"/>
      <c r="D68" s="7"/>
      <c r="E68" s="2"/>
      <c r="F68" s="6">
        <f t="shared" si="28"/>
        <v>0</v>
      </c>
      <c r="G68" s="2"/>
      <c r="H68" s="7"/>
      <c r="I68" s="2"/>
      <c r="J68" s="6">
        <f t="shared" si="29"/>
        <v>0</v>
      </c>
      <c r="K68" s="2"/>
      <c r="L68" s="7">
        <f t="shared" si="30"/>
        <v>0</v>
      </c>
      <c r="M68" s="2"/>
      <c r="N68" s="6">
        <f t="shared" si="31"/>
        <v>0</v>
      </c>
      <c r="O68" s="11"/>
      <c r="P68" s="7"/>
      <c r="Q68" s="2"/>
      <c r="R68" s="6">
        <f t="shared" si="32"/>
        <v>0</v>
      </c>
      <c r="S68" s="2"/>
      <c r="T68" s="7">
        <v>3083</v>
      </c>
      <c r="U68" s="2"/>
      <c r="V68" s="6">
        <f t="shared" si="33"/>
        <v>1.8488544958108423E-3</v>
      </c>
      <c r="W68" s="2"/>
      <c r="X68" s="7">
        <f t="shared" si="34"/>
        <v>-3083</v>
      </c>
      <c r="Y68" s="2"/>
      <c r="Z68" s="6">
        <f t="shared" si="35"/>
        <v>-1</v>
      </c>
    </row>
    <row r="69" spans="1:26" s="24" customFormat="1" hidden="1" outlineLevel="2" x14ac:dyDescent="0.25">
      <c r="A69" s="25"/>
      <c r="B69" s="11" t="str">
        <f>CONCATENATE("          ", "6373", " - ", "MAINTENANCE CONTRACTS")</f>
        <v xml:space="preserve">          6373 - MAINTENANCE CONTRACTS</v>
      </c>
      <c r="C69" s="11"/>
      <c r="D69" s="7">
        <v>10.89</v>
      </c>
      <c r="E69" s="2"/>
      <c r="F69" s="6">
        <f t="shared" si="28"/>
        <v>2.1516678883819814E-4</v>
      </c>
      <c r="G69" s="2"/>
      <c r="H69" s="7">
        <v>38</v>
      </c>
      <c r="I69" s="2"/>
      <c r="J69" s="6">
        <f t="shared" si="29"/>
        <v>3.2989261127364594E-4</v>
      </c>
      <c r="K69" s="2"/>
      <c r="L69" s="7">
        <f t="shared" si="30"/>
        <v>-27.11</v>
      </c>
      <c r="M69" s="2"/>
      <c r="N69" s="6">
        <f t="shared" si="31"/>
        <v>-0.71342105263157896</v>
      </c>
      <c r="O69" s="11"/>
      <c r="P69" s="7">
        <v>1707.06</v>
      </c>
      <c r="Q69" s="2"/>
      <c r="R69" s="6">
        <f t="shared" si="32"/>
        <v>1.7628982507417853E-3</v>
      </c>
      <c r="S69" s="2"/>
      <c r="T69" s="7">
        <v>418</v>
      </c>
      <c r="U69" s="2"/>
      <c r="V69" s="6">
        <f t="shared" si="33"/>
        <v>2.506718064381875E-4</v>
      </c>
      <c r="W69" s="2"/>
      <c r="X69" s="7">
        <f t="shared" si="34"/>
        <v>1289.06</v>
      </c>
      <c r="Y69" s="2"/>
      <c r="Z69" s="6">
        <f t="shared" si="35"/>
        <v>3.0838755980861241</v>
      </c>
    </row>
    <row r="70" spans="1:26" s="24" customFormat="1" hidden="1" outlineLevel="2" x14ac:dyDescent="0.25">
      <c r="A70" s="25"/>
      <c r="B70" s="11" t="str">
        <f>CONCATENATE("          ", "6375", " - ", "OUTSIDE REPAIRS &amp; MAINTENANCE")</f>
        <v xml:space="preserve">          6375 - OUTSIDE REPAIRS &amp; MAINTENANCE</v>
      </c>
      <c r="C70" s="11"/>
      <c r="D70" s="7">
        <v>4.4000000000000004</v>
      </c>
      <c r="E70" s="2"/>
      <c r="F70" s="6">
        <f t="shared" si="28"/>
        <v>8.693607629826188E-5</v>
      </c>
      <c r="G70" s="2"/>
      <c r="H70" s="7">
        <v>250</v>
      </c>
      <c r="I70" s="2"/>
      <c r="J70" s="6">
        <f t="shared" si="29"/>
        <v>2.1703461268003021E-3</v>
      </c>
      <c r="K70" s="2"/>
      <c r="L70" s="7">
        <f t="shared" si="30"/>
        <v>-245.6</v>
      </c>
      <c r="M70" s="2"/>
      <c r="N70" s="6">
        <f t="shared" si="31"/>
        <v>-0.98239999999999994</v>
      </c>
      <c r="O70" s="11"/>
      <c r="P70" s="7">
        <v>1807.97</v>
      </c>
      <c r="Q70" s="2"/>
      <c r="R70" s="6">
        <f t="shared" si="32"/>
        <v>1.8671090356482056E-3</v>
      </c>
      <c r="S70" s="2"/>
      <c r="T70" s="7">
        <v>2750</v>
      </c>
      <c r="U70" s="2"/>
      <c r="V70" s="6">
        <f t="shared" si="33"/>
        <v>1.6491566213038653E-3</v>
      </c>
      <c r="W70" s="2"/>
      <c r="X70" s="7">
        <f t="shared" si="34"/>
        <v>-942.03</v>
      </c>
      <c r="Y70" s="2"/>
      <c r="Z70" s="6">
        <f t="shared" si="35"/>
        <v>-0.3425563636363636</v>
      </c>
    </row>
    <row r="71" spans="1:26" s="27" customFormat="1" outlineLevel="1" collapsed="1" x14ac:dyDescent="0.25">
      <c r="A71" s="26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SUM(OSRRefD22_12x_0)</f>
        <v>5960.22</v>
      </c>
      <c r="E71" s="1"/>
      <c r="F71" s="5">
        <f t="shared" ref="F71:F75" si="36">IF(D$12=0,0,D71/D$12)</f>
        <v>0.11776321378964236</v>
      </c>
      <c r="G71" s="1"/>
      <c r="H71" s="1">
        <f>SUM(OSRRefH22_12x_0)</f>
        <v>6521</v>
      </c>
      <c r="I71" s="1"/>
      <c r="J71" s="5">
        <f t="shared" ref="J71:J75" si="37">IF(H$12=0,0,H71/H$12)</f>
        <v>5.6611308371459078E-2</v>
      </c>
      <c r="K71" s="1"/>
      <c r="L71" s="1">
        <f t="shared" ref="L71:L75" si="38">+D71-H71</f>
        <v>-560.77999999999975</v>
      </c>
      <c r="M71" s="1"/>
      <c r="N71" s="5">
        <f t="shared" ref="N71:N75" si="39">IF(H71=0,0,L71/H71)</f>
        <v>-8.599601288145986E-2</v>
      </c>
      <c r="O71" s="13"/>
      <c r="P71" s="1">
        <f>SUM(OSRRefP22_12x_0)</f>
        <v>59359.009999999995</v>
      </c>
      <c r="Q71" s="1"/>
      <c r="R71" s="5">
        <f t="shared" ref="R71:R75" si="40">IF(P$12=0,0,P71/P$12)</f>
        <v>6.1300654279734829E-2</v>
      </c>
      <c r="S71" s="1"/>
      <c r="T71" s="1">
        <f>SUM(OSRRefT22_12x_0)</f>
        <v>69931</v>
      </c>
      <c r="U71" s="1"/>
      <c r="V71" s="5">
        <f t="shared" ref="V71:V75" si="41">IF(T$12=0,0,T71/T$12)</f>
        <v>4.1937153339782034E-2</v>
      </c>
      <c r="W71" s="1"/>
      <c r="X71" s="1">
        <f t="shared" ref="X71:X75" si="42">+P71-T71</f>
        <v>-10571.990000000005</v>
      </c>
      <c r="Y71" s="1"/>
      <c r="Z71" s="5">
        <f t="shared" ref="Z71:Z75" si="43">IF(T71=0,0,X71/T71)</f>
        <v>-0.15117744633996374</v>
      </c>
    </row>
    <row r="72" spans="1:26" s="24" customFormat="1" hidden="1" outlineLevel="2" x14ac:dyDescent="0.25">
      <c r="A72" s="25"/>
      <c r="B72" s="11" t="str">
        <f>CONCATENATE("          ", "6282", " - ", "JANITORIAL/EXTERMINATOR EXPENS")</f>
        <v xml:space="preserve">          6282 - JANITORIAL/EXTERMINATOR EXPENS</v>
      </c>
      <c r="C72" s="11"/>
      <c r="D72" s="7">
        <v>421.34</v>
      </c>
      <c r="E72" s="2"/>
      <c r="F72" s="6">
        <f t="shared" si="36"/>
        <v>8.3249196335249218E-3</v>
      </c>
      <c r="G72" s="2"/>
      <c r="H72" s="7">
        <v>450</v>
      </c>
      <c r="I72" s="2"/>
      <c r="J72" s="6">
        <f t="shared" si="37"/>
        <v>3.9066230282405441E-3</v>
      </c>
      <c r="K72" s="2"/>
      <c r="L72" s="7">
        <f t="shared" si="38"/>
        <v>-28.660000000000025</v>
      </c>
      <c r="M72" s="2"/>
      <c r="N72" s="6">
        <f t="shared" si="39"/>
        <v>-6.3688888888888948E-2</v>
      </c>
      <c r="O72" s="11"/>
      <c r="P72" s="7">
        <v>4502.78</v>
      </c>
      <c r="Q72" s="2"/>
      <c r="R72" s="6">
        <f t="shared" si="40"/>
        <v>4.6500667729752303E-3</v>
      </c>
      <c r="S72" s="2"/>
      <c r="T72" s="7">
        <v>4950</v>
      </c>
      <c r="U72" s="2"/>
      <c r="V72" s="6">
        <f t="shared" si="41"/>
        <v>2.9684819183469573E-3</v>
      </c>
      <c r="W72" s="2"/>
      <c r="X72" s="7">
        <f t="shared" si="42"/>
        <v>-447.22000000000025</v>
      </c>
      <c r="Y72" s="2"/>
      <c r="Z72" s="6">
        <f t="shared" si="43"/>
        <v>-9.0347474747474801E-2</v>
      </c>
    </row>
    <row r="73" spans="1:26" s="24" customFormat="1" hidden="1" outlineLevel="2" x14ac:dyDescent="0.25">
      <c r="A73" s="25"/>
      <c r="B73" s="11" t="str">
        <f>CONCATENATE("          ", "6284", " - ", "TRASH REMOVAL EXPENSE")</f>
        <v xml:space="preserve">          6284 - TRASH REMOVAL EXPENSE</v>
      </c>
      <c r="C73" s="11"/>
      <c r="D73" s="7"/>
      <c r="E73" s="2"/>
      <c r="F73" s="6">
        <f t="shared" si="36"/>
        <v>0</v>
      </c>
      <c r="G73" s="2"/>
      <c r="H73" s="7"/>
      <c r="I73" s="2"/>
      <c r="J73" s="6">
        <f t="shared" si="37"/>
        <v>0</v>
      </c>
      <c r="K73" s="2"/>
      <c r="L73" s="7">
        <f t="shared" si="38"/>
        <v>0</v>
      </c>
      <c r="M73" s="2"/>
      <c r="N73" s="6">
        <f t="shared" si="39"/>
        <v>0</v>
      </c>
      <c r="O73" s="11"/>
      <c r="P73" s="7">
        <v>282.75</v>
      </c>
      <c r="Q73" s="2"/>
      <c r="R73" s="6">
        <f t="shared" si="40"/>
        <v>2.9199880519562276E-4</v>
      </c>
      <c r="S73" s="2"/>
      <c r="T73" s="7"/>
      <c r="U73" s="2"/>
      <c r="V73" s="6">
        <f t="shared" si="41"/>
        <v>0</v>
      </c>
      <c r="W73" s="2"/>
      <c r="X73" s="7">
        <f t="shared" si="42"/>
        <v>282.75</v>
      </c>
      <c r="Y73" s="2"/>
      <c r="Z73" s="6">
        <f t="shared" si="43"/>
        <v>0</v>
      </c>
    </row>
    <row r="74" spans="1:26" s="24" customFormat="1" hidden="1" outlineLevel="2" x14ac:dyDescent="0.25">
      <c r="A74" s="25"/>
      <c r="B74" s="11" t="str">
        <f>CONCATENATE("          ", "6285", " - ", "JANITORIAL SERVICES")</f>
        <v xml:space="preserve">          6285 - JANITORIAL SERVICES</v>
      </c>
      <c r="C74" s="11"/>
      <c r="D74" s="7">
        <v>4468.33</v>
      </c>
      <c r="E74" s="2"/>
      <c r="F74" s="6">
        <f t="shared" si="36"/>
        <v>8.8286154046775561E-2</v>
      </c>
      <c r="G74" s="2"/>
      <c r="H74" s="7">
        <v>4571</v>
      </c>
      <c r="I74" s="2"/>
      <c r="J74" s="6">
        <f t="shared" si="37"/>
        <v>3.9682608582416727E-2</v>
      </c>
      <c r="K74" s="2"/>
      <c r="L74" s="7">
        <f t="shared" si="38"/>
        <v>-102.67000000000007</v>
      </c>
      <c r="M74" s="2"/>
      <c r="N74" s="6">
        <f t="shared" si="39"/>
        <v>-2.2461168234522003E-2</v>
      </c>
      <c r="O74" s="11"/>
      <c r="P74" s="7">
        <v>45623.27</v>
      </c>
      <c r="Q74" s="2"/>
      <c r="R74" s="6">
        <f t="shared" si="40"/>
        <v>4.7115615664428998E-2</v>
      </c>
      <c r="S74" s="2"/>
      <c r="T74" s="7">
        <v>48481</v>
      </c>
      <c r="U74" s="2"/>
      <c r="V74" s="6">
        <f t="shared" si="41"/>
        <v>2.9073731693611885E-2</v>
      </c>
      <c r="W74" s="2"/>
      <c r="X74" s="7">
        <f t="shared" si="42"/>
        <v>-2857.7300000000032</v>
      </c>
      <c r="Y74" s="2"/>
      <c r="Z74" s="6">
        <f t="shared" si="43"/>
        <v>-5.894536003795308E-2</v>
      </c>
    </row>
    <row r="75" spans="1:26" s="24" customFormat="1" hidden="1" outlineLevel="2" x14ac:dyDescent="0.25">
      <c r="A75" s="25"/>
      <c r="B75" s="11" t="str">
        <f>CONCATENATE("          ", "6286", " - ", "LAUNDRY EXPENSE")</f>
        <v xml:space="preserve">          6286 - LAUNDRY EXPENSE</v>
      </c>
      <c r="C75" s="11"/>
      <c r="D75" s="7">
        <v>1070.55</v>
      </c>
      <c r="E75" s="2"/>
      <c r="F75" s="6">
        <f t="shared" si="36"/>
        <v>2.1152140109341872E-2</v>
      </c>
      <c r="G75" s="2"/>
      <c r="H75" s="7">
        <v>1500</v>
      </c>
      <c r="I75" s="2"/>
      <c r="J75" s="6">
        <f t="shared" si="37"/>
        <v>1.3022076760801813E-2</v>
      </c>
      <c r="K75" s="2"/>
      <c r="L75" s="7">
        <f t="shared" si="38"/>
        <v>-429.45000000000005</v>
      </c>
      <c r="M75" s="2"/>
      <c r="N75" s="6">
        <f t="shared" si="39"/>
        <v>-0.28630000000000005</v>
      </c>
      <c r="O75" s="11"/>
      <c r="P75" s="7">
        <v>8950.2099999999991</v>
      </c>
      <c r="Q75" s="2"/>
      <c r="R75" s="6">
        <f t="shared" si="40"/>
        <v>9.2429730371349772E-3</v>
      </c>
      <c r="S75" s="2"/>
      <c r="T75" s="7">
        <v>16500</v>
      </c>
      <c r="U75" s="2"/>
      <c r="V75" s="6">
        <f t="shared" si="41"/>
        <v>9.8949397278231908E-3</v>
      </c>
      <c r="W75" s="2"/>
      <c r="X75" s="7">
        <f t="shared" si="42"/>
        <v>-7549.7900000000009</v>
      </c>
      <c r="Y75" s="2"/>
      <c r="Z75" s="6">
        <f t="shared" si="43"/>
        <v>-0.45756303030303036</v>
      </c>
    </row>
    <row r="76" spans="1:26" s="27" customFormat="1" outlineLevel="1" collapsed="1" x14ac:dyDescent="0.25">
      <c r="A76" s="26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SUM(OSRRefD22_13x_0)</f>
        <v>0</v>
      </c>
      <c r="E76" s="1"/>
      <c r="F76" s="5">
        <f t="shared" ref="F76:F87" si="44">IF(D$12=0,0,D76/D$12)</f>
        <v>0</v>
      </c>
      <c r="G76" s="1"/>
      <c r="H76" s="1">
        <f>SUM(OSRRefH22_13x_0)</f>
        <v>0</v>
      </c>
      <c r="I76" s="1"/>
      <c r="J76" s="5">
        <f t="shared" ref="J76:J87" si="45">IF(H$12=0,0,H76/H$12)</f>
        <v>0</v>
      </c>
      <c r="K76" s="1"/>
      <c r="L76" s="1">
        <f t="shared" ref="L76:L87" si="46">+D76-H76</f>
        <v>0</v>
      </c>
      <c r="M76" s="1"/>
      <c r="N76" s="5">
        <f t="shared" ref="N76:N87" si="47">IF(H76=0,0,L76/H76)</f>
        <v>0</v>
      </c>
      <c r="O76" s="13"/>
      <c r="P76" s="1">
        <f>SUM(OSRRefP22_13x_0)</f>
        <v>795</v>
      </c>
      <c r="Q76" s="1"/>
      <c r="R76" s="5">
        <f t="shared" ref="R76:R87" si="48">IF(P$12=0,0,P76/P$12)</f>
        <v>8.2100459816275898E-4</v>
      </c>
      <c r="S76" s="1"/>
      <c r="T76" s="1">
        <f>SUM(OSRRefT22_13x_0)</f>
        <v>0</v>
      </c>
      <c r="U76" s="1"/>
      <c r="V76" s="5">
        <f t="shared" ref="V76:V87" si="49">IF(T$12=0,0,T76/T$12)</f>
        <v>0</v>
      </c>
      <c r="W76" s="1"/>
      <c r="X76" s="1">
        <f t="shared" ref="X76:X87" si="50">+P76-T76</f>
        <v>795</v>
      </c>
      <c r="Y76" s="1"/>
      <c r="Z76" s="5">
        <f t="shared" ref="Z76:Z87" si="51">IF(T76=0,0,X76/T76)</f>
        <v>0</v>
      </c>
    </row>
    <row r="77" spans="1:26" s="24" customFormat="1" hidden="1" outlineLevel="2" x14ac:dyDescent="0.25">
      <c r="A77" s="25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44"/>
        <v>0</v>
      </c>
      <c r="G77" s="2"/>
      <c r="H77" s="7"/>
      <c r="I77" s="2"/>
      <c r="J77" s="6">
        <f t="shared" si="45"/>
        <v>0</v>
      </c>
      <c r="K77" s="2"/>
      <c r="L77" s="7">
        <f t="shared" si="46"/>
        <v>0</v>
      </c>
      <c r="M77" s="2"/>
      <c r="N77" s="6">
        <f t="shared" si="47"/>
        <v>0</v>
      </c>
      <c r="O77" s="11"/>
      <c r="P77" s="7">
        <v>795</v>
      </c>
      <c r="Q77" s="2"/>
      <c r="R77" s="6">
        <f t="shared" si="48"/>
        <v>8.2100459816275898E-4</v>
      </c>
      <c r="S77" s="2"/>
      <c r="T77" s="7"/>
      <c r="U77" s="2"/>
      <c r="V77" s="6">
        <f t="shared" si="49"/>
        <v>0</v>
      </c>
      <c r="W77" s="2"/>
      <c r="X77" s="7">
        <f t="shared" si="50"/>
        <v>795</v>
      </c>
      <c r="Y77" s="2"/>
      <c r="Z77" s="6">
        <f t="shared" si="51"/>
        <v>0</v>
      </c>
    </row>
    <row r="78" spans="1:26" s="27" customFormat="1" outlineLevel="1" collapsed="1" x14ac:dyDescent="0.25">
      <c r="A78" s="26"/>
      <c r="B78" s="13" t="str">
        <f>CONCATENATE("     ","Supplies                                          ")</f>
        <v xml:space="preserve">     Supplies                                          </v>
      </c>
      <c r="C78" s="13"/>
      <c r="D78" s="1">
        <f>SUM(OSRRefD22_14x_0)</f>
        <v>9812.35</v>
      </c>
      <c r="E78" s="1"/>
      <c r="F78" s="5">
        <f t="shared" si="44"/>
        <v>0.19387436551482951</v>
      </c>
      <c r="G78" s="1"/>
      <c r="H78" s="1">
        <f>SUM(OSRRefH22_14x_0)</f>
        <v>8018</v>
      </c>
      <c r="I78" s="1"/>
      <c r="J78" s="5">
        <f t="shared" si="45"/>
        <v>6.9607340978739288E-2</v>
      </c>
      <c r="K78" s="1"/>
      <c r="L78" s="1">
        <f t="shared" si="46"/>
        <v>1794.3500000000004</v>
      </c>
      <c r="M78" s="1"/>
      <c r="N78" s="5">
        <f t="shared" si="47"/>
        <v>0.22379022200049892</v>
      </c>
      <c r="O78" s="13"/>
      <c r="P78" s="1">
        <f>SUM(OSRRefP22_14x_0)</f>
        <v>127988.28</v>
      </c>
      <c r="Q78" s="1"/>
      <c r="R78" s="5">
        <f t="shared" si="48"/>
        <v>0.13217480049175181</v>
      </c>
      <c r="S78" s="1"/>
      <c r="T78" s="1">
        <f>SUM(OSRRefT22_14x_0)</f>
        <v>81500</v>
      </c>
      <c r="U78" s="1"/>
      <c r="V78" s="5">
        <f t="shared" si="49"/>
        <v>4.8875005322278189E-2</v>
      </c>
      <c r="W78" s="1"/>
      <c r="X78" s="1">
        <f t="shared" si="50"/>
        <v>46488.28</v>
      </c>
      <c r="Y78" s="1"/>
      <c r="Z78" s="5">
        <f t="shared" si="51"/>
        <v>0.57040834355828218</v>
      </c>
    </row>
    <row r="79" spans="1:26" s="24" customFormat="1" hidden="1" outlineLevel="2" x14ac:dyDescent="0.25">
      <c r="A79" s="25"/>
      <c r="B79" s="11" t="str">
        <f>CONCATENATE("          ", "6235", " - ", "COVID-19 EXPENSES")</f>
        <v xml:space="preserve">          6235 - COVID-19 EXPENSES</v>
      </c>
      <c r="C79" s="11"/>
      <c r="D79" s="7">
        <v>2921.2</v>
      </c>
      <c r="E79" s="2"/>
      <c r="F79" s="6">
        <f t="shared" si="44"/>
        <v>5.7717651382382398E-2</v>
      </c>
      <c r="G79" s="2"/>
      <c r="H79" s="7">
        <v>4000</v>
      </c>
      <c r="I79" s="2"/>
      <c r="J79" s="6">
        <f t="shared" si="45"/>
        <v>3.4725538028804834E-2</v>
      </c>
      <c r="K79" s="2"/>
      <c r="L79" s="7">
        <f t="shared" si="46"/>
        <v>-1078.8000000000002</v>
      </c>
      <c r="M79" s="2"/>
      <c r="N79" s="6">
        <f t="shared" si="47"/>
        <v>-0.26970000000000005</v>
      </c>
      <c r="O79" s="11"/>
      <c r="P79" s="7">
        <v>53097.67</v>
      </c>
      <c r="Q79" s="2"/>
      <c r="R79" s="6">
        <f t="shared" si="48"/>
        <v>5.483450468141985E-2</v>
      </c>
      <c r="S79" s="2"/>
      <c r="T79" s="7">
        <v>40000</v>
      </c>
      <c r="U79" s="2"/>
      <c r="V79" s="6">
        <f t="shared" si="49"/>
        <v>2.3987732673510766E-2</v>
      </c>
      <c r="W79" s="2"/>
      <c r="X79" s="7">
        <f t="shared" si="50"/>
        <v>13097.669999999998</v>
      </c>
      <c r="Y79" s="2"/>
      <c r="Z79" s="6">
        <f t="shared" si="51"/>
        <v>0.32744174999999998</v>
      </c>
    </row>
    <row r="80" spans="1:26" s="24" customFormat="1" hidden="1" outlineLevel="2" x14ac:dyDescent="0.25">
      <c r="A80" s="25"/>
      <c r="B80" s="11" t="str">
        <f>CONCATENATE("          ", "6237", " - ", "JANITORIAL SUPPLIES")</f>
        <v xml:space="preserve">          6237 - JANITORIAL SUPPLIES</v>
      </c>
      <c r="C80" s="11"/>
      <c r="D80" s="7">
        <v>1425.01</v>
      </c>
      <c r="E80" s="2"/>
      <c r="F80" s="6">
        <f t="shared" si="44"/>
        <v>2.8155631383133213E-2</v>
      </c>
      <c r="G80" s="2"/>
      <c r="H80" s="7">
        <v>3000</v>
      </c>
      <c r="I80" s="2"/>
      <c r="J80" s="6">
        <f t="shared" si="45"/>
        <v>2.6044153521603625E-2</v>
      </c>
      <c r="K80" s="2"/>
      <c r="L80" s="7">
        <f t="shared" si="46"/>
        <v>-1574.99</v>
      </c>
      <c r="M80" s="2"/>
      <c r="N80" s="6">
        <f t="shared" si="47"/>
        <v>-0.52499666666666667</v>
      </c>
      <c r="O80" s="11"/>
      <c r="P80" s="7">
        <v>18476.8</v>
      </c>
      <c r="Q80" s="2"/>
      <c r="R80" s="6">
        <f t="shared" si="48"/>
        <v>1.9081179571488888E-2</v>
      </c>
      <c r="S80" s="2"/>
      <c r="T80" s="7">
        <v>30000</v>
      </c>
      <c r="U80" s="2"/>
      <c r="V80" s="6">
        <f t="shared" si="49"/>
        <v>1.7990799505133076E-2</v>
      </c>
      <c r="W80" s="2"/>
      <c r="X80" s="7">
        <f t="shared" si="50"/>
        <v>-11523.2</v>
      </c>
      <c r="Y80" s="2"/>
      <c r="Z80" s="6">
        <f t="shared" si="51"/>
        <v>-0.38410666666666671</v>
      </c>
    </row>
    <row r="81" spans="1:26" s="24" customFormat="1" hidden="1" outlineLevel="2" x14ac:dyDescent="0.25">
      <c r="A81" s="25"/>
      <c r="B81" s="11" t="str">
        <f>CONCATENATE("          ", "6239", " - ", "KITCHEN SUPPLIES")</f>
        <v xml:space="preserve">          6239 - KITCHEN SUPPLIES</v>
      </c>
      <c r="C81" s="11"/>
      <c r="D81" s="7">
        <v>618.89</v>
      </c>
      <c r="E81" s="2"/>
      <c r="F81" s="6">
        <f t="shared" si="44"/>
        <v>1.2228151877325292E-2</v>
      </c>
      <c r="G81" s="2"/>
      <c r="H81" s="7">
        <v>500</v>
      </c>
      <c r="I81" s="2"/>
      <c r="J81" s="6">
        <f t="shared" si="45"/>
        <v>4.3406922536006042E-3</v>
      </c>
      <c r="K81" s="2"/>
      <c r="L81" s="7">
        <f t="shared" si="46"/>
        <v>118.88999999999999</v>
      </c>
      <c r="M81" s="2"/>
      <c r="N81" s="6">
        <f t="shared" si="47"/>
        <v>0.23777999999999996</v>
      </c>
      <c r="O81" s="11"/>
      <c r="P81" s="7">
        <v>6835.2</v>
      </c>
      <c r="Q81" s="2"/>
      <c r="R81" s="6">
        <f t="shared" si="48"/>
        <v>7.0587806658642645E-3</v>
      </c>
      <c r="S81" s="2"/>
      <c r="T81" s="7">
        <v>5000</v>
      </c>
      <c r="U81" s="2"/>
      <c r="V81" s="6">
        <f t="shared" si="49"/>
        <v>2.9984665841888457E-3</v>
      </c>
      <c r="W81" s="2"/>
      <c r="X81" s="7">
        <f t="shared" si="50"/>
        <v>1835.1999999999998</v>
      </c>
      <c r="Y81" s="2"/>
      <c r="Z81" s="6">
        <f t="shared" si="51"/>
        <v>0.36703999999999998</v>
      </c>
    </row>
    <row r="82" spans="1:26" s="24" customFormat="1" hidden="1" outlineLevel="2" x14ac:dyDescent="0.25">
      <c r="A82" s="25"/>
      <c r="B82" s="11" t="str">
        <f>CONCATENATE("          ", "6241", " - ", "OFFICE EXPENSE")</f>
        <v xml:space="preserve">          6241 - OFFICE EXPENSE</v>
      </c>
      <c r="C82" s="11"/>
      <c r="D82" s="7">
        <v>1504.3</v>
      </c>
      <c r="E82" s="2"/>
      <c r="F82" s="6">
        <f t="shared" si="44"/>
        <v>2.9722258994426209E-2</v>
      </c>
      <c r="G82" s="2"/>
      <c r="H82" s="7">
        <v>150</v>
      </c>
      <c r="I82" s="2"/>
      <c r="J82" s="6">
        <f t="shared" si="45"/>
        <v>1.3022076760801813E-3</v>
      </c>
      <c r="K82" s="2"/>
      <c r="L82" s="7">
        <f t="shared" si="46"/>
        <v>1354.3</v>
      </c>
      <c r="M82" s="2"/>
      <c r="N82" s="6">
        <f t="shared" si="47"/>
        <v>9.0286666666666662</v>
      </c>
      <c r="O82" s="11"/>
      <c r="P82" s="7">
        <v>9368.7000000000007</v>
      </c>
      <c r="Q82" s="2"/>
      <c r="R82" s="6">
        <f t="shared" si="48"/>
        <v>9.6751519230282267E-3</v>
      </c>
      <c r="S82" s="2"/>
      <c r="T82" s="7">
        <v>1650</v>
      </c>
      <c r="U82" s="2"/>
      <c r="V82" s="6">
        <f t="shared" si="49"/>
        <v>9.8949397278231903E-4</v>
      </c>
      <c r="W82" s="2"/>
      <c r="X82" s="7">
        <f t="shared" si="50"/>
        <v>7718.7000000000007</v>
      </c>
      <c r="Y82" s="2"/>
      <c r="Z82" s="6">
        <f t="shared" si="51"/>
        <v>4.6780000000000008</v>
      </c>
    </row>
    <row r="83" spans="1:26" s="24" customFormat="1" hidden="1" outlineLevel="2" x14ac:dyDescent="0.25">
      <c r="A83" s="25"/>
      <c r="B83" s="11" t="str">
        <f>CONCATENATE("          ", "6243", " - ", "PAPER SUPPLIES")</f>
        <v xml:space="preserve">          6243 - PAPER SUPPLIES</v>
      </c>
      <c r="C83" s="11"/>
      <c r="D83" s="7">
        <v>3342.95</v>
      </c>
      <c r="E83" s="2"/>
      <c r="F83" s="6">
        <f t="shared" si="44"/>
        <v>6.6050671877562389E-2</v>
      </c>
      <c r="G83" s="2"/>
      <c r="H83" s="7"/>
      <c r="I83" s="2"/>
      <c r="J83" s="6">
        <f t="shared" si="45"/>
        <v>0</v>
      </c>
      <c r="K83" s="2"/>
      <c r="L83" s="7">
        <f t="shared" si="46"/>
        <v>3342.95</v>
      </c>
      <c r="M83" s="2"/>
      <c r="N83" s="6">
        <f t="shared" si="47"/>
        <v>0</v>
      </c>
      <c r="O83" s="11"/>
      <c r="P83" s="7">
        <v>35709.32</v>
      </c>
      <c r="Q83" s="2"/>
      <c r="R83" s="6">
        <f t="shared" si="48"/>
        <v>3.6877378512283489E-2</v>
      </c>
      <c r="S83" s="2"/>
      <c r="T83" s="7"/>
      <c r="U83" s="2"/>
      <c r="V83" s="6">
        <f t="shared" si="49"/>
        <v>0</v>
      </c>
      <c r="W83" s="2"/>
      <c r="X83" s="7">
        <f t="shared" si="50"/>
        <v>35709.32</v>
      </c>
      <c r="Y83" s="2"/>
      <c r="Z83" s="6">
        <f t="shared" si="51"/>
        <v>0</v>
      </c>
    </row>
    <row r="84" spans="1:26" s="24" customFormat="1" hidden="1" outlineLevel="2" x14ac:dyDescent="0.25">
      <c r="A84" s="25"/>
      <c r="B84" s="11" t="str">
        <f>CONCATENATE("          ", "6244", " - ", "SAFETY SUPPLY EXPENSE")</f>
        <v xml:space="preserve">          6244 - SAFETY SUPPLY EXPENSE</v>
      </c>
      <c r="C84" s="11"/>
      <c r="D84" s="7"/>
      <c r="E84" s="2"/>
      <c r="F84" s="6">
        <f t="shared" si="44"/>
        <v>0</v>
      </c>
      <c r="G84" s="2"/>
      <c r="H84" s="7">
        <v>0</v>
      </c>
      <c r="I84" s="2"/>
      <c r="J84" s="6">
        <f t="shared" si="45"/>
        <v>0</v>
      </c>
      <c r="K84" s="2"/>
      <c r="L84" s="7">
        <f t="shared" si="46"/>
        <v>0</v>
      </c>
      <c r="M84" s="2"/>
      <c r="N84" s="6">
        <f t="shared" si="47"/>
        <v>0</v>
      </c>
      <c r="O84" s="11"/>
      <c r="P84" s="7"/>
      <c r="Q84" s="2"/>
      <c r="R84" s="6">
        <f t="shared" si="48"/>
        <v>0</v>
      </c>
      <c r="S84" s="2"/>
      <c r="T84" s="7">
        <v>320</v>
      </c>
      <c r="U84" s="2"/>
      <c r="V84" s="6">
        <f t="shared" si="49"/>
        <v>1.9190186138808612E-4</v>
      </c>
      <c r="W84" s="2"/>
      <c r="X84" s="7">
        <f t="shared" si="50"/>
        <v>-320</v>
      </c>
      <c r="Y84" s="2"/>
      <c r="Z84" s="6">
        <f t="shared" si="51"/>
        <v>-1</v>
      </c>
    </row>
    <row r="85" spans="1:26" s="24" customFormat="1" hidden="1" outlineLevel="2" x14ac:dyDescent="0.25">
      <c r="A85" s="25"/>
      <c r="B85" s="11" t="str">
        <f>CONCATENATE("          ", "6245", " - ", "PRINTING")</f>
        <v xml:space="preserve">          6245 - PRINTING</v>
      </c>
      <c r="C85" s="11"/>
      <c r="D85" s="7"/>
      <c r="E85" s="2"/>
      <c r="F85" s="6">
        <f t="shared" si="44"/>
        <v>0</v>
      </c>
      <c r="G85" s="2"/>
      <c r="H85" s="7"/>
      <c r="I85" s="2"/>
      <c r="J85" s="6">
        <f t="shared" si="45"/>
        <v>0</v>
      </c>
      <c r="K85" s="2"/>
      <c r="L85" s="7">
        <f t="shared" si="46"/>
        <v>0</v>
      </c>
      <c r="M85" s="2"/>
      <c r="N85" s="6">
        <f t="shared" si="47"/>
        <v>0</v>
      </c>
      <c r="O85" s="11"/>
      <c r="P85" s="7"/>
      <c r="Q85" s="2"/>
      <c r="R85" s="6">
        <f t="shared" si="48"/>
        <v>0</v>
      </c>
      <c r="S85" s="2"/>
      <c r="T85" s="7">
        <v>500</v>
      </c>
      <c r="U85" s="2"/>
      <c r="V85" s="6">
        <f t="shared" si="49"/>
        <v>2.9984665841888456E-4</v>
      </c>
      <c r="W85" s="2"/>
      <c r="X85" s="7">
        <f t="shared" si="50"/>
        <v>-500</v>
      </c>
      <c r="Y85" s="2"/>
      <c r="Z85" s="6">
        <f t="shared" si="51"/>
        <v>-1</v>
      </c>
    </row>
    <row r="86" spans="1:26" s="24" customFormat="1" hidden="1" outlineLevel="2" x14ac:dyDescent="0.25">
      <c r="A86" s="25"/>
      <c r="B86" s="11" t="str">
        <f>CONCATENATE("          ", "6247", " - ", "STORE SUPPLIES")</f>
        <v xml:space="preserve">          6247 - STORE SUPPLIES</v>
      </c>
      <c r="C86" s="11"/>
      <c r="D86" s="7"/>
      <c r="E86" s="2"/>
      <c r="F86" s="6">
        <f t="shared" si="44"/>
        <v>0</v>
      </c>
      <c r="G86" s="2"/>
      <c r="H86" s="7">
        <v>18</v>
      </c>
      <c r="I86" s="2"/>
      <c r="J86" s="6">
        <f t="shared" si="45"/>
        <v>1.5626492112962175E-4</v>
      </c>
      <c r="K86" s="2"/>
      <c r="L86" s="7">
        <f t="shared" si="46"/>
        <v>-18</v>
      </c>
      <c r="M86" s="2"/>
      <c r="N86" s="6">
        <f t="shared" si="47"/>
        <v>-1</v>
      </c>
      <c r="O86" s="11"/>
      <c r="P86" s="7"/>
      <c r="Q86" s="2"/>
      <c r="R86" s="6">
        <f t="shared" si="48"/>
        <v>0</v>
      </c>
      <c r="S86" s="2"/>
      <c r="T86" s="7">
        <v>180</v>
      </c>
      <c r="U86" s="2"/>
      <c r="V86" s="6">
        <f t="shared" si="49"/>
        <v>1.0794479703079845E-4</v>
      </c>
      <c r="W86" s="2"/>
      <c r="X86" s="7">
        <f t="shared" si="50"/>
        <v>-180</v>
      </c>
      <c r="Y86" s="2"/>
      <c r="Z86" s="6">
        <f t="shared" si="51"/>
        <v>-1</v>
      </c>
    </row>
    <row r="87" spans="1:26" s="24" customFormat="1" hidden="1" outlineLevel="2" x14ac:dyDescent="0.25">
      <c r="A87" s="25"/>
      <c r="B87" s="11" t="str">
        <f>CONCATENATE("          ", "6248", " - ", "UNIFORMS")</f>
        <v xml:space="preserve">          6248 - UNIFORMS</v>
      </c>
      <c r="C87" s="11"/>
      <c r="D87" s="7"/>
      <c r="E87" s="2"/>
      <c r="F87" s="6">
        <f t="shared" si="44"/>
        <v>0</v>
      </c>
      <c r="G87" s="2"/>
      <c r="H87" s="7">
        <v>350</v>
      </c>
      <c r="I87" s="2"/>
      <c r="J87" s="6">
        <f t="shared" si="45"/>
        <v>3.0384845775204231E-3</v>
      </c>
      <c r="K87" s="2"/>
      <c r="L87" s="7">
        <f t="shared" si="46"/>
        <v>-350</v>
      </c>
      <c r="M87" s="2"/>
      <c r="N87" s="6">
        <f t="shared" si="47"/>
        <v>-1</v>
      </c>
      <c r="O87" s="11"/>
      <c r="P87" s="7">
        <v>4500.59</v>
      </c>
      <c r="Q87" s="2"/>
      <c r="R87" s="6">
        <f t="shared" si="48"/>
        <v>4.647805137667084E-3</v>
      </c>
      <c r="S87" s="2"/>
      <c r="T87" s="7">
        <v>3850</v>
      </c>
      <c r="U87" s="2"/>
      <c r="V87" s="6">
        <f t="shared" si="49"/>
        <v>2.3088192698254113E-3</v>
      </c>
      <c r="W87" s="2"/>
      <c r="X87" s="7">
        <f t="shared" si="50"/>
        <v>650.59000000000015</v>
      </c>
      <c r="Y87" s="2"/>
      <c r="Z87" s="6">
        <f t="shared" si="51"/>
        <v>0.16898441558441563</v>
      </c>
    </row>
    <row r="88" spans="1:26" s="27" customFormat="1" outlineLevel="1" collapsed="1" x14ac:dyDescent="0.25">
      <c r="A88" s="26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SUM(OSRRefD22_15x_0)</f>
        <v>309</v>
      </c>
      <c r="E88" s="1"/>
      <c r="F88" s="5">
        <f t="shared" ref="F88:F90" si="52">IF(D$12=0,0,D88/D$12)</f>
        <v>6.1052835400370268E-3</v>
      </c>
      <c r="G88" s="1"/>
      <c r="H88" s="1">
        <f>SUM(OSRRefH22_15x_0)</f>
        <v>310</v>
      </c>
      <c r="I88" s="1"/>
      <c r="J88" s="5">
        <f t="shared" ref="J88:J90" si="53">IF(H$12=0,0,H88/H$12)</f>
        <v>2.6912291972323748E-3</v>
      </c>
      <c r="K88" s="1"/>
      <c r="L88" s="1">
        <f t="shared" ref="L88:L90" si="54">+D88-H88</f>
        <v>-1</v>
      </c>
      <c r="M88" s="1"/>
      <c r="N88" s="5">
        <f t="shared" ref="N88:N90" si="55">IF(H88=0,0,L88/H88)</f>
        <v>-3.2258064516129032E-3</v>
      </c>
      <c r="O88" s="13"/>
      <c r="P88" s="1">
        <f>SUM(OSRRefP22_15x_0)</f>
        <v>2650</v>
      </c>
      <c r="Q88" s="1"/>
      <c r="R88" s="5">
        <f t="shared" ref="R88:R90" si="56">IF(P$12=0,0,P88/P$12)</f>
        <v>2.7366819938758635E-3</v>
      </c>
      <c r="S88" s="1"/>
      <c r="T88" s="1">
        <f>SUM(OSRRefT22_15x_0)</f>
        <v>3410</v>
      </c>
      <c r="U88" s="1"/>
      <c r="V88" s="5">
        <f t="shared" ref="V88:V90" si="57">IF(T$12=0,0,T88/T$12)</f>
        <v>2.0449542104167928E-3</v>
      </c>
      <c r="W88" s="1"/>
      <c r="X88" s="1">
        <f t="shared" ref="X88:X90" si="58">+P88-T88</f>
        <v>-760</v>
      </c>
      <c r="Y88" s="1"/>
      <c r="Z88" s="5">
        <f t="shared" ref="Z88:Z90" si="59">IF(T88=0,0,X88/T88)</f>
        <v>-0.22287390029325513</v>
      </c>
    </row>
    <row r="89" spans="1:26" s="24" customFormat="1" hidden="1" outlineLevel="2" x14ac:dyDescent="0.25">
      <c r="A89" s="25"/>
      <c r="B89" s="11" t="str">
        <f>CONCATENATE("          ", "6303", " - ", "DATA PHONE LINES")</f>
        <v xml:space="preserve">          6303 - DATA PHONE LINES</v>
      </c>
      <c r="C89" s="11"/>
      <c r="D89" s="7"/>
      <c r="E89" s="2"/>
      <c r="F89" s="6">
        <f t="shared" si="52"/>
        <v>0</v>
      </c>
      <c r="G89" s="2"/>
      <c r="H89" s="7">
        <v>310</v>
      </c>
      <c r="I89" s="2"/>
      <c r="J89" s="6">
        <f t="shared" si="53"/>
        <v>2.6912291972323748E-3</v>
      </c>
      <c r="K89" s="2"/>
      <c r="L89" s="7">
        <f t="shared" si="54"/>
        <v>-310</v>
      </c>
      <c r="M89" s="2"/>
      <c r="N89" s="6">
        <f t="shared" si="55"/>
        <v>-1</v>
      </c>
      <c r="O89" s="11"/>
      <c r="P89" s="7"/>
      <c r="Q89" s="2"/>
      <c r="R89" s="6">
        <f t="shared" si="56"/>
        <v>0</v>
      </c>
      <c r="S89" s="2"/>
      <c r="T89" s="7">
        <v>3410</v>
      </c>
      <c r="U89" s="2"/>
      <c r="V89" s="6">
        <f t="shared" si="57"/>
        <v>2.0449542104167928E-3</v>
      </c>
      <c r="W89" s="2"/>
      <c r="X89" s="7">
        <f t="shared" si="58"/>
        <v>-3410</v>
      </c>
      <c r="Y89" s="2"/>
      <c r="Z89" s="6">
        <f t="shared" si="59"/>
        <v>-1</v>
      </c>
    </row>
    <row r="90" spans="1:26" s="24" customFormat="1" hidden="1" outlineLevel="2" x14ac:dyDescent="0.25">
      <c r="A90" s="25"/>
      <c r="B90" s="11" t="str">
        <f>CONCATENATE("          ", "6309", " - ", "TELEPHONE")</f>
        <v xml:space="preserve">          6309 - TELEPHONE</v>
      </c>
      <c r="C90" s="11"/>
      <c r="D90" s="7">
        <v>309</v>
      </c>
      <c r="E90" s="2"/>
      <c r="F90" s="6">
        <f t="shared" si="52"/>
        <v>6.1052835400370268E-3</v>
      </c>
      <c r="G90" s="2"/>
      <c r="H90" s="7"/>
      <c r="I90" s="2"/>
      <c r="J90" s="6">
        <f t="shared" si="53"/>
        <v>0</v>
      </c>
      <c r="K90" s="2"/>
      <c r="L90" s="7">
        <f t="shared" si="54"/>
        <v>309</v>
      </c>
      <c r="M90" s="2"/>
      <c r="N90" s="6">
        <f t="shared" si="55"/>
        <v>0</v>
      </c>
      <c r="O90" s="11"/>
      <c r="P90" s="7">
        <v>2650</v>
      </c>
      <c r="Q90" s="2"/>
      <c r="R90" s="6">
        <f t="shared" si="56"/>
        <v>2.7366819938758635E-3</v>
      </c>
      <c r="S90" s="2"/>
      <c r="T90" s="7"/>
      <c r="U90" s="2"/>
      <c r="V90" s="6">
        <f t="shared" si="57"/>
        <v>0</v>
      </c>
      <c r="W90" s="2"/>
      <c r="X90" s="7">
        <f t="shared" si="58"/>
        <v>2650</v>
      </c>
      <c r="Y90" s="2"/>
      <c r="Z90" s="6">
        <f t="shared" si="59"/>
        <v>0</v>
      </c>
    </row>
    <row r="91" spans="1:26" s="27" customFormat="1" outlineLevel="1" collapsed="1" x14ac:dyDescent="0.25">
      <c r="A91" s="26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SUM(OSRRefD22_16x_0)</f>
        <v>0</v>
      </c>
      <c r="E91" s="1"/>
      <c r="F91" s="5">
        <f t="shared" ref="F91:F94" si="60">IF(D$12=0,0,D91/D$12)</f>
        <v>0</v>
      </c>
      <c r="G91" s="1"/>
      <c r="H91" s="1">
        <f>SUM(OSRRefH22_16x_0)</f>
        <v>350</v>
      </c>
      <c r="I91" s="1"/>
      <c r="J91" s="5">
        <f t="shared" ref="J91:J94" si="61">IF(H$12=0,0,H91/H$12)</f>
        <v>3.0384845775204231E-3</v>
      </c>
      <c r="K91" s="1"/>
      <c r="L91" s="1">
        <f t="shared" ref="L91:L94" si="62">+D91-H91</f>
        <v>-350</v>
      </c>
      <c r="M91" s="1"/>
      <c r="N91" s="5">
        <f t="shared" ref="N91:N94" si="63">IF(H91=0,0,L91/H91)</f>
        <v>-1</v>
      </c>
      <c r="O91" s="13"/>
      <c r="P91" s="1">
        <f>SUM(OSRRefP22_16x_0)</f>
        <v>735</v>
      </c>
      <c r="Q91" s="1"/>
      <c r="R91" s="5">
        <f t="shared" ref="R91:R94" si="64">IF(P$12=0,0,P91/P$12)</f>
        <v>7.5904198698066399E-4</v>
      </c>
      <c r="S91" s="1"/>
      <c r="T91" s="1">
        <f>SUM(OSRRefT22_16x_0)</f>
        <v>3500</v>
      </c>
      <c r="U91" s="1"/>
      <c r="V91" s="5">
        <f t="shared" ref="V91:V94" si="65">IF(T$12=0,0,T91/T$12)</f>
        <v>2.0989266089321921E-3</v>
      </c>
      <c r="W91" s="1"/>
      <c r="X91" s="1">
        <f t="shared" ref="X91:X94" si="66">+P91-T91</f>
        <v>-2765</v>
      </c>
      <c r="Y91" s="1"/>
      <c r="Z91" s="5">
        <f t="shared" ref="Z91:Z94" si="67">IF(T91=0,0,X91/T91)</f>
        <v>-0.79</v>
      </c>
    </row>
    <row r="92" spans="1:26" s="24" customFormat="1" hidden="1" outlineLevel="2" x14ac:dyDescent="0.25">
      <c r="A92" s="25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60"/>
        <v>0</v>
      </c>
      <c r="G92" s="2"/>
      <c r="H92" s="7">
        <v>350</v>
      </c>
      <c r="I92" s="2"/>
      <c r="J92" s="6">
        <f t="shared" si="61"/>
        <v>3.0384845775204231E-3</v>
      </c>
      <c r="K92" s="2"/>
      <c r="L92" s="7">
        <f t="shared" si="62"/>
        <v>-350</v>
      </c>
      <c r="M92" s="2"/>
      <c r="N92" s="6">
        <f t="shared" si="63"/>
        <v>-1</v>
      </c>
      <c r="O92" s="11"/>
      <c r="P92" s="7">
        <v>735</v>
      </c>
      <c r="Q92" s="2"/>
      <c r="R92" s="6">
        <f t="shared" si="64"/>
        <v>7.5904198698066399E-4</v>
      </c>
      <c r="S92" s="2"/>
      <c r="T92" s="7">
        <v>3500</v>
      </c>
      <c r="U92" s="2"/>
      <c r="V92" s="6">
        <f t="shared" si="65"/>
        <v>2.0989266089321921E-3</v>
      </c>
      <c r="W92" s="2"/>
      <c r="X92" s="7">
        <f t="shared" si="66"/>
        <v>-2765</v>
      </c>
      <c r="Y92" s="2"/>
      <c r="Z92" s="6">
        <f t="shared" si="67"/>
        <v>-0.79</v>
      </c>
    </row>
    <row r="93" spans="1:26" s="27" customFormat="1" outlineLevel="1" collapsed="1" x14ac:dyDescent="0.25">
      <c r="A93" s="26"/>
      <c r="B93" s="13" t="str">
        <f>CONCATENATE("     ","Travel                                            ")</f>
        <v xml:space="preserve">     Travel                                            </v>
      </c>
      <c r="C93" s="13"/>
      <c r="D93" s="1">
        <f>SUM(OSRRefD22_17x_0)</f>
        <v>0</v>
      </c>
      <c r="E93" s="1"/>
      <c r="F93" s="5">
        <f t="shared" si="60"/>
        <v>0</v>
      </c>
      <c r="G93" s="1"/>
      <c r="H93" s="1">
        <f>SUM(OSRRefH22_17x_0)</f>
        <v>0</v>
      </c>
      <c r="I93" s="1"/>
      <c r="J93" s="5">
        <f t="shared" si="61"/>
        <v>0</v>
      </c>
      <c r="K93" s="1"/>
      <c r="L93" s="1">
        <f t="shared" si="62"/>
        <v>0</v>
      </c>
      <c r="M93" s="1"/>
      <c r="N93" s="5">
        <f t="shared" si="63"/>
        <v>0</v>
      </c>
      <c r="O93" s="13"/>
      <c r="P93" s="1">
        <f>SUM(OSRRefP22_17x_0)</f>
        <v>160.30000000000001</v>
      </c>
      <c r="Q93" s="1"/>
      <c r="R93" s="5">
        <f t="shared" si="64"/>
        <v>1.6554344287483054E-4</v>
      </c>
      <c r="S93" s="1"/>
      <c r="T93" s="1">
        <f>SUM(OSRRefT22_17x_0)</f>
        <v>0</v>
      </c>
      <c r="U93" s="1"/>
      <c r="V93" s="5">
        <f t="shared" si="65"/>
        <v>0</v>
      </c>
      <c r="W93" s="1"/>
      <c r="X93" s="1">
        <f t="shared" si="66"/>
        <v>160.30000000000001</v>
      </c>
      <c r="Y93" s="1"/>
      <c r="Z93" s="5">
        <f t="shared" si="67"/>
        <v>0</v>
      </c>
    </row>
    <row r="94" spans="1:26" s="24" customFormat="1" hidden="1" outlineLevel="2" x14ac:dyDescent="0.25">
      <c r="A94" s="25"/>
      <c r="B94" s="11" t="str">
        <f>CONCATENATE("          ", "6294", " - ", "TRAVEL OPERATIONAL")</f>
        <v xml:space="preserve">          6294 - TRAVEL OPERATIONAL</v>
      </c>
      <c r="C94" s="11"/>
      <c r="D94" s="7"/>
      <c r="E94" s="2"/>
      <c r="F94" s="6">
        <f t="shared" si="60"/>
        <v>0</v>
      </c>
      <c r="G94" s="2"/>
      <c r="H94" s="7"/>
      <c r="I94" s="2"/>
      <c r="J94" s="6">
        <f t="shared" si="61"/>
        <v>0</v>
      </c>
      <c r="K94" s="2"/>
      <c r="L94" s="7">
        <f t="shared" si="62"/>
        <v>0</v>
      </c>
      <c r="M94" s="2"/>
      <c r="N94" s="6">
        <f t="shared" si="63"/>
        <v>0</v>
      </c>
      <c r="O94" s="11"/>
      <c r="P94" s="7">
        <v>160.30000000000001</v>
      </c>
      <c r="Q94" s="2"/>
      <c r="R94" s="6">
        <f t="shared" si="64"/>
        <v>1.6554344287483054E-4</v>
      </c>
      <c r="S94" s="2"/>
      <c r="T94" s="7"/>
      <c r="U94" s="2"/>
      <c r="V94" s="6">
        <f t="shared" si="65"/>
        <v>0</v>
      </c>
      <c r="W94" s="2"/>
      <c r="X94" s="7">
        <f t="shared" si="66"/>
        <v>160.30000000000001</v>
      </c>
      <c r="Y94" s="2"/>
      <c r="Z94" s="6">
        <f t="shared" si="67"/>
        <v>0</v>
      </c>
    </row>
    <row r="95" spans="1:26" s="56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x14ac:dyDescent="0.25">
      <c r="A96" s="10"/>
      <c r="B96" s="29" t="s">
        <v>293</v>
      </c>
      <c r="C96" s="10"/>
      <c r="D96" s="4">
        <f>SUM(0)</f>
        <v>0</v>
      </c>
      <c r="E96" s="4"/>
      <c r="F96" s="12">
        <f>IF(D$12=0,0,D96/D$12)</f>
        <v>0</v>
      </c>
      <c r="G96" s="4"/>
      <c r="H96" s="4">
        <f>SUM(0)</f>
        <v>0</v>
      </c>
      <c r="I96" s="4"/>
      <c r="J96" s="12">
        <f>IF(H$12=0,0,H96/H$12)</f>
        <v>0</v>
      </c>
      <c r="K96" s="4"/>
      <c r="L96" s="4">
        <f>+D96-H96</f>
        <v>0</v>
      </c>
      <c r="M96" s="4"/>
      <c r="N96" s="12">
        <f>IF(H96=0,0,L96/H96)</f>
        <v>0</v>
      </c>
      <c r="O96" s="10"/>
      <c r="P96" s="4">
        <f>SUM(0)</f>
        <v>0</v>
      </c>
      <c r="Q96" s="4"/>
      <c r="R96" s="12">
        <f>IF(P$12=0,0,P96/P$12)</f>
        <v>0</v>
      </c>
      <c r="S96" s="4"/>
      <c r="T96" s="4">
        <f>SUM(0)</f>
        <v>0</v>
      </c>
      <c r="U96" s="4"/>
      <c r="V96" s="12">
        <f>IF(T$12=0,0,T96/T$12)</f>
        <v>0</v>
      </c>
      <c r="W96" s="4"/>
      <c r="X96" s="4">
        <f>+P96-T96</f>
        <v>0</v>
      </c>
      <c r="Y96" s="4"/>
      <c r="Z96" s="12">
        <f>IF(T96=0,0,X96/T96)</f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8" t="s">
        <v>277</v>
      </c>
      <c r="C98" s="28"/>
      <c r="D98" s="20">
        <f>+D23-D25+D96</f>
        <v>-71006.36</v>
      </c>
      <c r="E98" s="14"/>
      <c r="F98" s="21">
        <f>IF(D$12=0,0,D98/D$12)</f>
        <v>-1.4029578024140568</v>
      </c>
      <c r="G98" s="14"/>
      <c r="H98" s="20">
        <f>+H23-H25+H96</f>
        <v>-29960.079101269293</v>
      </c>
      <c r="I98" s="14"/>
      <c r="J98" s="21">
        <f>IF(H$12=0,0,H98/H$12)</f>
        <v>-0.26009496654428194</v>
      </c>
      <c r="K98" s="15"/>
      <c r="L98" s="20">
        <f>+D98-H98</f>
        <v>-41046.280898730707</v>
      </c>
      <c r="M98" s="15"/>
      <c r="N98" s="21">
        <f>IF(H98=0,0,L98/H98)</f>
        <v>1.3700324608619519</v>
      </c>
      <c r="O98" s="29"/>
      <c r="P98" s="20">
        <f>+P23-P25+P96</f>
        <v>-712660.50000000023</v>
      </c>
      <c r="Q98" s="14"/>
      <c r="R98" s="21">
        <f>IF(P$12=0,0,P98/P$12)</f>
        <v>-0.73597175777229074</v>
      </c>
      <c r="S98" s="14"/>
      <c r="T98" s="20">
        <f>+T23-T25+T96</f>
        <v>-179030.21029698174</v>
      </c>
      <c r="U98" s="14"/>
      <c r="V98" s="21">
        <f>IF(T$12=0,0,T98/T$12)</f>
        <v>-0.10736322062716031</v>
      </c>
      <c r="W98" s="15"/>
      <c r="X98" s="20">
        <f>+P98-T98</f>
        <v>-533630.2897030185</v>
      </c>
      <c r="Y98" s="15"/>
      <c r="Z98" s="21">
        <f>IF(T98=0,0,X98/T98)</f>
        <v>2.9806717470633219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2"/>
      <c r="B100" s="10" t="s">
        <v>128</v>
      </c>
      <c r="C100" s="10"/>
      <c r="D100" s="4">
        <v>14932.58</v>
      </c>
      <c r="E100" s="4"/>
      <c r="F100" s="12">
        <f>IF(D$12=0,0,D100/D$12)</f>
        <v>0.29504088959315888</v>
      </c>
      <c r="G100" s="4"/>
      <c r="H100" s="4">
        <v>26650</v>
      </c>
      <c r="I100" s="4"/>
      <c r="J100" s="12">
        <f>IF(H$12=0,0,H100/H$12)</f>
        <v>0.23135889711691221</v>
      </c>
      <c r="K100" s="4"/>
      <c r="L100" s="4">
        <f>+D100-H100</f>
        <v>-11717.42</v>
      </c>
      <c r="M100" s="4"/>
      <c r="N100" s="12">
        <f>IF(H100=0,0,L100/H100)</f>
        <v>-0.43967804878048783</v>
      </c>
      <c r="O100" s="10"/>
      <c r="P100" s="4">
        <v>206922.06</v>
      </c>
      <c r="Q100" s="4"/>
      <c r="R100" s="12">
        <f>IF(P$12=0,0,P100/P$12)</f>
        <v>0.21369051914630227</v>
      </c>
      <c r="S100" s="4"/>
      <c r="T100" s="4">
        <v>307850</v>
      </c>
      <c r="U100" s="4"/>
      <c r="V100" s="12">
        <f>IF(T$12=0,0,T100/T$12)</f>
        <v>0.18461558758850724</v>
      </c>
      <c r="W100" s="4"/>
      <c r="X100" s="4">
        <f>+P100-T100</f>
        <v>-100927.94</v>
      </c>
      <c r="Y100" s="4"/>
      <c r="Z100" s="12">
        <f>IF(T100=0,0,X100/T100)</f>
        <v>-0.32784778301120676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8" t="s">
        <v>126</v>
      </c>
      <c r="C102" s="28"/>
      <c r="D102" s="35">
        <f>+D98-D100</f>
        <v>-85938.94</v>
      </c>
      <c r="E102" s="14"/>
      <c r="F102" s="34">
        <f>IF(D$12=0,0,D102/D$12)</f>
        <v>-1.6979986920072156</v>
      </c>
      <c r="G102" s="14"/>
      <c r="H102" s="35">
        <f>+H98-H100</f>
        <v>-56610.079101269293</v>
      </c>
      <c r="I102" s="14"/>
      <c r="J102" s="34">
        <f>IF(H$12=0,0,H102/H$12)</f>
        <v>-0.49145386366119415</v>
      </c>
      <c r="K102" s="15"/>
      <c r="L102" s="35">
        <f>D102-H102</f>
        <v>-29328.860898730709</v>
      </c>
      <c r="M102" s="15"/>
      <c r="N102" s="34">
        <f>IF(H102=0,0,L102/H102)</f>
        <v>0.51808549580481167</v>
      </c>
      <c r="O102" s="29"/>
      <c r="P102" s="35">
        <f>+P98-P100</f>
        <v>-919582.56000000029</v>
      </c>
      <c r="Q102" s="14"/>
      <c r="R102" s="34">
        <f>IF(P$12=0,0,P102/P$12)</f>
        <v>-0.94966227691859306</v>
      </c>
      <c r="S102" s="14"/>
      <c r="T102" s="35">
        <f>+T98-T100</f>
        <v>-486880.21029698174</v>
      </c>
      <c r="U102" s="14"/>
      <c r="V102" s="34">
        <f>IF(T$12=0,0,T102/T$12)</f>
        <v>-0.29197880821566757</v>
      </c>
      <c r="W102" s="15"/>
      <c r="X102" s="35">
        <f>P102-T102</f>
        <v>-432702.34970301855</v>
      </c>
      <c r="Y102" s="15"/>
      <c r="Z102" s="34">
        <f>IF(T102=0,0,X102/T102)</f>
        <v>0.88872445532153299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8" t="s">
        <v>294</v>
      </c>
      <c r="C105" s="28"/>
      <c r="D105" s="33">
        <f>SUM(D102:D104)</f>
        <v>-85938.94</v>
      </c>
      <c r="E105" s="14"/>
      <c r="F105" s="32">
        <f>IF(D$12=0,0,D105/D$12)</f>
        <v>-1.6979986920072156</v>
      </c>
      <c r="G105" s="14"/>
      <c r="H105" s="33">
        <f>SUM(H102:H104)</f>
        <v>-56610.079101269293</v>
      </c>
      <c r="I105" s="14"/>
      <c r="J105" s="32">
        <f>IF(H$12=0,0,H105/H$12)</f>
        <v>-0.49145386366119415</v>
      </c>
      <c r="K105" s="15"/>
      <c r="L105" s="33">
        <f>+D105-H105</f>
        <v>-29328.860898730709</v>
      </c>
      <c r="M105" s="15"/>
      <c r="N105" s="32">
        <f>IF(H105=0,0,L105/H105)</f>
        <v>0.51808549580481167</v>
      </c>
      <c r="O105" s="29"/>
      <c r="P105" s="33">
        <f>SUM(P102:P104)</f>
        <v>-919582.56000000029</v>
      </c>
      <c r="Q105" s="14"/>
      <c r="R105" s="32">
        <f>IF(P$12=0,0,P105/P$12)</f>
        <v>-0.94966227691859306</v>
      </c>
      <c r="S105" s="14"/>
      <c r="T105" s="33">
        <f>SUM(T102:T104)</f>
        <v>-486880.21029698174</v>
      </c>
      <c r="U105" s="14"/>
      <c r="V105" s="32">
        <f>IF(T$12=0,0,T105/T$12)</f>
        <v>-0.29197880821566757</v>
      </c>
      <c r="W105" s="15"/>
      <c r="X105" s="33">
        <f>+P105-T105</f>
        <v>-432702.34970301855</v>
      </c>
      <c r="Y105" s="15"/>
      <c r="Z105" s="32">
        <f>IF(T105=0,0,X105/T105)</f>
        <v>0.88872445532153299</v>
      </c>
    </row>
    <row r="106" spans="1:26" ht="15.75" thickTop="1" x14ac:dyDescent="0.25">
      <c r="A106" s="9"/>
      <c r="C106" s="9"/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60">
        <v>44356.891834571761</v>
      </c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55" t="s">
        <v>56</v>
      </c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63"/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","450", " - ", "Beachside Dining Hall")</f>
        <v>Department 450 - Beachside Dining Hall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45822</v>
      </c>
      <c r="I12" s="4"/>
      <c r="J12" s="12"/>
      <c r="K12" s="4"/>
      <c r="L12" s="4">
        <f t="shared" ref="L12:L14" si="0">+D12-H12</f>
        <v>-45822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565961</v>
      </c>
      <c r="U12" s="4"/>
      <c r="V12" s="12"/>
      <c r="W12" s="4"/>
      <c r="X12" s="4">
        <f t="shared" ref="X12:X14" si="2">+P12-T12</f>
        <v>-565961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19"/>
      <c r="G13" s="2"/>
      <c r="H13" s="2">
        <v>45822</v>
      </c>
      <c r="I13" s="2"/>
      <c r="J13" s="19"/>
      <c r="K13" s="2"/>
      <c r="L13" s="2">
        <f t="shared" si="0"/>
        <v>-45822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565961</v>
      </c>
      <c r="U13" s="2"/>
      <c r="V13" s="19"/>
      <c r="W13" s="2"/>
      <c r="X13" s="2">
        <f t="shared" si="2"/>
        <v>-565961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/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257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12830</v>
      </c>
      <c r="I16" s="4"/>
      <c r="J16" s="12">
        <f t="shared" ref="J16:J17" si="7">IF(H$12=0,0,H16/H$12)</f>
        <v>0.279996508227489</v>
      </c>
      <c r="K16" s="4"/>
      <c r="L16" s="4">
        <f t="shared" ref="L16:L17" si="8">+D16-H16</f>
        <v>-12830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155114</v>
      </c>
      <c r="U16" s="4"/>
      <c r="V16" s="12">
        <f t="shared" ref="V16:V17" si="11">IF(T$12=0,0,T16/T$12)</f>
        <v>0.27407188834566337</v>
      </c>
      <c r="W16" s="4"/>
      <c r="X16" s="4">
        <f t="shared" ref="X16:X17" si="12">+P16-T16</f>
        <v>-155114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12830</v>
      </c>
      <c r="I17" s="2"/>
      <c r="J17" s="19">
        <f t="shared" si="7"/>
        <v>0.279996508227489</v>
      </c>
      <c r="K17" s="2"/>
      <c r="L17" s="2">
        <f t="shared" si="8"/>
        <v>-12830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155114</v>
      </c>
      <c r="U17" s="2"/>
      <c r="V17" s="19">
        <f t="shared" si="11"/>
        <v>0.27407188834566337</v>
      </c>
      <c r="W17" s="2"/>
      <c r="X17" s="2">
        <f t="shared" si="12"/>
        <v>-155114</v>
      </c>
      <c r="Y17" s="2"/>
      <c r="Z17" s="19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108</v>
      </c>
      <c r="C19" s="28"/>
      <c r="D19" s="20">
        <f>D12-D16</f>
        <v>0</v>
      </c>
      <c r="E19" s="14"/>
      <c r="F19" s="21">
        <f>IF(D$12=0,0,D19/D$12)</f>
        <v>0</v>
      </c>
      <c r="G19" s="14"/>
      <c r="H19" s="20">
        <f>H12-H16</f>
        <v>32992</v>
      </c>
      <c r="I19" s="14"/>
      <c r="J19" s="21">
        <f>IF(H$12=0,0,H19/H$12)</f>
        <v>0.720003491772511</v>
      </c>
      <c r="K19" s="15"/>
      <c r="L19" s="20">
        <f>+D19-H19</f>
        <v>-32992</v>
      </c>
      <c r="M19" s="15"/>
      <c r="N19" s="21">
        <f>IF(H19=0,0,L19/H19)</f>
        <v>-1</v>
      </c>
      <c r="O19" s="29"/>
      <c r="P19" s="20">
        <f>P12-P16</f>
        <v>0</v>
      </c>
      <c r="Q19" s="14"/>
      <c r="R19" s="21">
        <f>IF(P$12=0,0,P19/P$12)</f>
        <v>0</v>
      </c>
      <c r="S19" s="14"/>
      <c r="T19" s="20">
        <f>T12-T16</f>
        <v>410847</v>
      </c>
      <c r="U19" s="14"/>
      <c r="V19" s="21">
        <f>IF(T$12=0,0,T19/T$12)</f>
        <v>0.72592811165433657</v>
      </c>
      <c r="W19" s="15"/>
      <c r="X19" s="20">
        <f>+P19-T19</f>
        <v>-410847</v>
      </c>
      <c r="Y19" s="15"/>
      <c r="Z19" s="21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295</v>
      </c>
      <c r="C21" s="10"/>
      <c r="D21" s="22">
        <f>SUM(OSRRefD22x_0)</f>
        <v>37944.54</v>
      </c>
      <c r="E21" s="22"/>
      <c r="F21" s="31">
        <f t="shared" ref="F21:F32" si="14">IF(D$12=0,0,D21/D$12)</f>
        <v>0</v>
      </c>
      <c r="G21" s="22"/>
      <c r="H21" s="22">
        <f>SUM(OSRRefH22x_0)</f>
        <v>85198.684139337667</v>
      </c>
      <c r="I21" s="22"/>
      <c r="J21" s="31">
        <f t="shared" ref="J21:J32" si="15">IF(H$12=0,0,H21/H$12)</f>
        <v>1.8593401453305762</v>
      </c>
      <c r="K21" s="4"/>
      <c r="L21" s="22">
        <f t="shared" ref="L21:L32" si="16">+D21-H21</f>
        <v>-47254.144139337666</v>
      </c>
      <c r="M21" s="4"/>
      <c r="N21" s="31">
        <f t="shared" ref="N21:N32" si="17">IF(H21=0,0,L21/H21)</f>
        <v>-0.55463467090707841</v>
      </c>
      <c r="O21" s="10"/>
      <c r="P21" s="22">
        <f>SUM(OSRRefP22x_0)</f>
        <v>449111.68999999994</v>
      </c>
      <c r="Q21" s="22"/>
      <c r="R21" s="31">
        <f t="shared" ref="R21:R32" si="18">IF(P$12=0,0,P21/P$12)</f>
        <v>0</v>
      </c>
      <c r="S21" s="22"/>
      <c r="T21" s="22">
        <f>SUM(OSRRefT22x_0)</f>
        <v>1015718.664703301</v>
      </c>
      <c r="U21" s="22"/>
      <c r="V21" s="31">
        <f t="shared" ref="V21:V32" si="19">IF(T$12=0,0,T21/T$12)</f>
        <v>1.7946796063744694</v>
      </c>
      <c r="W21" s="4"/>
      <c r="X21" s="22">
        <f t="shared" ref="X21:X32" si="20">+P21-T21</f>
        <v>-566606.97470330109</v>
      </c>
      <c r="Y21" s="4"/>
      <c r="Z21" s="31">
        <f t="shared" ref="Z21:Z32" si="21">IF(T21=0,0,X21/T21)</f>
        <v>-0.55783849838853872</v>
      </c>
    </row>
    <row r="22" spans="1:26" s="27" customFormat="1" outlineLevel="1" collapsed="1" x14ac:dyDescent="0.25">
      <c r="A22" s="26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19228.07</v>
      </c>
      <c r="E22" s="1"/>
      <c r="F22" s="5">
        <f t="shared" si="14"/>
        <v>0</v>
      </c>
      <c r="G22" s="1"/>
      <c r="H22" s="1">
        <f>SUM(OSRRefH22_0x_0)</f>
        <v>27889.566055876123</v>
      </c>
      <c r="I22" s="1"/>
      <c r="J22" s="5">
        <f t="shared" si="15"/>
        <v>0.6086501256138126</v>
      </c>
      <c r="K22" s="1"/>
      <c r="L22" s="1">
        <f t="shared" si="16"/>
        <v>-8661.4960558761231</v>
      </c>
      <c r="M22" s="1"/>
      <c r="N22" s="5">
        <f t="shared" si="17"/>
        <v>-0.31056403095419299</v>
      </c>
      <c r="O22" s="13"/>
      <c r="P22" s="1">
        <f>SUM(OSRRefP22_0x_0)</f>
        <v>214031.3</v>
      </c>
      <c r="Q22" s="1"/>
      <c r="R22" s="5">
        <f t="shared" si="18"/>
        <v>0</v>
      </c>
      <c r="S22" s="1"/>
      <c r="T22" s="1">
        <f>SUM(OSRRefT22_0x_0)</f>
        <v>332385.45582676306</v>
      </c>
      <c r="U22" s="1"/>
      <c r="V22" s="5">
        <f t="shared" si="19"/>
        <v>0.58729392277341208</v>
      </c>
      <c r="W22" s="1"/>
      <c r="X22" s="1">
        <f t="shared" si="20"/>
        <v>-118354.15582676308</v>
      </c>
      <c r="Y22" s="1"/>
      <c r="Z22" s="5">
        <f t="shared" si="21"/>
        <v>-0.35607501396946928</v>
      </c>
    </row>
    <row r="23" spans="1:26" s="24" customFormat="1" hidden="1" outlineLevel="2" x14ac:dyDescent="0.25">
      <c r="A23" s="25"/>
      <c r="B23" s="11" t="str">
        <f>CONCATENATE("          ", "6111", " - ", "F.I.C.A.")</f>
        <v xml:space="preserve">          6111 - F.I.C.A.</v>
      </c>
      <c r="C23" s="11"/>
      <c r="D23" s="7">
        <v>1481.26</v>
      </c>
      <c r="E23" s="2"/>
      <c r="F23" s="6">
        <f t="shared" si="14"/>
        <v>0</v>
      </c>
      <c r="G23" s="2"/>
      <c r="H23" s="7">
        <v>2637.7353029723099</v>
      </c>
      <c r="I23" s="2"/>
      <c r="J23" s="6">
        <f t="shared" si="15"/>
        <v>5.7564822639175721E-2</v>
      </c>
      <c r="K23" s="2"/>
      <c r="L23" s="7">
        <f t="shared" si="16"/>
        <v>-1156.4753029723099</v>
      </c>
      <c r="M23" s="2"/>
      <c r="N23" s="6">
        <f t="shared" si="17"/>
        <v>-0.43843493381202631</v>
      </c>
      <c r="O23" s="11"/>
      <c r="P23" s="7">
        <v>18761.3</v>
      </c>
      <c r="Q23" s="2"/>
      <c r="R23" s="6">
        <f t="shared" si="18"/>
        <v>0</v>
      </c>
      <c r="S23" s="2"/>
      <c r="T23" s="7">
        <v>32016.341135667699</v>
      </c>
      <c r="U23" s="2"/>
      <c r="V23" s="6">
        <f t="shared" si="19"/>
        <v>5.6569871661947907E-2</v>
      </c>
      <c r="W23" s="2"/>
      <c r="X23" s="7">
        <f t="shared" si="20"/>
        <v>-13255.0411356677</v>
      </c>
      <c r="Y23" s="2"/>
      <c r="Z23" s="6">
        <f t="shared" si="21"/>
        <v>-0.41400861764622332</v>
      </c>
    </row>
    <row r="24" spans="1:26" s="24" customFormat="1" hidden="1" outlineLevel="2" x14ac:dyDescent="0.25">
      <c r="A24" s="25"/>
      <c r="B24" s="11" t="str">
        <f>CONCATENATE("          ", "6112", " - ", "COMPENSATION INSURANCE")</f>
        <v xml:space="preserve">          6112 - COMPENSATION INSURANCE</v>
      </c>
      <c r="C24" s="11"/>
      <c r="D24" s="7">
        <v>1264.07</v>
      </c>
      <c r="E24" s="2"/>
      <c r="F24" s="6">
        <f t="shared" si="14"/>
        <v>0</v>
      </c>
      <c r="G24" s="2"/>
      <c r="H24" s="7">
        <v>1762.4498116499999</v>
      </c>
      <c r="I24" s="2"/>
      <c r="J24" s="6">
        <f t="shared" si="15"/>
        <v>3.8462961277334028E-2</v>
      </c>
      <c r="K24" s="2"/>
      <c r="L24" s="7">
        <f t="shared" si="16"/>
        <v>-498.37981164999997</v>
      </c>
      <c r="M24" s="2"/>
      <c r="N24" s="6">
        <f t="shared" si="17"/>
        <v>-0.28277673971516859</v>
      </c>
      <c r="O24" s="11"/>
      <c r="P24" s="7">
        <v>10450.27</v>
      </c>
      <c r="Q24" s="2"/>
      <c r="R24" s="6">
        <f t="shared" si="18"/>
        <v>0</v>
      </c>
      <c r="S24" s="2"/>
      <c r="T24" s="7">
        <v>21892.133483549998</v>
      </c>
      <c r="U24" s="2"/>
      <c r="V24" s="6">
        <f t="shared" si="19"/>
        <v>3.8681346388797104E-2</v>
      </c>
      <c r="W24" s="2"/>
      <c r="X24" s="7">
        <f t="shared" si="20"/>
        <v>-11441.863483549998</v>
      </c>
      <c r="Y24" s="2"/>
      <c r="Z24" s="6">
        <f t="shared" si="21"/>
        <v>-0.52264725556088654</v>
      </c>
    </row>
    <row r="25" spans="1:26" s="24" customFormat="1" hidden="1" outlineLevel="2" x14ac:dyDescent="0.25">
      <c r="A25" s="25"/>
      <c r="B25" s="11" t="str">
        <f>CONCATENATE("          ", "6113", " - ", "GROUP INSURANCE")</f>
        <v xml:space="preserve">          6113 - GROUP INSURANCE</v>
      </c>
      <c r="C25" s="11"/>
      <c r="D25" s="7">
        <v>12477.9</v>
      </c>
      <c r="E25" s="2"/>
      <c r="F25" s="6">
        <f t="shared" si="14"/>
        <v>0</v>
      </c>
      <c r="G25" s="2"/>
      <c r="H25" s="7">
        <v>19310.769230769201</v>
      </c>
      <c r="I25" s="2"/>
      <c r="J25" s="6">
        <f t="shared" si="15"/>
        <v>0.4214300822916765</v>
      </c>
      <c r="K25" s="2"/>
      <c r="L25" s="7">
        <f t="shared" si="16"/>
        <v>-6832.8692307692017</v>
      </c>
      <c r="M25" s="2"/>
      <c r="N25" s="6">
        <f t="shared" si="17"/>
        <v>-0.35383723709368931</v>
      </c>
      <c r="O25" s="11"/>
      <c r="P25" s="7">
        <v>138091.07999999999</v>
      </c>
      <c r="Q25" s="2"/>
      <c r="R25" s="6">
        <f t="shared" si="18"/>
        <v>0</v>
      </c>
      <c r="S25" s="2"/>
      <c r="T25" s="7">
        <v>227769.23076922999</v>
      </c>
      <c r="U25" s="2"/>
      <c r="V25" s="6">
        <f t="shared" si="19"/>
        <v>0.40244686607245023</v>
      </c>
      <c r="W25" s="2"/>
      <c r="X25" s="7">
        <f t="shared" si="20"/>
        <v>-89678.150769230007</v>
      </c>
      <c r="Y25" s="2"/>
      <c r="Z25" s="6">
        <f t="shared" si="21"/>
        <v>-0.39372372847010945</v>
      </c>
    </row>
    <row r="26" spans="1:26" s="24" customFormat="1" hidden="1" outlineLevel="2" x14ac:dyDescent="0.25">
      <c r="A26" s="25"/>
      <c r="B26" s="11" t="str">
        <f>CONCATENATE("          ", "6114", " - ", "STATE UNEMPLOYMENT INSURANCE")</f>
        <v xml:space="preserve">          6114 - STATE UNEMPLOYMENT INSURANCE</v>
      </c>
      <c r="C26" s="11"/>
      <c r="D26" s="7">
        <v>76.61</v>
      </c>
      <c r="E26" s="2"/>
      <c r="F26" s="6">
        <f t="shared" si="14"/>
        <v>0</v>
      </c>
      <c r="G26" s="2"/>
      <c r="H26" s="7">
        <v>106.81514009999999</v>
      </c>
      <c r="I26" s="2"/>
      <c r="J26" s="6">
        <f t="shared" si="15"/>
        <v>2.3310885622626685E-3</v>
      </c>
      <c r="K26" s="2"/>
      <c r="L26" s="7">
        <f t="shared" si="16"/>
        <v>-30.205140099999994</v>
      </c>
      <c r="M26" s="2"/>
      <c r="N26" s="6">
        <f t="shared" si="17"/>
        <v>-0.2827795766753855</v>
      </c>
      <c r="O26" s="11"/>
      <c r="P26" s="7">
        <v>642.02</v>
      </c>
      <c r="Q26" s="2"/>
      <c r="R26" s="6">
        <f t="shared" si="18"/>
        <v>0</v>
      </c>
      <c r="S26" s="2"/>
      <c r="T26" s="7">
        <v>1326.7959687</v>
      </c>
      <c r="U26" s="2"/>
      <c r="V26" s="6">
        <f t="shared" si="19"/>
        <v>2.3443240235634611E-3</v>
      </c>
      <c r="W26" s="2"/>
      <c r="X26" s="7">
        <f t="shared" si="20"/>
        <v>-684.77596870000002</v>
      </c>
      <c r="Y26" s="2"/>
      <c r="Z26" s="6">
        <f t="shared" si="21"/>
        <v>-0.51611248817023936</v>
      </c>
    </row>
    <row r="27" spans="1:26" s="24" customFormat="1" hidden="1" outlineLevel="2" x14ac:dyDescent="0.25">
      <c r="A27" s="25"/>
      <c r="B27" s="11" t="str">
        <f>CONCATENATE("          ", "6115", " - ", "P.E.R.S.")</f>
        <v xml:space="preserve">          6115 - P.E.R.S.</v>
      </c>
      <c r="C27" s="11"/>
      <c r="D27" s="7">
        <v>494.19</v>
      </c>
      <c r="E27" s="2"/>
      <c r="F27" s="6">
        <f t="shared" si="14"/>
        <v>0</v>
      </c>
      <c r="G27" s="2"/>
      <c r="H27" s="7">
        <v>808.168461538462</v>
      </c>
      <c r="I27" s="2"/>
      <c r="J27" s="6">
        <f t="shared" si="15"/>
        <v>1.7637127614212867E-2</v>
      </c>
      <c r="K27" s="2"/>
      <c r="L27" s="7">
        <f t="shared" si="16"/>
        <v>-313.978461538462</v>
      </c>
      <c r="M27" s="2"/>
      <c r="N27" s="6">
        <f t="shared" si="17"/>
        <v>-0.38850620443757478</v>
      </c>
      <c r="O27" s="11"/>
      <c r="P27" s="7">
        <v>5984.66</v>
      </c>
      <c r="Q27" s="2"/>
      <c r="R27" s="6">
        <f t="shared" si="18"/>
        <v>0</v>
      </c>
      <c r="S27" s="2"/>
      <c r="T27" s="7">
        <v>9698.0215384615494</v>
      </c>
      <c r="U27" s="2"/>
      <c r="V27" s="6">
        <f t="shared" si="19"/>
        <v>1.7135494386471065E-2</v>
      </c>
      <c r="W27" s="2"/>
      <c r="X27" s="7">
        <f t="shared" si="20"/>
        <v>-3713.3615384615496</v>
      </c>
      <c r="Y27" s="2"/>
      <c r="Z27" s="6">
        <f t="shared" si="21"/>
        <v>-0.38289887517105065</v>
      </c>
    </row>
    <row r="28" spans="1:26" s="24" customFormat="1" hidden="1" outlineLevel="2" x14ac:dyDescent="0.25">
      <c r="A28" s="25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5"/>
      <c r="B29" s="11" t="str">
        <f>CONCATENATE("          ", "6117", " - ", "RETIREMENT STAFF HOURLY")</f>
        <v xml:space="preserve">          6117 - RETIREMENT STAFF HOURLY</v>
      </c>
      <c r="C29" s="11"/>
      <c r="D29" s="7">
        <v>539.33000000000004</v>
      </c>
      <c r="E29" s="2"/>
      <c r="F29" s="6">
        <f t="shared" si="14"/>
        <v>0</v>
      </c>
      <c r="G29" s="2"/>
      <c r="H29" s="7"/>
      <c r="I29" s="2"/>
      <c r="J29" s="6">
        <f t="shared" si="15"/>
        <v>0</v>
      </c>
      <c r="K29" s="2"/>
      <c r="L29" s="7">
        <f t="shared" si="16"/>
        <v>539.33000000000004</v>
      </c>
      <c r="M29" s="2"/>
      <c r="N29" s="6">
        <f t="shared" si="17"/>
        <v>0</v>
      </c>
      <c r="O29" s="11"/>
      <c r="P29" s="7">
        <v>6424.1</v>
      </c>
      <c r="Q29" s="2"/>
      <c r="R29" s="6">
        <f t="shared" si="18"/>
        <v>0</v>
      </c>
      <c r="S29" s="2"/>
      <c r="T29" s="7"/>
      <c r="U29" s="2"/>
      <c r="V29" s="6">
        <f t="shared" si="19"/>
        <v>0</v>
      </c>
      <c r="W29" s="2"/>
      <c r="X29" s="7">
        <f t="shared" si="20"/>
        <v>6424.1</v>
      </c>
      <c r="Y29" s="2"/>
      <c r="Z29" s="6">
        <f t="shared" si="21"/>
        <v>0</v>
      </c>
    </row>
    <row r="30" spans="1:26" s="24" customFormat="1" hidden="1" outlineLevel="2" x14ac:dyDescent="0.25">
      <c r="A30" s="25"/>
      <c r="B30" s="11" t="str">
        <f>CONCATENATE("          ", "6118", " - ", "VACATION")</f>
        <v xml:space="preserve">          6118 - VACATION</v>
      </c>
      <c r="C30" s="11"/>
      <c r="D30" s="7">
        <v>1248.1600000000001</v>
      </c>
      <c r="E30" s="2"/>
      <c r="F30" s="6">
        <f t="shared" si="14"/>
        <v>0</v>
      </c>
      <c r="G30" s="2"/>
      <c r="H30" s="7">
        <v>1943.1995692307701</v>
      </c>
      <c r="I30" s="2"/>
      <c r="J30" s="6">
        <f t="shared" si="15"/>
        <v>4.2407567745422946E-2</v>
      </c>
      <c r="K30" s="2"/>
      <c r="L30" s="7">
        <f t="shared" si="16"/>
        <v>-695.03956923076998</v>
      </c>
      <c r="M30" s="2"/>
      <c r="N30" s="6">
        <f t="shared" si="17"/>
        <v>-0.35767791442332736</v>
      </c>
      <c r="O30" s="11"/>
      <c r="P30" s="7">
        <v>14874.93</v>
      </c>
      <c r="Q30" s="2"/>
      <c r="R30" s="6">
        <f t="shared" si="18"/>
        <v>0</v>
      </c>
      <c r="S30" s="2"/>
      <c r="T30" s="7">
        <v>23318.394830769201</v>
      </c>
      <c r="U30" s="2"/>
      <c r="V30" s="6">
        <f t="shared" si="19"/>
        <v>4.1201416406376409E-2</v>
      </c>
      <c r="W30" s="2"/>
      <c r="X30" s="7">
        <f t="shared" si="20"/>
        <v>-8443.4648307692005</v>
      </c>
      <c r="Y30" s="2"/>
      <c r="Z30" s="6">
        <f t="shared" si="21"/>
        <v>-0.36209459922292075</v>
      </c>
    </row>
    <row r="31" spans="1:26" s="24" customFormat="1" hidden="1" outlineLevel="2" x14ac:dyDescent="0.25">
      <c r="A31" s="25"/>
      <c r="B31" s="11" t="str">
        <f>CONCATENATE("          ", "6119", " - ", "SICK LEAVE")</f>
        <v xml:space="preserve">          6119 - SICK LEAVE</v>
      </c>
      <c r="C31" s="11"/>
      <c r="D31" s="7">
        <v>950.34</v>
      </c>
      <c r="E31" s="2"/>
      <c r="F31" s="6">
        <f t="shared" si="14"/>
        <v>0</v>
      </c>
      <c r="G31" s="2"/>
      <c r="H31" s="7">
        <v>1320.42853961538</v>
      </c>
      <c r="I31" s="2"/>
      <c r="J31" s="6">
        <f t="shared" si="15"/>
        <v>2.8816475483727903E-2</v>
      </c>
      <c r="K31" s="2"/>
      <c r="L31" s="7">
        <f t="shared" si="16"/>
        <v>-370.08853961538</v>
      </c>
      <c r="M31" s="2"/>
      <c r="N31" s="6">
        <f t="shared" si="17"/>
        <v>-0.28027911281225482</v>
      </c>
      <c r="O31" s="11"/>
      <c r="P31" s="7">
        <v>11379.24</v>
      </c>
      <c r="Q31" s="2"/>
      <c r="R31" s="6">
        <f t="shared" si="18"/>
        <v>0</v>
      </c>
      <c r="S31" s="2"/>
      <c r="T31" s="7">
        <v>16364.5381003846</v>
      </c>
      <c r="U31" s="2"/>
      <c r="V31" s="6">
        <f t="shared" si="19"/>
        <v>2.8914603833805862E-2</v>
      </c>
      <c r="W31" s="2"/>
      <c r="X31" s="7">
        <f t="shared" si="20"/>
        <v>-4985.2981003845998</v>
      </c>
      <c r="Y31" s="2"/>
      <c r="Z31" s="6">
        <f t="shared" si="21"/>
        <v>-0.30464031858420954</v>
      </c>
    </row>
    <row r="32" spans="1:26" s="24" customFormat="1" hidden="1" outlineLevel="2" x14ac:dyDescent="0.25">
      <c r="A32" s="25"/>
      <c r="B32" s="11" t="str">
        <f>CONCATENATE("          ", "6156", " - ", "EMPLOYEE MEALS")</f>
        <v xml:space="preserve">          6156 - EMPLOYEE MEALS</v>
      </c>
      <c r="C32" s="11"/>
      <c r="D32" s="7">
        <v>696.21</v>
      </c>
      <c r="E32" s="2"/>
      <c r="F32" s="6">
        <f t="shared" si="14"/>
        <v>0</v>
      </c>
      <c r="G32" s="2"/>
      <c r="H32" s="7"/>
      <c r="I32" s="2"/>
      <c r="J32" s="6">
        <f t="shared" si="15"/>
        <v>0</v>
      </c>
      <c r="K32" s="2"/>
      <c r="L32" s="7">
        <f t="shared" si="16"/>
        <v>696.21</v>
      </c>
      <c r="M32" s="2"/>
      <c r="N32" s="6">
        <f t="shared" si="17"/>
        <v>0</v>
      </c>
      <c r="O32" s="11"/>
      <c r="P32" s="7">
        <v>7423.7</v>
      </c>
      <c r="Q32" s="2"/>
      <c r="R32" s="6">
        <f t="shared" si="18"/>
        <v>0</v>
      </c>
      <c r="S32" s="2"/>
      <c r="T32" s="7"/>
      <c r="U32" s="2"/>
      <c r="V32" s="6">
        <f t="shared" si="19"/>
        <v>0</v>
      </c>
      <c r="W32" s="2"/>
      <c r="X32" s="7">
        <f t="shared" si="20"/>
        <v>7423.7</v>
      </c>
      <c r="Y32" s="2"/>
      <c r="Z32" s="6">
        <f t="shared" si="21"/>
        <v>0</v>
      </c>
    </row>
    <row r="33" spans="1:26" s="27" customFormat="1" outlineLevel="1" collapsed="1" x14ac:dyDescent="0.25">
      <c r="A33" s="26"/>
      <c r="B33" s="13" t="str">
        <f>CONCATENATE("     ","*Payroll                                          ")</f>
        <v xml:space="preserve">     *Payroll                                          </v>
      </c>
      <c r="C33" s="13"/>
      <c r="D33" s="1">
        <f>SUM(OSRRefD22_1x_0)</f>
        <v>17449.73</v>
      </c>
      <c r="E33" s="1"/>
      <c r="F33" s="5">
        <f t="shared" ref="F33:F43" si="22">IF(D$12=0,0,D33/D$12)</f>
        <v>0</v>
      </c>
      <c r="G33" s="1"/>
      <c r="H33" s="1">
        <f>SUM(OSRRefH22_1x_0)</f>
        <v>37819.118083461537</v>
      </c>
      <c r="I33" s="1"/>
      <c r="J33" s="5">
        <f t="shared" ref="J33:J43" si="23">IF(H$12=0,0,H33/H$12)</f>
        <v>0.82534848071802924</v>
      </c>
      <c r="K33" s="1"/>
      <c r="L33" s="1">
        <f t="shared" ref="L33:L43" si="24">+D33-H33</f>
        <v>-20369.388083461537</v>
      </c>
      <c r="M33" s="1"/>
      <c r="N33" s="5">
        <f t="shared" ref="N33:N43" si="25">IF(H33=0,0,L33/H33)</f>
        <v>-0.53860029307159218</v>
      </c>
      <c r="O33" s="13"/>
      <c r="P33" s="1">
        <f>SUM(OSRRefP22_1x_0)</f>
        <v>222109.12</v>
      </c>
      <c r="Q33" s="1"/>
      <c r="R33" s="5">
        <f t="shared" ref="R33:R43" si="26">IF(P$12=0,0,P33/P$12)</f>
        <v>0</v>
      </c>
      <c r="S33" s="1"/>
      <c r="T33" s="1">
        <f>SUM(OSRRefT22_1x_0)</f>
        <v>470623.20887653792</v>
      </c>
      <c r="U33" s="1"/>
      <c r="V33" s="5">
        <f t="shared" ref="V33:V43" si="27">IF(T$12=0,0,T33/T$12)</f>
        <v>0.8315470657457632</v>
      </c>
      <c r="W33" s="1"/>
      <c r="X33" s="1">
        <f t="shared" ref="X33:X43" si="28">+P33-T33</f>
        <v>-248514.08887653792</v>
      </c>
      <c r="Y33" s="1"/>
      <c r="Z33" s="5">
        <f t="shared" ref="Z33:Z43" si="29">IF(T33=0,0,X33/T33)</f>
        <v>-0.52805319454980915</v>
      </c>
    </row>
    <row r="34" spans="1:26" s="24" customFormat="1" hidden="1" outlineLevel="2" x14ac:dyDescent="0.25">
      <c r="A34" s="25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5"/>
      <c r="B35" s="11" t="str">
        <f>CONCATENATE("          ", "6002", " - ", "STAFF SALARIES")</f>
        <v xml:space="preserve">          6002 - STAFF SALARIES</v>
      </c>
      <c r="C35" s="11"/>
      <c r="D35" s="7">
        <v>4032</v>
      </c>
      <c r="E35" s="2"/>
      <c r="F35" s="6">
        <f t="shared" si="22"/>
        <v>0</v>
      </c>
      <c r="G35" s="2"/>
      <c r="H35" s="7">
        <v>8337.7115384615408</v>
      </c>
      <c r="I35" s="2"/>
      <c r="J35" s="6">
        <f t="shared" si="23"/>
        <v>0.18195869971763654</v>
      </c>
      <c r="K35" s="2"/>
      <c r="L35" s="7">
        <f t="shared" si="24"/>
        <v>-4305.7115384615408</v>
      </c>
      <c r="M35" s="2"/>
      <c r="N35" s="6">
        <f t="shared" si="25"/>
        <v>-0.51641406860856964</v>
      </c>
      <c r="O35" s="11"/>
      <c r="P35" s="7">
        <v>47320.99</v>
      </c>
      <c r="Q35" s="2"/>
      <c r="R35" s="6">
        <f t="shared" si="26"/>
        <v>0</v>
      </c>
      <c r="S35" s="2"/>
      <c r="T35" s="7">
        <v>100052.538461538</v>
      </c>
      <c r="U35" s="2"/>
      <c r="V35" s="6">
        <f t="shared" si="27"/>
        <v>0.17678345055849784</v>
      </c>
      <c r="W35" s="2"/>
      <c r="X35" s="7">
        <f t="shared" si="28"/>
        <v>-52731.548461538005</v>
      </c>
      <c r="Y35" s="2"/>
      <c r="Z35" s="6">
        <f t="shared" si="29"/>
        <v>-0.52703858665024239</v>
      </c>
    </row>
    <row r="36" spans="1:26" s="24" customFormat="1" hidden="1" outlineLevel="2" x14ac:dyDescent="0.25">
      <c r="A36" s="25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5"/>
      <c r="B37" s="11" t="str">
        <f>CONCATENATE("          ", "6004", " - ", "STAFF HOURLY")</f>
        <v xml:space="preserve">          6004 - STAFF HOURLY</v>
      </c>
      <c r="C37" s="11"/>
      <c r="D37" s="7">
        <v>13417.73</v>
      </c>
      <c r="E37" s="2"/>
      <c r="F37" s="6">
        <f t="shared" si="22"/>
        <v>0</v>
      </c>
      <c r="G37" s="2"/>
      <c r="H37" s="7">
        <v>23063.825919999999</v>
      </c>
      <c r="I37" s="2"/>
      <c r="J37" s="6">
        <f t="shared" si="23"/>
        <v>0.50333520841517176</v>
      </c>
      <c r="K37" s="2"/>
      <c r="L37" s="7">
        <f t="shared" si="24"/>
        <v>-9646.0959199999998</v>
      </c>
      <c r="M37" s="2"/>
      <c r="N37" s="6">
        <f t="shared" si="25"/>
        <v>-0.41823485632690727</v>
      </c>
      <c r="O37" s="11"/>
      <c r="P37" s="7">
        <v>174788.13</v>
      </c>
      <c r="Q37" s="2"/>
      <c r="R37" s="6">
        <f t="shared" si="26"/>
        <v>0</v>
      </c>
      <c r="S37" s="2"/>
      <c r="T37" s="7">
        <v>276765.91103999998</v>
      </c>
      <c r="U37" s="2"/>
      <c r="V37" s="6">
        <f t="shared" si="27"/>
        <v>0.48901940423456736</v>
      </c>
      <c r="W37" s="2"/>
      <c r="X37" s="7">
        <f t="shared" si="28"/>
        <v>-101977.78103999997</v>
      </c>
      <c r="Y37" s="2"/>
      <c r="Z37" s="6">
        <f t="shared" si="29"/>
        <v>-0.36846221652370148</v>
      </c>
    </row>
    <row r="38" spans="1:26" s="24" customFormat="1" hidden="1" outlineLevel="2" x14ac:dyDescent="0.25">
      <c r="A38" s="25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2"/>
        <v>0</v>
      </c>
      <c r="G38" s="2"/>
      <c r="H38" s="7">
        <v>1867.068125</v>
      </c>
      <c r="I38" s="2"/>
      <c r="J38" s="6">
        <f t="shared" si="23"/>
        <v>4.0746107219239665E-2</v>
      </c>
      <c r="K38" s="2"/>
      <c r="L38" s="7">
        <f t="shared" si="24"/>
        <v>-1867.068125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27935.454375000001</v>
      </c>
      <c r="U38" s="2"/>
      <c r="V38" s="6">
        <f t="shared" si="27"/>
        <v>4.9359327542003777E-2</v>
      </c>
      <c r="W38" s="2"/>
      <c r="X38" s="7">
        <f t="shared" si="28"/>
        <v>-27935.454375000001</v>
      </c>
      <c r="Y38" s="2"/>
      <c r="Z38" s="6">
        <f t="shared" si="29"/>
        <v>-1</v>
      </c>
    </row>
    <row r="39" spans="1:26" s="24" customFormat="1" hidden="1" outlineLevel="2" x14ac:dyDescent="0.25">
      <c r="A39" s="25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5"/>
      <c r="B40" s="11" t="str">
        <f>CONCATENATE("          ", "6007", " - ", "STUDENT HOURLY")</f>
        <v xml:space="preserve">          6007 - STUDENT HOURLY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>
        <v>0</v>
      </c>
      <c r="Q40" s="2"/>
      <c r="R40" s="6">
        <f t="shared" si="26"/>
        <v>0</v>
      </c>
      <c r="S40" s="2"/>
      <c r="T40" s="7">
        <v>4607.5</v>
      </c>
      <c r="U40" s="2"/>
      <c r="V40" s="6">
        <f t="shared" si="27"/>
        <v>8.1410203176543964E-3</v>
      </c>
      <c r="W40" s="2"/>
      <c r="X40" s="7">
        <f t="shared" si="28"/>
        <v>-4607.5</v>
      </c>
      <c r="Y40" s="2"/>
      <c r="Z40" s="6">
        <f t="shared" si="29"/>
        <v>-1</v>
      </c>
    </row>
    <row r="41" spans="1:26" s="24" customFormat="1" hidden="1" outlineLevel="2" x14ac:dyDescent="0.25">
      <c r="A41" s="25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2"/>
        <v>0</v>
      </c>
      <c r="G41" s="2"/>
      <c r="H41" s="7">
        <v>4550.5124999999998</v>
      </c>
      <c r="I41" s="2"/>
      <c r="J41" s="6">
        <f t="shared" si="23"/>
        <v>9.9308465365981397E-2</v>
      </c>
      <c r="K41" s="2"/>
      <c r="L41" s="7">
        <f t="shared" si="24"/>
        <v>-4550.5124999999998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61261.805</v>
      </c>
      <c r="U41" s="2"/>
      <c r="V41" s="6">
        <f t="shared" si="27"/>
        <v>0.10824386309303997</v>
      </c>
      <c r="W41" s="2"/>
      <c r="X41" s="7">
        <f t="shared" si="28"/>
        <v>-61261.805</v>
      </c>
      <c r="Y41" s="2"/>
      <c r="Z41" s="6">
        <f t="shared" si="29"/>
        <v>-1</v>
      </c>
    </row>
    <row r="42" spans="1:26" s="24" customFormat="1" hidden="1" outlineLevel="2" x14ac:dyDescent="0.25">
      <c r="A42" s="25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5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7" customFormat="1" outlineLevel="1" collapsed="1" x14ac:dyDescent="0.25">
      <c r="A44" s="26"/>
      <c r="B44" s="13" t="str">
        <f>CONCATENATE("     ","Advertising/Promo                                 ")</f>
        <v xml:space="preserve">     Advertising/Promo                                 </v>
      </c>
      <c r="C44" s="13"/>
      <c r="D44" s="1">
        <f>SUM(OSRRefD22_2x_0)</f>
        <v>0</v>
      </c>
      <c r="E44" s="1"/>
      <c r="F44" s="5">
        <f t="shared" ref="F44:F69" si="30">IF(D$12=0,0,D44/D$12)</f>
        <v>0</v>
      </c>
      <c r="G44" s="1"/>
      <c r="H44" s="1">
        <f>SUM(OSRRefH22_2x_0)</f>
        <v>300</v>
      </c>
      <c r="I44" s="1"/>
      <c r="J44" s="5">
        <f t="shared" ref="J44:J69" si="31">IF(H$12=0,0,H44/H$12)</f>
        <v>6.5470734581642006E-3</v>
      </c>
      <c r="K44" s="1"/>
      <c r="L44" s="1">
        <f t="shared" ref="L44:L69" si="32">+D44-H44</f>
        <v>-300</v>
      </c>
      <c r="M44" s="1"/>
      <c r="N44" s="5">
        <f t="shared" ref="N44:N69" si="33">IF(H44=0,0,L44/H44)</f>
        <v>-1</v>
      </c>
      <c r="O44" s="13"/>
      <c r="P44" s="1">
        <f>SUM(OSRRefP22_2x_0)</f>
        <v>0</v>
      </c>
      <c r="Q44" s="1"/>
      <c r="R44" s="5">
        <f t="shared" ref="R44:R69" si="34">IF(P$12=0,0,P44/P$12)</f>
        <v>0</v>
      </c>
      <c r="S44" s="1"/>
      <c r="T44" s="1">
        <f>SUM(OSRRefT22_2x_0)</f>
        <v>3400</v>
      </c>
      <c r="U44" s="1"/>
      <c r="V44" s="5">
        <f t="shared" ref="V44:V69" si="35">IF(T$12=0,0,T44/T$12)</f>
        <v>6.0074810808518611E-3</v>
      </c>
      <c r="W44" s="1"/>
      <c r="X44" s="1">
        <f t="shared" ref="X44:X69" si="36">+P44-T44</f>
        <v>-3400</v>
      </c>
      <c r="Y44" s="1"/>
      <c r="Z44" s="5">
        <f t="shared" ref="Z44:Z69" si="37">IF(T44=0,0,X44/T44)</f>
        <v>-1</v>
      </c>
    </row>
    <row r="45" spans="1:26" s="24" customFormat="1" hidden="1" outlineLevel="2" x14ac:dyDescent="0.25">
      <c r="A45" s="25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30"/>
        <v>0</v>
      </c>
      <c r="G45" s="2"/>
      <c r="H45" s="7">
        <v>300</v>
      </c>
      <c r="I45" s="2"/>
      <c r="J45" s="6">
        <f t="shared" si="31"/>
        <v>6.5470734581642006E-3</v>
      </c>
      <c r="K45" s="2"/>
      <c r="L45" s="7">
        <f t="shared" si="32"/>
        <v>-300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3400</v>
      </c>
      <c r="U45" s="2"/>
      <c r="V45" s="6">
        <f t="shared" si="35"/>
        <v>6.0074810808518611E-3</v>
      </c>
      <c r="W45" s="2"/>
      <c r="X45" s="7">
        <f t="shared" si="36"/>
        <v>-3400</v>
      </c>
      <c r="Y45" s="2"/>
      <c r="Z45" s="6">
        <f t="shared" si="37"/>
        <v>-1</v>
      </c>
    </row>
    <row r="46" spans="1:26" s="27" customFormat="1" outlineLevel="1" collapsed="1" x14ac:dyDescent="0.25">
      <c r="A46" s="26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8</v>
      </c>
      <c r="I46" s="1"/>
      <c r="J46" s="5">
        <f t="shared" si="31"/>
        <v>1.7458862555104536E-4</v>
      </c>
      <c r="K46" s="1"/>
      <c r="L46" s="1">
        <f t="shared" si="32"/>
        <v>-8</v>
      </c>
      <c r="M46" s="1"/>
      <c r="N46" s="5">
        <f t="shared" si="33"/>
        <v>-1</v>
      </c>
      <c r="O46" s="13"/>
      <c r="P46" s="1">
        <f>SUM(OSRRefP22_3x_0)</f>
        <v>29.74</v>
      </c>
      <c r="Q46" s="1"/>
      <c r="R46" s="5">
        <f t="shared" si="34"/>
        <v>0</v>
      </c>
      <c r="S46" s="1"/>
      <c r="T46" s="1">
        <f>SUM(OSRRefT22_3x_0)</f>
        <v>80</v>
      </c>
      <c r="U46" s="1"/>
      <c r="V46" s="5">
        <f t="shared" si="35"/>
        <v>1.4135249602004378E-4</v>
      </c>
      <c r="W46" s="1"/>
      <c r="X46" s="1">
        <f t="shared" si="36"/>
        <v>-50.260000000000005</v>
      </c>
      <c r="Y46" s="1"/>
      <c r="Z46" s="5">
        <f t="shared" si="37"/>
        <v>-0.62825000000000009</v>
      </c>
    </row>
    <row r="47" spans="1:26" s="24" customFormat="1" hidden="1" outlineLevel="2" x14ac:dyDescent="0.25">
      <c r="A47" s="25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30"/>
        <v>0</v>
      </c>
      <c r="G47" s="2"/>
      <c r="H47" s="7">
        <v>8</v>
      </c>
      <c r="I47" s="2"/>
      <c r="J47" s="6">
        <f t="shared" si="31"/>
        <v>1.7458862555104536E-4</v>
      </c>
      <c r="K47" s="2"/>
      <c r="L47" s="7">
        <f t="shared" si="32"/>
        <v>-8</v>
      </c>
      <c r="M47" s="2"/>
      <c r="N47" s="6">
        <f t="shared" si="33"/>
        <v>-1</v>
      </c>
      <c r="O47" s="11"/>
      <c r="P47" s="7">
        <v>29.74</v>
      </c>
      <c r="Q47" s="2"/>
      <c r="R47" s="6">
        <f t="shared" si="34"/>
        <v>0</v>
      </c>
      <c r="S47" s="2"/>
      <c r="T47" s="7">
        <v>80</v>
      </c>
      <c r="U47" s="2"/>
      <c r="V47" s="6">
        <f t="shared" si="35"/>
        <v>1.4135249602004378E-4</v>
      </c>
      <c r="W47" s="2"/>
      <c r="X47" s="7">
        <f t="shared" si="36"/>
        <v>-50.260000000000005</v>
      </c>
      <c r="Y47" s="2"/>
      <c r="Z47" s="6">
        <f t="shared" si="37"/>
        <v>-0.62825000000000009</v>
      </c>
    </row>
    <row r="48" spans="1:26" s="27" customFormat="1" outlineLevel="1" collapsed="1" x14ac:dyDescent="0.25">
      <c r="A48" s="26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1</v>
      </c>
      <c r="I48" s="1"/>
      <c r="J48" s="5">
        <f t="shared" si="31"/>
        <v>2.182357819388067E-5</v>
      </c>
      <c r="K48" s="1"/>
      <c r="L48" s="1">
        <f t="shared" si="32"/>
        <v>-1</v>
      </c>
      <c r="M48" s="1"/>
      <c r="N48" s="5">
        <f t="shared" si="33"/>
        <v>-1</v>
      </c>
      <c r="O48" s="13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91</v>
      </c>
      <c r="U48" s="1"/>
      <c r="V48" s="5">
        <f t="shared" si="35"/>
        <v>1.607884642227998E-4</v>
      </c>
      <c r="W48" s="1"/>
      <c r="X48" s="1">
        <f t="shared" si="36"/>
        <v>-91</v>
      </c>
      <c r="Y48" s="1"/>
      <c r="Z48" s="5">
        <f t="shared" si="37"/>
        <v>-1</v>
      </c>
    </row>
    <row r="49" spans="1:26" s="24" customFormat="1" hidden="1" outlineLevel="2" x14ac:dyDescent="0.25">
      <c r="A49" s="25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30"/>
        <v>0</v>
      </c>
      <c r="G49" s="2"/>
      <c r="H49" s="7">
        <v>1</v>
      </c>
      <c r="I49" s="2"/>
      <c r="J49" s="6">
        <f t="shared" si="31"/>
        <v>2.182357819388067E-5</v>
      </c>
      <c r="K49" s="2"/>
      <c r="L49" s="7">
        <f t="shared" si="32"/>
        <v>-1</v>
      </c>
      <c r="M49" s="2"/>
      <c r="N49" s="6">
        <f t="shared" si="33"/>
        <v>-1</v>
      </c>
      <c r="O49" s="11"/>
      <c r="P49" s="7"/>
      <c r="Q49" s="2"/>
      <c r="R49" s="6">
        <f t="shared" si="34"/>
        <v>0</v>
      </c>
      <c r="S49" s="2"/>
      <c r="T49" s="7">
        <v>91</v>
      </c>
      <c r="U49" s="2"/>
      <c r="V49" s="6">
        <f t="shared" si="35"/>
        <v>1.607884642227998E-4</v>
      </c>
      <c r="W49" s="2"/>
      <c r="X49" s="7">
        <f t="shared" si="36"/>
        <v>-91</v>
      </c>
      <c r="Y49" s="2"/>
      <c r="Z49" s="6">
        <f t="shared" si="37"/>
        <v>-1</v>
      </c>
    </row>
    <row r="50" spans="1:26" s="27" customFormat="1" outlineLevel="1" collapsed="1" x14ac:dyDescent="0.25">
      <c r="A50" s="26"/>
      <c r="B50" s="13" t="str">
        <f>CONCATENATE("     ","Depreciation                                      ")</f>
        <v xml:space="preserve">     Depreciation                                      </v>
      </c>
      <c r="C50" s="13"/>
      <c r="D50" s="1">
        <f>SUM(OSRRefD22_5x_0)</f>
        <v>213.02</v>
      </c>
      <c r="E50" s="1"/>
      <c r="F50" s="5">
        <f t="shared" si="30"/>
        <v>0</v>
      </c>
      <c r="G50" s="1"/>
      <c r="H50" s="1">
        <f>SUM(OSRRefH22_5x_0)</f>
        <v>213</v>
      </c>
      <c r="I50" s="1"/>
      <c r="J50" s="5">
        <f t="shared" si="31"/>
        <v>4.6484221552965822E-3</v>
      </c>
      <c r="K50" s="1"/>
      <c r="L50" s="1">
        <f t="shared" si="32"/>
        <v>2.0000000000010232E-2</v>
      </c>
      <c r="M50" s="1"/>
      <c r="N50" s="5">
        <f t="shared" si="33"/>
        <v>9.3896713615071505E-5</v>
      </c>
      <c r="O50" s="13"/>
      <c r="P50" s="1">
        <f>SUM(OSRRefP22_5x_0)</f>
        <v>2343.2199999999998</v>
      </c>
      <c r="Q50" s="1"/>
      <c r="R50" s="5">
        <f t="shared" si="34"/>
        <v>0</v>
      </c>
      <c r="S50" s="1"/>
      <c r="T50" s="1">
        <f>SUM(OSRRefT22_5x_0)</f>
        <v>2343</v>
      </c>
      <c r="U50" s="1"/>
      <c r="V50" s="5">
        <f t="shared" si="35"/>
        <v>4.1398612271870321E-3</v>
      </c>
      <c r="W50" s="1"/>
      <c r="X50" s="1">
        <f t="shared" si="36"/>
        <v>0.21999999999979991</v>
      </c>
      <c r="Y50" s="1"/>
      <c r="Z50" s="5">
        <f t="shared" si="37"/>
        <v>9.389671361493808E-5</v>
      </c>
    </row>
    <row r="51" spans="1:26" s="24" customFormat="1" hidden="1" outlineLevel="2" x14ac:dyDescent="0.25">
      <c r="A51" s="25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213.02</v>
      </c>
      <c r="E51" s="2"/>
      <c r="F51" s="6">
        <f t="shared" si="30"/>
        <v>0</v>
      </c>
      <c r="G51" s="2"/>
      <c r="H51" s="7">
        <v>213</v>
      </c>
      <c r="I51" s="2"/>
      <c r="J51" s="6">
        <f t="shared" si="31"/>
        <v>4.6484221552965822E-3</v>
      </c>
      <c r="K51" s="2"/>
      <c r="L51" s="7">
        <f t="shared" si="32"/>
        <v>2.0000000000010232E-2</v>
      </c>
      <c r="M51" s="2"/>
      <c r="N51" s="6">
        <f t="shared" si="33"/>
        <v>9.3896713615071505E-5</v>
      </c>
      <c r="O51" s="11"/>
      <c r="P51" s="7">
        <v>2343.2199999999998</v>
      </c>
      <c r="Q51" s="2"/>
      <c r="R51" s="6">
        <f t="shared" si="34"/>
        <v>0</v>
      </c>
      <c r="S51" s="2"/>
      <c r="T51" s="7">
        <v>2343</v>
      </c>
      <c r="U51" s="2"/>
      <c r="V51" s="6">
        <f t="shared" si="35"/>
        <v>4.1398612271870321E-3</v>
      </c>
      <c r="W51" s="2"/>
      <c r="X51" s="7">
        <f t="shared" si="36"/>
        <v>0.21999999999979991</v>
      </c>
      <c r="Y51" s="2"/>
      <c r="Z51" s="6">
        <f t="shared" si="37"/>
        <v>9.389671361493808E-5</v>
      </c>
    </row>
    <row r="52" spans="1:26" s="27" customFormat="1" outlineLevel="1" collapsed="1" x14ac:dyDescent="0.25">
      <c r="A52" s="26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0</v>
      </c>
      <c r="E52" s="1"/>
      <c r="F52" s="5">
        <f t="shared" si="30"/>
        <v>0</v>
      </c>
      <c r="G52" s="1"/>
      <c r="H52" s="1">
        <f>SUM(OSRRefH22_6x_0)</f>
        <v>2673</v>
      </c>
      <c r="I52" s="1"/>
      <c r="J52" s="5">
        <f t="shared" si="31"/>
        <v>5.8334424512243029E-2</v>
      </c>
      <c r="K52" s="1"/>
      <c r="L52" s="1">
        <f t="shared" si="32"/>
        <v>-2673</v>
      </c>
      <c r="M52" s="1"/>
      <c r="N52" s="5">
        <f t="shared" si="33"/>
        <v>-1</v>
      </c>
      <c r="O52" s="13"/>
      <c r="P52" s="1">
        <f>SUM(OSRRefP22_6x_0)</f>
        <v>0</v>
      </c>
      <c r="Q52" s="1"/>
      <c r="R52" s="5">
        <f t="shared" si="34"/>
        <v>0</v>
      </c>
      <c r="S52" s="1"/>
      <c r="T52" s="1">
        <f>SUM(OSRRefT22_6x_0)</f>
        <v>26730</v>
      </c>
      <c r="U52" s="1"/>
      <c r="V52" s="5">
        <f t="shared" si="35"/>
        <v>4.7229402732697129E-2</v>
      </c>
      <c r="W52" s="1"/>
      <c r="X52" s="1">
        <f t="shared" si="36"/>
        <v>-26730</v>
      </c>
      <c r="Y52" s="1"/>
      <c r="Z52" s="5">
        <f t="shared" si="37"/>
        <v>-1</v>
      </c>
    </row>
    <row r="53" spans="1:26" s="24" customFormat="1" hidden="1" outlineLevel="2" x14ac:dyDescent="0.25">
      <c r="A53" s="25"/>
      <c r="B53" s="11" t="str">
        <f>CONCATENATE("          ", "6399", " - ", "DONATION-ON CAMPUS")</f>
        <v xml:space="preserve">          6399 - DONATION-ON CAMPUS</v>
      </c>
      <c r="C53" s="11"/>
      <c r="D53" s="7"/>
      <c r="E53" s="2"/>
      <c r="F53" s="6">
        <f t="shared" si="30"/>
        <v>0</v>
      </c>
      <c r="G53" s="2"/>
      <c r="H53" s="7">
        <v>2673</v>
      </c>
      <c r="I53" s="2"/>
      <c r="J53" s="6">
        <f t="shared" si="31"/>
        <v>5.8334424512243029E-2</v>
      </c>
      <c r="K53" s="2"/>
      <c r="L53" s="7">
        <f t="shared" si="32"/>
        <v>-2673</v>
      </c>
      <c r="M53" s="2"/>
      <c r="N53" s="6">
        <f t="shared" si="33"/>
        <v>-1</v>
      </c>
      <c r="O53" s="11"/>
      <c r="P53" s="7"/>
      <c r="Q53" s="2"/>
      <c r="R53" s="6">
        <f t="shared" si="34"/>
        <v>0</v>
      </c>
      <c r="S53" s="2"/>
      <c r="T53" s="7">
        <v>26730</v>
      </c>
      <c r="U53" s="2"/>
      <c r="V53" s="6">
        <f t="shared" si="35"/>
        <v>4.7229402732697129E-2</v>
      </c>
      <c r="W53" s="2"/>
      <c r="X53" s="7">
        <f t="shared" si="36"/>
        <v>-26730</v>
      </c>
      <c r="Y53" s="2"/>
      <c r="Z53" s="6">
        <f t="shared" si="37"/>
        <v>-1</v>
      </c>
    </row>
    <row r="54" spans="1:26" s="27" customFormat="1" outlineLevel="1" collapsed="1" x14ac:dyDescent="0.25">
      <c r="A54" s="26"/>
      <c r="B54" s="13" t="str">
        <f>CONCATENATE("     ","Employees' Appreciation                           ")</f>
        <v xml:space="preserve">     Employees' Appreciation                           </v>
      </c>
      <c r="C54" s="13"/>
      <c r="D54" s="1">
        <f>SUM(OSRRefD22_7x_0)</f>
        <v>0</v>
      </c>
      <c r="E54" s="1"/>
      <c r="F54" s="5">
        <f t="shared" si="30"/>
        <v>0</v>
      </c>
      <c r="G54" s="1"/>
      <c r="H54" s="1">
        <f>SUM(OSRRefH22_7x_0)</f>
        <v>50</v>
      </c>
      <c r="I54" s="1"/>
      <c r="J54" s="5">
        <f t="shared" si="31"/>
        <v>1.0911789096940334E-3</v>
      </c>
      <c r="K54" s="1"/>
      <c r="L54" s="1">
        <f t="shared" si="32"/>
        <v>-50</v>
      </c>
      <c r="M54" s="1"/>
      <c r="N54" s="5">
        <f t="shared" si="33"/>
        <v>-1</v>
      </c>
      <c r="O54" s="13"/>
      <c r="P54" s="1">
        <f>SUM(OSRRefP22_7x_0)</f>
        <v>0</v>
      </c>
      <c r="Q54" s="1"/>
      <c r="R54" s="5">
        <f t="shared" si="34"/>
        <v>0</v>
      </c>
      <c r="S54" s="1"/>
      <c r="T54" s="1">
        <f>SUM(OSRRefT22_7x_0)</f>
        <v>500</v>
      </c>
      <c r="U54" s="1"/>
      <c r="V54" s="5">
        <f t="shared" si="35"/>
        <v>8.834531001252736E-4</v>
      </c>
      <c r="W54" s="1"/>
      <c r="X54" s="1">
        <f t="shared" si="36"/>
        <v>-500</v>
      </c>
      <c r="Y54" s="1"/>
      <c r="Z54" s="5">
        <f t="shared" si="37"/>
        <v>-1</v>
      </c>
    </row>
    <row r="55" spans="1:26" s="24" customFormat="1" hidden="1" outlineLevel="2" x14ac:dyDescent="0.25">
      <c r="A55" s="25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30"/>
        <v>0</v>
      </c>
      <c r="G55" s="2"/>
      <c r="H55" s="7">
        <v>50</v>
      </c>
      <c r="I55" s="2"/>
      <c r="J55" s="6">
        <f t="shared" si="31"/>
        <v>1.0911789096940334E-3</v>
      </c>
      <c r="K55" s="2"/>
      <c r="L55" s="7">
        <f t="shared" si="32"/>
        <v>-50</v>
      </c>
      <c r="M55" s="2"/>
      <c r="N55" s="6">
        <f t="shared" si="33"/>
        <v>-1</v>
      </c>
      <c r="O55" s="11"/>
      <c r="P55" s="7"/>
      <c r="Q55" s="2"/>
      <c r="R55" s="6">
        <f t="shared" si="34"/>
        <v>0</v>
      </c>
      <c r="S55" s="2"/>
      <c r="T55" s="7">
        <v>500</v>
      </c>
      <c r="U55" s="2"/>
      <c r="V55" s="6">
        <f t="shared" si="35"/>
        <v>8.834531001252736E-4</v>
      </c>
      <c r="W55" s="2"/>
      <c r="X55" s="7">
        <f t="shared" si="36"/>
        <v>-500</v>
      </c>
      <c r="Y55" s="2"/>
      <c r="Z55" s="6">
        <f t="shared" si="37"/>
        <v>-1</v>
      </c>
    </row>
    <row r="56" spans="1:26" s="27" customFormat="1" outlineLevel="1" collapsed="1" x14ac:dyDescent="0.25">
      <c r="A56" s="26"/>
      <c r="B56" s="13" t="str">
        <f>CONCATENATE("     ","Equipment Rental                                  ")</f>
        <v xml:space="preserve">     Equipment Rental                                  </v>
      </c>
      <c r="C56" s="13"/>
      <c r="D56" s="1">
        <f>SUM(OSRRefD22_8x_0)</f>
        <v>0</v>
      </c>
      <c r="E56" s="1"/>
      <c r="F56" s="5">
        <f t="shared" si="30"/>
        <v>0</v>
      </c>
      <c r="G56" s="1"/>
      <c r="H56" s="1">
        <f>SUM(OSRRefH22_8x_0)</f>
        <v>0</v>
      </c>
      <c r="I56" s="1"/>
      <c r="J56" s="5">
        <f t="shared" si="31"/>
        <v>0</v>
      </c>
      <c r="K56" s="1"/>
      <c r="L56" s="1">
        <f t="shared" si="32"/>
        <v>0</v>
      </c>
      <c r="M56" s="1"/>
      <c r="N56" s="5">
        <f t="shared" si="33"/>
        <v>0</v>
      </c>
      <c r="O56" s="13"/>
      <c r="P56" s="1">
        <f>SUM(OSRRefP22_8x_0)</f>
        <v>20</v>
      </c>
      <c r="Q56" s="1"/>
      <c r="R56" s="5">
        <f t="shared" si="34"/>
        <v>0</v>
      </c>
      <c r="S56" s="1"/>
      <c r="T56" s="1">
        <f>SUM(OSRRefT22_8x_0)</f>
        <v>0</v>
      </c>
      <c r="U56" s="1"/>
      <c r="V56" s="5">
        <f t="shared" si="35"/>
        <v>0</v>
      </c>
      <c r="W56" s="1"/>
      <c r="X56" s="1">
        <f t="shared" si="36"/>
        <v>20</v>
      </c>
      <c r="Y56" s="1"/>
      <c r="Z56" s="5">
        <f t="shared" si="37"/>
        <v>0</v>
      </c>
    </row>
    <row r="57" spans="1:26" s="24" customFormat="1" hidden="1" outlineLevel="2" x14ac:dyDescent="0.25">
      <c r="A57" s="25"/>
      <c r="B57" s="11" t="str">
        <f>CONCATENATE("          ", "6351", " - ", "EQUIPMENT RENTAL")</f>
        <v xml:space="preserve">          6351 - EQUIPMENT RENTAL</v>
      </c>
      <c r="C57" s="11"/>
      <c r="D57" s="7"/>
      <c r="E57" s="2"/>
      <c r="F57" s="6">
        <f t="shared" si="30"/>
        <v>0</v>
      </c>
      <c r="G57" s="2"/>
      <c r="H57" s="7"/>
      <c r="I57" s="2"/>
      <c r="J57" s="6">
        <f t="shared" si="31"/>
        <v>0</v>
      </c>
      <c r="K57" s="2"/>
      <c r="L57" s="7">
        <f t="shared" si="32"/>
        <v>0</v>
      </c>
      <c r="M57" s="2"/>
      <c r="N57" s="6">
        <f t="shared" si="33"/>
        <v>0</v>
      </c>
      <c r="O57" s="11"/>
      <c r="P57" s="7">
        <v>20</v>
      </c>
      <c r="Q57" s="2"/>
      <c r="R57" s="6">
        <f t="shared" si="34"/>
        <v>0</v>
      </c>
      <c r="S57" s="2"/>
      <c r="T57" s="7"/>
      <c r="U57" s="2"/>
      <c r="V57" s="6">
        <f t="shared" si="35"/>
        <v>0</v>
      </c>
      <c r="W57" s="2"/>
      <c r="X57" s="7">
        <f t="shared" si="36"/>
        <v>20</v>
      </c>
      <c r="Y57" s="2"/>
      <c r="Z57" s="6">
        <f t="shared" si="37"/>
        <v>0</v>
      </c>
    </row>
    <row r="58" spans="1:26" s="27" customFormat="1" outlineLevel="1" collapsed="1" x14ac:dyDescent="0.25">
      <c r="A58" s="26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SUM(OSRRefD22_9x_0)</f>
        <v>303.18</v>
      </c>
      <c r="E58" s="1"/>
      <c r="F58" s="5">
        <f t="shared" si="30"/>
        <v>0</v>
      </c>
      <c r="G58" s="1"/>
      <c r="H58" s="1">
        <f>SUM(OSRRefH22_9x_0)</f>
        <v>10</v>
      </c>
      <c r="I58" s="1"/>
      <c r="J58" s="5">
        <f t="shared" si="31"/>
        <v>2.1823578193880667E-4</v>
      </c>
      <c r="K58" s="1"/>
      <c r="L58" s="1">
        <f t="shared" si="32"/>
        <v>293.18</v>
      </c>
      <c r="M58" s="1"/>
      <c r="N58" s="5">
        <f t="shared" si="33"/>
        <v>29.318000000000001</v>
      </c>
      <c r="O58" s="13"/>
      <c r="P58" s="1">
        <f>SUM(OSRRefP22_9x_0)</f>
        <v>2179.0500000000002</v>
      </c>
      <c r="Q58" s="1"/>
      <c r="R58" s="5">
        <f t="shared" si="34"/>
        <v>0</v>
      </c>
      <c r="S58" s="1"/>
      <c r="T58" s="1">
        <f>SUM(OSRRefT22_9x_0)</f>
        <v>1700</v>
      </c>
      <c r="U58" s="1"/>
      <c r="V58" s="5">
        <f t="shared" si="35"/>
        <v>3.0037405404259305E-3</v>
      </c>
      <c r="W58" s="1"/>
      <c r="X58" s="1">
        <f t="shared" si="36"/>
        <v>479.05000000000018</v>
      </c>
      <c r="Y58" s="1"/>
      <c r="Z58" s="5">
        <f t="shared" si="37"/>
        <v>0.28179411764705892</v>
      </c>
    </row>
    <row r="59" spans="1:26" s="24" customFormat="1" hidden="1" outlineLevel="2" x14ac:dyDescent="0.25">
      <c r="A59" s="25"/>
      <c r="B59" s="11" t="str">
        <f>CONCATENATE("          ", "6279", " - ", "GENERAL EXPENSE")</f>
        <v xml:space="preserve">          6279 - GENERAL EXPENSE</v>
      </c>
      <c r="C59" s="11"/>
      <c r="D59" s="7">
        <v>303.18</v>
      </c>
      <c r="E59" s="2"/>
      <c r="F59" s="6">
        <f t="shared" si="30"/>
        <v>0</v>
      </c>
      <c r="G59" s="2"/>
      <c r="H59" s="7">
        <v>10</v>
      </c>
      <c r="I59" s="2"/>
      <c r="J59" s="6">
        <f t="shared" si="31"/>
        <v>2.1823578193880667E-4</v>
      </c>
      <c r="K59" s="2"/>
      <c r="L59" s="7">
        <f t="shared" si="32"/>
        <v>293.18</v>
      </c>
      <c r="M59" s="2"/>
      <c r="N59" s="6">
        <f t="shared" si="33"/>
        <v>29.318000000000001</v>
      </c>
      <c r="O59" s="11"/>
      <c r="P59" s="7">
        <v>2179.0500000000002</v>
      </c>
      <c r="Q59" s="2"/>
      <c r="R59" s="6">
        <f t="shared" si="34"/>
        <v>0</v>
      </c>
      <c r="S59" s="2"/>
      <c r="T59" s="7">
        <v>1700</v>
      </c>
      <c r="U59" s="2"/>
      <c r="V59" s="6">
        <f t="shared" si="35"/>
        <v>3.0037405404259305E-3</v>
      </c>
      <c r="W59" s="2"/>
      <c r="X59" s="7">
        <f t="shared" si="36"/>
        <v>479.05000000000018</v>
      </c>
      <c r="Y59" s="2"/>
      <c r="Z59" s="6">
        <f t="shared" si="37"/>
        <v>0.28179411764705892</v>
      </c>
    </row>
    <row r="60" spans="1:26" s="27" customFormat="1" outlineLevel="1" collapsed="1" x14ac:dyDescent="0.25">
      <c r="A60" s="26"/>
      <c r="B60" s="13" t="str">
        <f>CONCATENATE("     ","Insurance                                         ")</f>
        <v xml:space="preserve">     Insurance                                         </v>
      </c>
      <c r="C60" s="13"/>
      <c r="D60" s="1">
        <f>SUM(OSRRefD22_10x_0)</f>
        <v>5.9</v>
      </c>
      <c r="E60" s="1"/>
      <c r="F60" s="5">
        <f t="shared" si="30"/>
        <v>0</v>
      </c>
      <c r="G60" s="1"/>
      <c r="H60" s="1">
        <f>SUM(OSRRefH22_10x_0)</f>
        <v>7</v>
      </c>
      <c r="I60" s="1"/>
      <c r="J60" s="5">
        <f t="shared" si="31"/>
        <v>1.5276504735716468E-4</v>
      </c>
      <c r="K60" s="1"/>
      <c r="L60" s="1">
        <f t="shared" si="32"/>
        <v>-1.0999999999999996</v>
      </c>
      <c r="M60" s="1"/>
      <c r="N60" s="5">
        <f t="shared" si="33"/>
        <v>-0.15714285714285708</v>
      </c>
      <c r="O60" s="13"/>
      <c r="P60" s="1">
        <f>SUM(OSRRefP22_10x_0)</f>
        <v>64.900000000000006</v>
      </c>
      <c r="Q60" s="1"/>
      <c r="R60" s="5">
        <f t="shared" si="34"/>
        <v>0</v>
      </c>
      <c r="S60" s="1"/>
      <c r="T60" s="1">
        <f>SUM(OSRRefT22_10x_0)</f>
        <v>77</v>
      </c>
      <c r="U60" s="1"/>
      <c r="V60" s="5">
        <f t="shared" si="35"/>
        <v>1.3605177741929215E-4</v>
      </c>
      <c r="W60" s="1"/>
      <c r="X60" s="1">
        <f t="shared" si="36"/>
        <v>-12.099999999999994</v>
      </c>
      <c r="Y60" s="1"/>
      <c r="Z60" s="5">
        <f t="shared" si="37"/>
        <v>-0.15714285714285706</v>
      </c>
    </row>
    <row r="61" spans="1:26" s="24" customFormat="1" hidden="1" outlineLevel="2" x14ac:dyDescent="0.25">
      <c r="A61" s="25"/>
      <c r="B61" s="11" t="str">
        <f>CONCATENATE("          ", "6314", " - ", "LIABILITY INSURANCE")</f>
        <v xml:space="preserve">          6314 - LIABILITY INSURANCE</v>
      </c>
      <c r="C61" s="11"/>
      <c r="D61" s="7">
        <v>5.9</v>
      </c>
      <c r="E61" s="2"/>
      <c r="F61" s="6">
        <f t="shared" si="30"/>
        <v>0</v>
      </c>
      <c r="G61" s="2"/>
      <c r="H61" s="7">
        <v>7</v>
      </c>
      <c r="I61" s="2"/>
      <c r="J61" s="6">
        <f t="shared" si="31"/>
        <v>1.5276504735716468E-4</v>
      </c>
      <c r="K61" s="2"/>
      <c r="L61" s="7">
        <f t="shared" si="32"/>
        <v>-1.0999999999999996</v>
      </c>
      <c r="M61" s="2"/>
      <c r="N61" s="6">
        <f t="shared" si="33"/>
        <v>-0.15714285714285708</v>
      </c>
      <c r="O61" s="11"/>
      <c r="P61" s="7">
        <v>64.900000000000006</v>
      </c>
      <c r="Q61" s="2"/>
      <c r="R61" s="6">
        <f t="shared" si="34"/>
        <v>0</v>
      </c>
      <c r="S61" s="2"/>
      <c r="T61" s="7">
        <v>77</v>
      </c>
      <c r="U61" s="2"/>
      <c r="V61" s="6">
        <f t="shared" si="35"/>
        <v>1.3605177741929215E-4</v>
      </c>
      <c r="W61" s="2"/>
      <c r="X61" s="7">
        <f t="shared" si="36"/>
        <v>-12.099999999999994</v>
      </c>
      <c r="Y61" s="2"/>
      <c r="Z61" s="6">
        <f t="shared" si="37"/>
        <v>-0.15714285714285706</v>
      </c>
    </row>
    <row r="62" spans="1:26" s="27" customFormat="1" outlineLevel="1" collapsed="1" x14ac:dyDescent="0.25">
      <c r="A62" s="26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SUM(OSRRefD22_11x_0)</f>
        <v>0</v>
      </c>
      <c r="E62" s="1"/>
      <c r="F62" s="5">
        <f t="shared" si="30"/>
        <v>0</v>
      </c>
      <c r="G62" s="1"/>
      <c r="H62" s="1">
        <f>SUM(OSRRefH22_11x_0)</f>
        <v>3666</v>
      </c>
      <c r="I62" s="1"/>
      <c r="J62" s="5">
        <f t="shared" si="31"/>
        <v>8.0005237658766534E-2</v>
      </c>
      <c r="K62" s="1"/>
      <c r="L62" s="1">
        <f t="shared" si="32"/>
        <v>-3666</v>
      </c>
      <c r="M62" s="1"/>
      <c r="N62" s="5">
        <f t="shared" si="33"/>
        <v>-1</v>
      </c>
      <c r="O62" s="13"/>
      <c r="P62" s="1">
        <f>SUM(OSRRefP22_11x_0)</f>
        <v>0</v>
      </c>
      <c r="Q62" s="1"/>
      <c r="R62" s="5">
        <f t="shared" si="34"/>
        <v>0</v>
      </c>
      <c r="S62" s="1"/>
      <c r="T62" s="1">
        <f>SUM(OSRRefT22_11x_0)</f>
        <v>45277</v>
      </c>
      <c r="U62" s="1"/>
      <c r="V62" s="5">
        <f t="shared" si="35"/>
        <v>8.0000212028744036E-2</v>
      </c>
      <c r="W62" s="1"/>
      <c r="X62" s="1">
        <f t="shared" si="36"/>
        <v>-45277</v>
      </c>
      <c r="Y62" s="1"/>
      <c r="Z62" s="5">
        <f t="shared" si="37"/>
        <v>-1</v>
      </c>
    </row>
    <row r="63" spans="1:26" s="24" customFormat="1" hidden="1" outlineLevel="2" x14ac:dyDescent="0.25">
      <c r="A63" s="25"/>
      <c r="B63" s="11" t="str">
        <f>CONCATENATE("          ", "6387", " - ", "COMMISSION DUE HOUSING")</f>
        <v xml:space="preserve">          6387 - COMMISSION DUE HOUSING</v>
      </c>
      <c r="C63" s="11"/>
      <c r="D63" s="7"/>
      <c r="E63" s="2"/>
      <c r="F63" s="6">
        <f t="shared" si="30"/>
        <v>0</v>
      </c>
      <c r="G63" s="2"/>
      <c r="H63" s="7">
        <v>3666</v>
      </c>
      <c r="I63" s="2"/>
      <c r="J63" s="6">
        <f t="shared" si="31"/>
        <v>8.0005237658766534E-2</v>
      </c>
      <c r="K63" s="2"/>
      <c r="L63" s="7">
        <f t="shared" si="32"/>
        <v>-3666</v>
      </c>
      <c r="M63" s="2"/>
      <c r="N63" s="6">
        <f t="shared" si="33"/>
        <v>-1</v>
      </c>
      <c r="O63" s="11"/>
      <c r="P63" s="7"/>
      <c r="Q63" s="2"/>
      <c r="R63" s="6">
        <f t="shared" si="34"/>
        <v>0</v>
      </c>
      <c r="S63" s="2"/>
      <c r="T63" s="7">
        <v>45277</v>
      </c>
      <c r="U63" s="2"/>
      <c r="V63" s="6">
        <f t="shared" si="35"/>
        <v>8.0000212028744036E-2</v>
      </c>
      <c r="W63" s="2"/>
      <c r="X63" s="7">
        <f t="shared" si="36"/>
        <v>-45277</v>
      </c>
      <c r="Y63" s="2"/>
      <c r="Z63" s="6">
        <f t="shared" si="37"/>
        <v>-1</v>
      </c>
    </row>
    <row r="64" spans="1:26" s="27" customFormat="1" outlineLevel="1" collapsed="1" x14ac:dyDescent="0.25">
      <c r="A64" s="26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SUM(OSRRefD22_12x_0)</f>
        <v>0</v>
      </c>
      <c r="E64" s="1"/>
      <c r="F64" s="5">
        <f t="shared" si="30"/>
        <v>0</v>
      </c>
      <c r="G64" s="1"/>
      <c r="H64" s="1">
        <f>SUM(OSRRefH22_12x_0)</f>
        <v>20</v>
      </c>
      <c r="I64" s="1"/>
      <c r="J64" s="5">
        <f t="shared" si="31"/>
        <v>4.3647156387761335E-4</v>
      </c>
      <c r="K64" s="1"/>
      <c r="L64" s="1">
        <f t="shared" si="32"/>
        <v>-20</v>
      </c>
      <c r="M64" s="1"/>
      <c r="N64" s="5">
        <f t="shared" si="33"/>
        <v>-1</v>
      </c>
      <c r="O64" s="13"/>
      <c r="P64" s="1">
        <f>SUM(OSRRefP22_12x_0)</f>
        <v>216.99</v>
      </c>
      <c r="Q64" s="1"/>
      <c r="R64" s="5">
        <f t="shared" si="34"/>
        <v>0</v>
      </c>
      <c r="S64" s="1"/>
      <c r="T64" s="1">
        <f>SUM(OSRRefT22_12x_0)</f>
        <v>220</v>
      </c>
      <c r="U64" s="1"/>
      <c r="V64" s="5">
        <f t="shared" si="35"/>
        <v>3.887193640551204E-4</v>
      </c>
      <c r="W64" s="1"/>
      <c r="X64" s="1">
        <f t="shared" si="36"/>
        <v>-3.0099999999999909</v>
      </c>
      <c r="Y64" s="1"/>
      <c r="Z64" s="5">
        <f t="shared" si="37"/>
        <v>-1.3681818181818141E-2</v>
      </c>
    </row>
    <row r="65" spans="1:26" s="24" customFormat="1" hidden="1" outlineLevel="2" x14ac:dyDescent="0.25">
      <c r="A65" s="25"/>
      <c r="B65" s="11" t="str">
        <f>CONCATENATE("          ", "6373", " - ", "MAINTENANCE CONTRACTS")</f>
        <v xml:space="preserve">          6373 - MAINTENANCE CONTRACTS</v>
      </c>
      <c r="C65" s="11"/>
      <c r="D65" s="7"/>
      <c r="E65" s="2"/>
      <c r="F65" s="6">
        <f t="shared" si="30"/>
        <v>0</v>
      </c>
      <c r="G65" s="2"/>
      <c r="H65" s="7">
        <v>20</v>
      </c>
      <c r="I65" s="2"/>
      <c r="J65" s="6">
        <f t="shared" si="31"/>
        <v>4.3647156387761335E-4</v>
      </c>
      <c r="K65" s="2"/>
      <c r="L65" s="7">
        <f t="shared" si="32"/>
        <v>-20</v>
      </c>
      <c r="M65" s="2"/>
      <c r="N65" s="6">
        <f t="shared" si="33"/>
        <v>-1</v>
      </c>
      <c r="O65" s="11"/>
      <c r="P65" s="7">
        <v>216.99</v>
      </c>
      <c r="Q65" s="2"/>
      <c r="R65" s="6">
        <f t="shared" si="34"/>
        <v>0</v>
      </c>
      <c r="S65" s="2"/>
      <c r="T65" s="7">
        <v>220</v>
      </c>
      <c r="U65" s="2"/>
      <c r="V65" s="6">
        <f t="shared" si="35"/>
        <v>3.887193640551204E-4</v>
      </c>
      <c r="W65" s="2"/>
      <c r="X65" s="7">
        <f t="shared" si="36"/>
        <v>-3.0099999999999909</v>
      </c>
      <c r="Y65" s="2"/>
      <c r="Z65" s="6">
        <f t="shared" si="37"/>
        <v>-1.3681818181818141E-2</v>
      </c>
    </row>
    <row r="66" spans="1:26" s="27" customFormat="1" outlineLevel="1" collapsed="1" x14ac:dyDescent="0.25">
      <c r="A66" s="26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SUM(OSRRefD22_13x_0)</f>
        <v>669.64</v>
      </c>
      <c r="E66" s="1"/>
      <c r="F66" s="5">
        <f t="shared" si="30"/>
        <v>0</v>
      </c>
      <c r="G66" s="1"/>
      <c r="H66" s="1">
        <f>SUM(OSRRefH22_13x_0)</f>
        <v>6502</v>
      </c>
      <c r="I66" s="1"/>
      <c r="J66" s="5">
        <f t="shared" si="31"/>
        <v>0.1418969054166121</v>
      </c>
      <c r="K66" s="1"/>
      <c r="L66" s="1">
        <f t="shared" si="32"/>
        <v>-5832.36</v>
      </c>
      <c r="M66" s="1"/>
      <c r="N66" s="5">
        <f t="shared" si="33"/>
        <v>-0.8970101507228545</v>
      </c>
      <c r="O66" s="13"/>
      <c r="P66" s="1">
        <f>SUM(OSRRefP22_13x_0)</f>
        <v>7366.04</v>
      </c>
      <c r="Q66" s="1"/>
      <c r="R66" s="5">
        <f t="shared" si="34"/>
        <v>0</v>
      </c>
      <c r="S66" s="1"/>
      <c r="T66" s="1">
        <f>SUM(OSRRefT22_13x_0)</f>
        <v>69992</v>
      </c>
      <c r="U66" s="1"/>
      <c r="V66" s="5">
        <f t="shared" si="35"/>
        <v>0.12366929876793631</v>
      </c>
      <c r="W66" s="1"/>
      <c r="X66" s="1">
        <f t="shared" si="36"/>
        <v>-62625.96</v>
      </c>
      <c r="Y66" s="1"/>
      <c r="Z66" s="5">
        <f t="shared" si="37"/>
        <v>-0.89475882958052344</v>
      </c>
    </row>
    <row r="67" spans="1:26" s="24" customFormat="1" hidden="1" outlineLevel="2" x14ac:dyDescent="0.25">
      <c r="A67" s="25"/>
      <c r="B67" s="11" t="str">
        <f>CONCATENATE("          ", "6282", " - ", "JANITORIAL/EXTERMINATOR EXPENS")</f>
        <v xml:space="preserve">          6282 - JANITORIAL/EXTERMINATOR EXPENS</v>
      </c>
      <c r="C67" s="11"/>
      <c r="D67" s="7">
        <v>669.64</v>
      </c>
      <c r="E67" s="2"/>
      <c r="F67" s="6">
        <f t="shared" si="30"/>
        <v>0</v>
      </c>
      <c r="G67" s="2"/>
      <c r="H67" s="7">
        <v>850</v>
      </c>
      <c r="I67" s="2"/>
      <c r="J67" s="6">
        <f t="shared" si="31"/>
        <v>1.8550041464798567E-2</v>
      </c>
      <c r="K67" s="2"/>
      <c r="L67" s="7">
        <f t="shared" si="32"/>
        <v>-180.36</v>
      </c>
      <c r="M67" s="2"/>
      <c r="N67" s="6">
        <f t="shared" si="33"/>
        <v>-0.21218823529411765</v>
      </c>
      <c r="O67" s="11"/>
      <c r="P67" s="7">
        <v>6768.17</v>
      </c>
      <c r="Q67" s="2"/>
      <c r="R67" s="6">
        <f t="shared" si="34"/>
        <v>0</v>
      </c>
      <c r="S67" s="2"/>
      <c r="T67" s="7">
        <v>9350</v>
      </c>
      <c r="U67" s="2"/>
      <c r="V67" s="6">
        <f t="shared" si="35"/>
        <v>1.6520572972342617E-2</v>
      </c>
      <c r="W67" s="2"/>
      <c r="X67" s="7">
        <f t="shared" si="36"/>
        <v>-2581.83</v>
      </c>
      <c r="Y67" s="2"/>
      <c r="Z67" s="6">
        <f t="shared" si="37"/>
        <v>-0.27613155080213903</v>
      </c>
    </row>
    <row r="68" spans="1:26" s="24" customFormat="1" hidden="1" outlineLevel="2" x14ac:dyDescent="0.25">
      <c r="A68" s="25"/>
      <c r="B68" s="11" t="str">
        <f>CONCATENATE("          ", "6285", " - ", "JANITORIAL SERVICES")</f>
        <v xml:space="preserve">          6285 - JANITORIAL SERVICES</v>
      </c>
      <c r="C68" s="11"/>
      <c r="D68" s="7"/>
      <c r="E68" s="2"/>
      <c r="F68" s="6">
        <f t="shared" si="30"/>
        <v>0</v>
      </c>
      <c r="G68" s="2"/>
      <c r="H68" s="7">
        <v>4152</v>
      </c>
      <c r="I68" s="2"/>
      <c r="J68" s="6">
        <f t="shared" si="31"/>
        <v>9.0611496660992538E-2</v>
      </c>
      <c r="K68" s="2"/>
      <c r="L68" s="7">
        <f t="shared" si="32"/>
        <v>-4152</v>
      </c>
      <c r="M68" s="2"/>
      <c r="N68" s="6">
        <f t="shared" si="33"/>
        <v>-1</v>
      </c>
      <c r="O68" s="11"/>
      <c r="P68" s="7"/>
      <c r="Q68" s="2"/>
      <c r="R68" s="6">
        <f t="shared" si="34"/>
        <v>0</v>
      </c>
      <c r="S68" s="2"/>
      <c r="T68" s="7">
        <v>44142</v>
      </c>
      <c r="U68" s="2"/>
      <c r="V68" s="6">
        <f t="shared" si="35"/>
        <v>7.7994773491459654E-2</v>
      </c>
      <c r="W68" s="2"/>
      <c r="X68" s="7">
        <f t="shared" si="36"/>
        <v>-44142</v>
      </c>
      <c r="Y68" s="2"/>
      <c r="Z68" s="6">
        <f t="shared" si="37"/>
        <v>-1</v>
      </c>
    </row>
    <row r="69" spans="1:26" s="24" customFormat="1" hidden="1" outlineLevel="2" x14ac:dyDescent="0.25">
      <c r="A69" s="25"/>
      <c r="B69" s="11" t="str">
        <f>CONCATENATE("          ", "6286", " - ", "LAUNDRY EXPENSE")</f>
        <v xml:space="preserve">          6286 - LAUNDRY EXPENSE</v>
      </c>
      <c r="C69" s="11"/>
      <c r="D69" s="7"/>
      <c r="E69" s="2"/>
      <c r="F69" s="6">
        <f t="shared" si="30"/>
        <v>0</v>
      </c>
      <c r="G69" s="2"/>
      <c r="H69" s="7">
        <v>1500</v>
      </c>
      <c r="I69" s="2"/>
      <c r="J69" s="6">
        <f t="shared" si="31"/>
        <v>3.2735367290821001E-2</v>
      </c>
      <c r="K69" s="2"/>
      <c r="L69" s="7">
        <f t="shared" si="32"/>
        <v>-1500</v>
      </c>
      <c r="M69" s="2"/>
      <c r="N69" s="6">
        <f t="shared" si="33"/>
        <v>-1</v>
      </c>
      <c r="O69" s="11"/>
      <c r="P69" s="7">
        <v>597.87</v>
      </c>
      <c r="Q69" s="2"/>
      <c r="R69" s="6">
        <f t="shared" si="34"/>
        <v>0</v>
      </c>
      <c r="S69" s="2"/>
      <c r="T69" s="7">
        <v>16500</v>
      </c>
      <c r="U69" s="2"/>
      <c r="V69" s="6">
        <f t="shared" si="35"/>
        <v>2.9153952304134031E-2</v>
      </c>
      <c r="W69" s="2"/>
      <c r="X69" s="7">
        <f t="shared" si="36"/>
        <v>-15902.13</v>
      </c>
      <c r="Y69" s="2"/>
      <c r="Z69" s="6">
        <f t="shared" si="37"/>
        <v>-0.96376545454545448</v>
      </c>
    </row>
    <row r="70" spans="1:26" s="27" customFormat="1" outlineLevel="1" collapsed="1" x14ac:dyDescent="0.25">
      <c r="A70" s="26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0</v>
      </c>
      <c r="E70" s="1"/>
      <c r="F70" s="5">
        <f t="shared" ref="F70:F77" si="38">IF(D$12=0,0,D70/D$12)</f>
        <v>0</v>
      </c>
      <c r="G70" s="1"/>
      <c r="H70" s="1">
        <f>SUM(OSRRefH22_14x_0)</f>
        <v>5700</v>
      </c>
      <c r="I70" s="1"/>
      <c r="J70" s="5">
        <f t="shared" ref="J70:J77" si="39">IF(H$12=0,0,H70/H$12)</f>
        <v>0.12439439570511981</v>
      </c>
      <c r="K70" s="1"/>
      <c r="L70" s="1">
        <f t="shared" ref="L70:L77" si="40">+D70-H70</f>
        <v>-5700</v>
      </c>
      <c r="M70" s="1"/>
      <c r="N70" s="5">
        <f t="shared" ref="N70:N77" si="41">IF(H70=0,0,L70/H70)</f>
        <v>-1</v>
      </c>
      <c r="O70" s="13"/>
      <c r="P70" s="1">
        <f>SUM(OSRRefP22_14x_0)</f>
        <v>96.7</v>
      </c>
      <c r="Q70" s="1"/>
      <c r="R70" s="5">
        <f t="shared" ref="R70:R77" si="42">IF(P$12=0,0,P70/P$12)</f>
        <v>0</v>
      </c>
      <c r="S70" s="1"/>
      <c r="T70" s="1">
        <f>SUM(OSRRefT22_14x_0)</f>
        <v>58560</v>
      </c>
      <c r="U70" s="1"/>
      <c r="V70" s="5">
        <f t="shared" ref="V70:V77" si="43">IF(T$12=0,0,T70/T$12)</f>
        <v>0.10347002708667205</v>
      </c>
      <c r="W70" s="1"/>
      <c r="X70" s="1">
        <f t="shared" ref="X70:X77" si="44">+P70-T70</f>
        <v>-58463.3</v>
      </c>
      <c r="Y70" s="1"/>
      <c r="Z70" s="5">
        <f t="shared" ref="Z70:Z77" si="45">IF(T70=0,0,X70/T70)</f>
        <v>-0.99834870218579241</v>
      </c>
    </row>
    <row r="71" spans="1:26" s="24" customFormat="1" hidden="1" outlineLevel="2" x14ac:dyDescent="0.25">
      <c r="A71" s="25"/>
      <c r="B71" s="11" t="str">
        <f>CONCATENATE("          ", "6235", " - ", "COVID-19 EXPENSES")</f>
        <v xml:space="preserve">          6235 - COVID-19 EXPENSES</v>
      </c>
      <c r="C71" s="11"/>
      <c r="D71" s="7"/>
      <c r="E71" s="2"/>
      <c r="F71" s="6">
        <f t="shared" si="38"/>
        <v>0</v>
      </c>
      <c r="G71" s="2"/>
      <c r="H71" s="7">
        <v>3000</v>
      </c>
      <c r="I71" s="2"/>
      <c r="J71" s="6">
        <f t="shared" si="39"/>
        <v>6.5470734581642001E-2</v>
      </c>
      <c r="K71" s="2"/>
      <c r="L71" s="7">
        <f t="shared" si="40"/>
        <v>-3000</v>
      </c>
      <c r="M71" s="2"/>
      <c r="N71" s="6">
        <f t="shared" si="41"/>
        <v>-1</v>
      </c>
      <c r="O71" s="11"/>
      <c r="P71" s="7"/>
      <c r="Q71" s="2"/>
      <c r="R71" s="6">
        <f t="shared" si="42"/>
        <v>0</v>
      </c>
      <c r="S71" s="2"/>
      <c r="T71" s="7">
        <v>30000</v>
      </c>
      <c r="U71" s="2"/>
      <c r="V71" s="6">
        <f t="shared" si="43"/>
        <v>5.3007186007516416E-2</v>
      </c>
      <c r="W71" s="2"/>
      <c r="X71" s="7">
        <f t="shared" si="44"/>
        <v>-30000</v>
      </c>
      <c r="Y71" s="2"/>
      <c r="Z71" s="6">
        <f t="shared" si="45"/>
        <v>-1</v>
      </c>
    </row>
    <row r="72" spans="1:26" s="24" customFormat="1" hidden="1" outlineLevel="2" x14ac:dyDescent="0.25">
      <c r="A72" s="25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38"/>
        <v>0</v>
      </c>
      <c r="G72" s="2"/>
      <c r="H72" s="7">
        <v>2000</v>
      </c>
      <c r="I72" s="2"/>
      <c r="J72" s="6">
        <f t="shared" si="39"/>
        <v>4.3647156387761336E-2</v>
      </c>
      <c r="K72" s="2"/>
      <c r="L72" s="7">
        <f t="shared" si="40"/>
        <v>-2000</v>
      </c>
      <c r="M72" s="2"/>
      <c r="N72" s="6">
        <f t="shared" si="41"/>
        <v>-1</v>
      </c>
      <c r="O72" s="11"/>
      <c r="P72" s="7"/>
      <c r="Q72" s="2"/>
      <c r="R72" s="6">
        <f t="shared" si="42"/>
        <v>0</v>
      </c>
      <c r="S72" s="2"/>
      <c r="T72" s="7">
        <v>21000</v>
      </c>
      <c r="U72" s="2"/>
      <c r="V72" s="6">
        <f t="shared" si="43"/>
        <v>3.7105030205261492E-2</v>
      </c>
      <c r="W72" s="2"/>
      <c r="X72" s="7">
        <f t="shared" si="44"/>
        <v>-21000</v>
      </c>
      <c r="Y72" s="2"/>
      <c r="Z72" s="6">
        <f t="shared" si="45"/>
        <v>-1</v>
      </c>
    </row>
    <row r="73" spans="1:26" s="24" customFormat="1" hidden="1" outlineLevel="2" x14ac:dyDescent="0.25">
      <c r="A73" s="25"/>
      <c r="B73" s="11" t="str">
        <f>CONCATENATE("          ", "6239", " - ", "KITCHEN SUPPLIES")</f>
        <v xml:space="preserve">          6239 - KITCHEN SUPPLIES</v>
      </c>
      <c r="C73" s="11"/>
      <c r="D73" s="7"/>
      <c r="E73" s="2"/>
      <c r="F73" s="6">
        <f t="shared" si="38"/>
        <v>0</v>
      </c>
      <c r="G73" s="2"/>
      <c r="H73" s="7">
        <v>300</v>
      </c>
      <c r="I73" s="2"/>
      <c r="J73" s="6">
        <f t="shared" si="39"/>
        <v>6.5470734581642006E-3</v>
      </c>
      <c r="K73" s="2"/>
      <c r="L73" s="7">
        <f t="shared" si="40"/>
        <v>-300</v>
      </c>
      <c r="M73" s="2"/>
      <c r="N73" s="6">
        <f t="shared" si="41"/>
        <v>-1</v>
      </c>
      <c r="O73" s="11"/>
      <c r="P73" s="7"/>
      <c r="Q73" s="2"/>
      <c r="R73" s="6">
        <f t="shared" si="42"/>
        <v>0</v>
      </c>
      <c r="S73" s="2"/>
      <c r="T73" s="7">
        <v>3000</v>
      </c>
      <c r="U73" s="2"/>
      <c r="V73" s="6">
        <f t="shared" si="43"/>
        <v>5.3007186007516423E-3</v>
      </c>
      <c r="W73" s="2"/>
      <c r="X73" s="7">
        <f t="shared" si="44"/>
        <v>-3000</v>
      </c>
      <c r="Y73" s="2"/>
      <c r="Z73" s="6">
        <f t="shared" si="45"/>
        <v>-1</v>
      </c>
    </row>
    <row r="74" spans="1:26" s="24" customFormat="1" hidden="1" outlineLevel="2" x14ac:dyDescent="0.25">
      <c r="A74" s="25"/>
      <c r="B74" s="11" t="str">
        <f>CONCATENATE("          ", "6241", " - ", "OFFICE EXPENSE")</f>
        <v xml:space="preserve">          6241 - OFFICE EXPENSE</v>
      </c>
      <c r="C74" s="11"/>
      <c r="D74" s="7"/>
      <c r="E74" s="2"/>
      <c r="F74" s="6">
        <f t="shared" si="38"/>
        <v>0</v>
      </c>
      <c r="G74" s="2"/>
      <c r="H74" s="7">
        <v>250</v>
      </c>
      <c r="I74" s="2"/>
      <c r="J74" s="6">
        <f t="shared" si="39"/>
        <v>5.455894548470167E-3</v>
      </c>
      <c r="K74" s="2"/>
      <c r="L74" s="7">
        <f t="shared" si="40"/>
        <v>-250</v>
      </c>
      <c r="M74" s="2"/>
      <c r="N74" s="6">
        <f t="shared" si="41"/>
        <v>-1</v>
      </c>
      <c r="O74" s="11"/>
      <c r="P74" s="7">
        <v>96.7</v>
      </c>
      <c r="Q74" s="2"/>
      <c r="R74" s="6">
        <f t="shared" si="42"/>
        <v>0</v>
      </c>
      <c r="S74" s="2"/>
      <c r="T74" s="7">
        <v>2500</v>
      </c>
      <c r="U74" s="2"/>
      <c r="V74" s="6">
        <f t="shared" si="43"/>
        <v>4.4172655006263686E-3</v>
      </c>
      <c r="W74" s="2"/>
      <c r="X74" s="7">
        <f t="shared" si="44"/>
        <v>-2403.3000000000002</v>
      </c>
      <c r="Y74" s="2"/>
      <c r="Z74" s="6">
        <f t="shared" si="45"/>
        <v>-0.96132000000000006</v>
      </c>
    </row>
    <row r="75" spans="1:26" s="24" customFormat="1" hidden="1" outlineLevel="2" x14ac:dyDescent="0.25">
      <c r="A75" s="25"/>
      <c r="B75" s="11" t="str">
        <f>CONCATENATE("          ", "6244", " - ", "SAFETY SUPPLY EXPENSE")</f>
        <v xml:space="preserve">          6244 - SAFETY SUPPLY EXPENSE</v>
      </c>
      <c r="C75" s="11"/>
      <c r="D75" s="7"/>
      <c r="E75" s="2"/>
      <c r="F75" s="6">
        <f t="shared" si="38"/>
        <v>0</v>
      </c>
      <c r="G75" s="2"/>
      <c r="H75" s="7"/>
      <c r="I75" s="2"/>
      <c r="J75" s="6">
        <f t="shared" si="39"/>
        <v>0</v>
      </c>
      <c r="K75" s="2"/>
      <c r="L75" s="7">
        <f t="shared" si="40"/>
        <v>0</v>
      </c>
      <c r="M75" s="2"/>
      <c r="N75" s="6">
        <f t="shared" si="41"/>
        <v>0</v>
      </c>
      <c r="O75" s="11"/>
      <c r="P75" s="7"/>
      <c r="Q75" s="2"/>
      <c r="R75" s="6">
        <f t="shared" si="42"/>
        <v>0</v>
      </c>
      <c r="S75" s="2"/>
      <c r="T75" s="7">
        <v>60</v>
      </c>
      <c r="U75" s="2"/>
      <c r="V75" s="6">
        <f t="shared" si="43"/>
        <v>1.0601437201503284E-4</v>
      </c>
      <c r="W75" s="2"/>
      <c r="X75" s="7">
        <f t="shared" si="44"/>
        <v>-60</v>
      </c>
      <c r="Y75" s="2"/>
      <c r="Z75" s="6">
        <f t="shared" si="45"/>
        <v>-1</v>
      </c>
    </row>
    <row r="76" spans="1:26" s="24" customFormat="1" hidden="1" outlineLevel="2" x14ac:dyDescent="0.25">
      <c r="A76" s="25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38"/>
        <v>0</v>
      </c>
      <c r="G76" s="2"/>
      <c r="H76" s="7"/>
      <c r="I76" s="2"/>
      <c r="J76" s="6">
        <f t="shared" si="39"/>
        <v>0</v>
      </c>
      <c r="K76" s="2"/>
      <c r="L76" s="7">
        <f t="shared" si="40"/>
        <v>0</v>
      </c>
      <c r="M76" s="2"/>
      <c r="N76" s="6">
        <f t="shared" si="41"/>
        <v>0</v>
      </c>
      <c r="O76" s="11"/>
      <c r="P76" s="7"/>
      <c r="Q76" s="2"/>
      <c r="R76" s="6">
        <f t="shared" si="42"/>
        <v>0</v>
      </c>
      <c r="S76" s="2"/>
      <c r="T76" s="7">
        <v>500</v>
      </c>
      <c r="U76" s="2"/>
      <c r="V76" s="6">
        <f t="shared" si="43"/>
        <v>8.834531001252736E-4</v>
      </c>
      <c r="W76" s="2"/>
      <c r="X76" s="7">
        <f t="shared" si="44"/>
        <v>-500</v>
      </c>
      <c r="Y76" s="2"/>
      <c r="Z76" s="6">
        <f t="shared" si="45"/>
        <v>-1</v>
      </c>
    </row>
    <row r="77" spans="1:26" s="24" customFormat="1" hidden="1" outlineLevel="2" x14ac:dyDescent="0.25">
      <c r="A77" s="25"/>
      <c r="B77" s="11" t="str">
        <f>CONCATENATE("          ", "6248", " - ", "UNIFORMS")</f>
        <v xml:space="preserve">          6248 - UNIFORMS</v>
      </c>
      <c r="C77" s="11"/>
      <c r="D77" s="7"/>
      <c r="E77" s="2"/>
      <c r="F77" s="6">
        <f t="shared" si="38"/>
        <v>0</v>
      </c>
      <c r="G77" s="2"/>
      <c r="H77" s="7">
        <v>150</v>
      </c>
      <c r="I77" s="2"/>
      <c r="J77" s="6">
        <f t="shared" si="39"/>
        <v>3.2735367290821003E-3</v>
      </c>
      <c r="K77" s="2"/>
      <c r="L77" s="7">
        <f t="shared" si="40"/>
        <v>-150</v>
      </c>
      <c r="M77" s="2"/>
      <c r="N77" s="6">
        <f t="shared" si="41"/>
        <v>-1</v>
      </c>
      <c r="O77" s="11"/>
      <c r="P77" s="7"/>
      <c r="Q77" s="2"/>
      <c r="R77" s="6">
        <f t="shared" si="42"/>
        <v>0</v>
      </c>
      <c r="S77" s="2"/>
      <c r="T77" s="7">
        <v>1500</v>
      </c>
      <c r="U77" s="2"/>
      <c r="V77" s="6">
        <f t="shared" si="43"/>
        <v>2.6503593003758211E-3</v>
      </c>
      <c r="W77" s="2"/>
      <c r="X77" s="7">
        <f t="shared" si="44"/>
        <v>-1500</v>
      </c>
      <c r="Y77" s="2"/>
      <c r="Z77" s="6">
        <f t="shared" si="45"/>
        <v>-1</v>
      </c>
    </row>
    <row r="78" spans="1:26" s="27" customFormat="1" outlineLevel="1" collapsed="1" x14ac:dyDescent="0.25">
      <c r="A78" s="26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SUM(OSRRefD22_15x_0)</f>
        <v>75</v>
      </c>
      <c r="E78" s="1"/>
      <c r="F78" s="5">
        <f t="shared" ref="F78:F80" si="46">IF(D$12=0,0,D78/D$12)</f>
        <v>0</v>
      </c>
      <c r="G78" s="1"/>
      <c r="H78" s="1">
        <f>SUM(OSRRefH22_15x_0)</f>
        <v>140</v>
      </c>
      <c r="I78" s="1"/>
      <c r="J78" s="5">
        <f t="shared" ref="J78:J80" si="47">IF(H$12=0,0,H78/H$12)</f>
        <v>3.0553009471432934E-3</v>
      </c>
      <c r="K78" s="1"/>
      <c r="L78" s="1">
        <f t="shared" ref="L78:L80" si="48">+D78-H78</f>
        <v>-65</v>
      </c>
      <c r="M78" s="1"/>
      <c r="N78" s="5">
        <f t="shared" ref="N78:N80" si="49">IF(H78=0,0,L78/H78)</f>
        <v>-0.4642857142857143</v>
      </c>
      <c r="O78" s="13"/>
      <c r="P78" s="1">
        <f>SUM(OSRRefP22_15x_0)</f>
        <v>654.63</v>
      </c>
      <c r="Q78" s="1"/>
      <c r="R78" s="5">
        <f t="shared" ref="R78:R80" si="50">IF(P$12=0,0,P78/P$12)</f>
        <v>0</v>
      </c>
      <c r="S78" s="1"/>
      <c r="T78" s="1">
        <f>SUM(OSRRefT22_15x_0)</f>
        <v>1540</v>
      </c>
      <c r="U78" s="1"/>
      <c r="V78" s="5">
        <f t="shared" ref="V78:V80" si="51">IF(T$12=0,0,T78/T$12)</f>
        <v>2.7210355483858429E-3</v>
      </c>
      <c r="W78" s="1"/>
      <c r="X78" s="1">
        <f t="shared" ref="X78:X80" si="52">+P78-T78</f>
        <v>-885.37</v>
      </c>
      <c r="Y78" s="1"/>
      <c r="Z78" s="5">
        <f t="shared" ref="Z78:Z80" si="53">IF(T78=0,0,X78/T78)</f>
        <v>-0.57491558441558444</v>
      </c>
    </row>
    <row r="79" spans="1:26" s="24" customFormat="1" hidden="1" outlineLevel="2" x14ac:dyDescent="0.25">
      <c r="A79" s="25"/>
      <c r="B79" s="11" t="str">
        <f>CONCATENATE("          ", "6303", " - ", "DATA PHONE LINES")</f>
        <v xml:space="preserve">          6303 - DATA PHONE LINES</v>
      </c>
      <c r="C79" s="11"/>
      <c r="D79" s="7"/>
      <c r="E79" s="2"/>
      <c r="F79" s="6">
        <f t="shared" si="46"/>
        <v>0</v>
      </c>
      <c r="G79" s="2"/>
      <c r="H79" s="7">
        <v>140</v>
      </c>
      <c r="I79" s="2"/>
      <c r="J79" s="6">
        <f t="shared" si="47"/>
        <v>3.0553009471432934E-3</v>
      </c>
      <c r="K79" s="2"/>
      <c r="L79" s="7">
        <f t="shared" si="48"/>
        <v>-140</v>
      </c>
      <c r="M79" s="2"/>
      <c r="N79" s="6">
        <f t="shared" si="49"/>
        <v>-1</v>
      </c>
      <c r="O79" s="11"/>
      <c r="P79" s="7"/>
      <c r="Q79" s="2"/>
      <c r="R79" s="6">
        <f t="shared" si="50"/>
        <v>0</v>
      </c>
      <c r="S79" s="2"/>
      <c r="T79" s="7">
        <v>1540</v>
      </c>
      <c r="U79" s="2"/>
      <c r="V79" s="6">
        <f t="shared" si="51"/>
        <v>2.7210355483858429E-3</v>
      </c>
      <c r="W79" s="2"/>
      <c r="X79" s="7">
        <f t="shared" si="52"/>
        <v>-1540</v>
      </c>
      <c r="Y79" s="2"/>
      <c r="Z79" s="6">
        <f t="shared" si="53"/>
        <v>-1</v>
      </c>
    </row>
    <row r="80" spans="1:26" s="24" customFormat="1" hidden="1" outlineLevel="2" x14ac:dyDescent="0.25">
      <c r="A80" s="25"/>
      <c r="B80" s="11" t="str">
        <f>CONCATENATE("          ", "6309", " - ", "TELEPHONE")</f>
        <v xml:space="preserve">          6309 - TELEPHONE</v>
      </c>
      <c r="C80" s="11"/>
      <c r="D80" s="7">
        <v>75</v>
      </c>
      <c r="E80" s="2"/>
      <c r="F80" s="6">
        <f t="shared" si="46"/>
        <v>0</v>
      </c>
      <c r="G80" s="2"/>
      <c r="H80" s="7"/>
      <c r="I80" s="2"/>
      <c r="J80" s="6">
        <f t="shared" si="47"/>
        <v>0</v>
      </c>
      <c r="K80" s="2"/>
      <c r="L80" s="7">
        <f t="shared" si="48"/>
        <v>75</v>
      </c>
      <c r="M80" s="2"/>
      <c r="N80" s="6">
        <f t="shared" si="49"/>
        <v>0</v>
      </c>
      <c r="O80" s="11"/>
      <c r="P80" s="7">
        <v>654.63</v>
      </c>
      <c r="Q80" s="2"/>
      <c r="R80" s="6">
        <f t="shared" si="50"/>
        <v>0</v>
      </c>
      <c r="S80" s="2"/>
      <c r="T80" s="7"/>
      <c r="U80" s="2"/>
      <c r="V80" s="6">
        <f t="shared" si="51"/>
        <v>0</v>
      </c>
      <c r="W80" s="2"/>
      <c r="X80" s="7">
        <f t="shared" si="52"/>
        <v>654.63</v>
      </c>
      <c r="Y80" s="2"/>
      <c r="Z80" s="6">
        <f t="shared" si="53"/>
        <v>0</v>
      </c>
    </row>
    <row r="81" spans="1:26" s="27" customFormat="1" outlineLevel="1" collapsed="1" x14ac:dyDescent="0.25">
      <c r="A81" s="26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SUM(OSRRefD22_16x_0)</f>
        <v>0</v>
      </c>
      <c r="E81" s="1"/>
      <c r="F81" s="5">
        <f t="shared" ref="F81:F82" si="54">IF(D$12=0,0,D81/D$12)</f>
        <v>0</v>
      </c>
      <c r="G81" s="1"/>
      <c r="H81" s="1">
        <f>SUM(OSRRefH22_16x_0)</f>
        <v>200</v>
      </c>
      <c r="I81" s="1"/>
      <c r="J81" s="5">
        <f t="shared" ref="J81:J82" si="55">IF(H$12=0,0,H81/H$12)</f>
        <v>4.3647156387761335E-3</v>
      </c>
      <c r="K81" s="1"/>
      <c r="L81" s="1">
        <f t="shared" ref="L81:L82" si="56">+D81-H81</f>
        <v>-200</v>
      </c>
      <c r="M81" s="1"/>
      <c r="N81" s="5">
        <f t="shared" ref="N81:N82" si="57">IF(H81=0,0,L81/H81)</f>
        <v>-1</v>
      </c>
      <c r="O81" s="13"/>
      <c r="P81" s="1">
        <f>SUM(OSRRefP22_16x_0)</f>
        <v>0</v>
      </c>
      <c r="Q81" s="1"/>
      <c r="R81" s="5">
        <f t="shared" ref="R81:R82" si="58">IF(P$12=0,0,P81/P$12)</f>
        <v>0</v>
      </c>
      <c r="S81" s="1"/>
      <c r="T81" s="1">
        <f>SUM(OSRRefT22_16x_0)</f>
        <v>2200</v>
      </c>
      <c r="U81" s="1"/>
      <c r="V81" s="5">
        <f t="shared" ref="V81:V82" si="59">IF(T$12=0,0,T81/T$12)</f>
        <v>3.8871936405512043E-3</v>
      </c>
      <c r="W81" s="1"/>
      <c r="X81" s="1">
        <f t="shared" ref="X81:X82" si="60">+P81-T81</f>
        <v>-2200</v>
      </c>
      <c r="Y81" s="1"/>
      <c r="Z81" s="5">
        <f t="shared" ref="Z81:Z82" si="61">IF(T81=0,0,X81/T81)</f>
        <v>-1</v>
      </c>
    </row>
    <row r="82" spans="1:26" s="24" customFormat="1" hidden="1" outlineLevel="2" x14ac:dyDescent="0.25">
      <c r="A82" s="25"/>
      <c r="B82" s="11" t="str">
        <f>CONCATENATE("          ", "6376", " - ", "TRAINING")</f>
        <v xml:space="preserve">          6376 - TRAINING</v>
      </c>
      <c r="C82" s="11"/>
      <c r="D82" s="7"/>
      <c r="E82" s="2"/>
      <c r="F82" s="6">
        <f t="shared" si="54"/>
        <v>0</v>
      </c>
      <c r="G82" s="2"/>
      <c r="H82" s="7">
        <v>200</v>
      </c>
      <c r="I82" s="2"/>
      <c r="J82" s="6">
        <f t="shared" si="55"/>
        <v>4.3647156387761335E-3</v>
      </c>
      <c r="K82" s="2"/>
      <c r="L82" s="7">
        <f t="shared" si="56"/>
        <v>-200</v>
      </c>
      <c r="M82" s="2"/>
      <c r="N82" s="6">
        <f t="shared" si="57"/>
        <v>-1</v>
      </c>
      <c r="O82" s="11"/>
      <c r="P82" s="7"/>
      <c r="Q82" s="2"/>
      <c r="R82" s="6">
        <f t="shared" si="58"/>
        <v>0</v>
      </c>
      <c r="S82" s="2"/>
      <c r="T82" s="7">
        <v>2200</v>
      </c>
      <c r="U82" s="2"/>
      <c r="V82" s="6">
        <f t="shared" si="59"/>
        <v>3.8871936405512043E-3</v>
      </c>
      <c r="W82" s="2"/>
      <c r="X82" s="7">
        <f t="shared" si="60"/>
        <v>-2200</v>
      </c>
      <c r="Y82" s="2"/>
      <c r="Z82" s="6">
        <f t="shared" si="61"/>
        <v>-1</v>
      </c>
    </row>
    <row r="83" spans="1:26" s="56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9" t="s">
        <v>293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277</v>
      </c>
      <c r="C86" s="28"/>
      <c r="D86" s="20">
        <f>+D19-D21+D84</f>
        <v>-37944.54</v>
      </c>
      <c r="E86" s="14"/>
      <c r="F86" s="21">
        <f>IF(D$12=0,0,D86/D$12)</f>
        <v>0</v>
      </c>
      <c r="G86" s="14"/>
      <c r="H86" s="20">
        <f>+H19-H21+H84</f>
        <v>-52206.684139337667</v>
      </c>
      <c r="I86" s="14"/>
      <c r="J86" s="21">
        <f>IF(H$12=0,0,H86/H$12)</f>
        <v>-1.1393366535580653</v>
      </c>
      <c r="K86" s="15"/>
      <c r="L86" s="20">
        <f>+D86-H86</f>
        <v>14262.144139337666</v>
      </c>
      <c r="M86" s="15"/>
      <c r="N86" s="21">
        <f>IF(H86=0,0,L86/H86)</f>
        <v>-0.27318617097520581</v>
      </c>
      <c r="O86" s="29"/>
      <c r="P86" s="20">
        <f>+P19-P21+P84</f>
        <v>-449111.68999999994</v>
      </c>
      <c r="Q86" s="14"/>
      <c r="R86" s="21">
        <f>IF(P$12=0,0,P86/P$12)</f>
        <v>0</v>
      </c>
      <c r="S86" s="14"/>
      <c r="T86" s="20">
        <f>+T19-T21+T84</f>
        <v>-604871.66470330104</v>
      </c>
      <c r="U86" s="14"/>
      <c r="V86" s="21">
        <f>IF(T$12=0,0,T86/T$12)</f>
        <v>-1.0687514947201326</v>
      </c>
      <c r="W86" s="15"/>
      <c r="X86" s="20">
        <f>+P86-T86</f>
        <v>155759.97470330109</v>
      </c>
      <c r="Y86" s="15"/>
      <c r="Z86" s="21">
        <f>IF(T86=0,0,X86/T86)</f>
        <v>-0.25750912762578121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128</v>
      </c>
      <c r="C88" s="10"/>
      <c r="D88" s="4"/>
      <c r="E88" s="4"/>
      <c r="F88" s="12">
        <f>IF(D$12=0,0,D88/D$12)</f>
        <v>0</v>
      </c>
      <c r="G88" s="4"/>
      <c r="H88" s="4">
        <v>10263</v>
      </c>
      <c r="I88" s="4"/>
      <c r="J88" s="12">
        <f>IF(H$12=0,0,H88/H$12)</f>
        <v>0.2239753830037973</v>
      </c>
      <c r="K88" s="4"/>
      <c r="L88" s="4">
        <f>+D88-H88</f>
        <v>-10263</v>
      </c>
      <c r="M88" s="4"/>
      <c r="N88" s="12">
        <f>IF(H88=0,0,L88/H88)</f>
        <v>-1</v>
      </c>
      <c r="O88" s="10"/>
      <c r="P88" s="4">
        <v>0</v>
      </c>
      <c r="Q88" s="4"/>
      <c r="R88" s="12">
        <f>IF(P$12=0,0,P88/P$12)</f>
        <v>0</v>
      </c>
      <c r="S88" s="4"/>
      <c r="T88" s="4">
        <v>104484</v>
      </c>
      <c r="U88" s="4"/>
      <c r="V88" s="12">
        <f>IF(T$12=0,0,T88/T$12)</f>
        <v>0.18461342742697817</v>
      </c>
      <c r="W88" s="4"/>
      <c r="X88" s="4">
        <f>+P88-T88</f>
        <v>-104484</v>
      </c>
      <c r="Y88" s="4"/>
      <c r="Z88" s="12">
        <f>IF(T88=0,0,X88/T88)</f>
        <v>-1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126</v>
      </c>
      <c r="C90" s="28"/>
      <c r="D90" s="35">
        <f>+D86-D88</f>
        <v>-37944.54</v>
      </c>
      <c r="E90" s="14"/>
      <c r="F90" s="34">
        <f>IF(D$12=0,0,D90/D$12)</f>
        <v>0</v>
      </c>
      <c r="G90" s="14"/>
      <c r="H90" s="35">
        <f>+H86-H88</f>
        <v>-62469.684139337667</v>
      </c>
      <c r="I90" s="14"/>
      <c r="J90" s="34">
        <f>IF(H$12=0,0,H90/H$12)</f>
        <v>-1.3633120365618625</v>
      </c>
      <c r="K90" s="15"/>
      <c r="L90" s="35">
        <f>D90-H90</f>
        <v>24525.144139337666</v>
      </c>
      <c r="M90" s="15"/>
      <c r="N90" s="34">
        <f>IF(H90=0,0,L90/H90)</f>
        <v>-0.39259273481573415</v>
      </c>
      <c r="O90" s="29"/>
      <c r="P90" s="35">
        <f>+P86-P88</f>
        <v>-449111.68999999994</v>
      </c>
      <c r="Q90" s="14"/>
      <c r="R90" s="34">
        <f>IF(P$12=0,0,P90/P$12)</f>
        <v>0</v>
      </c>
      <c r="S90" s="14"/>
      <c r="T90" s="35">
        <f>+T86-T88</f>
        <v>-709355.66470330104</v>
      </c>
      <c r="U90" s="14"/>
      <c r="V90" s="34">
        <f>IF(T$12=0,0,T90/T$12)</f>
        <v>-1.2533649221471108</v>
      </c>
      <c r="W90" s="15"/>
      <c r="X90" s="35">
        <f>P90-T90</f>
        <v>260243.97470330109</v>
      </c>
      <c r="Y90" s="15"/>
      <c r="Z90" s="34">
        <f>IF(T90=0,0,X90/T90)</f>
        <v>-0.36687375269238481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294</v>
      </c>
      <c r="C93" s="28"/>
      <c r="D93" s="33">
        <f>SUM(D90:D92)</f>
        <v>-37944.54</v>
      </c>
      <c r="E93" s="14"/>
      <c r="F93" s="32">
        <f>IF(D$12=0,0,D93/D$12)</f>
        <v>0</v>
      </c>
      <c r="G93" s="14"/>
      <c r="H93" s="33">
        <f>SUM(H90:H92)</f>
        <v>-62469.684139337667</v>
      </c>
      <c r="I93" s="14"/>
      <c r="J93" s="32">
        <f>IF(H$12=0,0,H93/H$12)</f>
        <v>-1.3633120365618625</v>
      </c>
      <c r="K93" s="15"/>
      <c r="L93" s="33">
        <f>+D93-H93</f>
        <v>24525.144139337666</v>
      </c>
      <c r="M93" s="15"/>
      <c r="N93" s="32">
        <f>IF(H93=0,0,L93/H93)</f>
        <v>-0.39259273481573415</v>
      </c>
      <c r="O93" s="29"/>
      <c r="P93" s="33">
        <f>SUM(P90:P92)</f>
        <v>-449111.68999999994</v>
      </c>
      <c r="Q93" s="14"/>
      <c r="R93" s="32">
        <f>IF(P$12=0,0,P93/P$12)</f>
        <v>0</v>
      </c>
      <c r="S93" s="14"/>
      <c r="T93" s="33">
        <f>SUM(T90:T92)</f>
        <v>-709355.66470330104</v>
      </c>
      <c r="U93" s="14"/>
      <c r="V93" s="32">
        <f>IF(T$12=0,0,T93/T$12)</f>
        <v>-1.2533649221471108</v>
      </c>
      <c r="W93" s="15"/>
      <c r="X93" s="33">
        <f>+P93-T93</f>
        <v>260243.97470330109</v>
      </c>
      <c r="Y93" s="15"/>
      <c r="Z93" s="32">
        <f>IF(T93=0,0,X93/T93)</f>
        <v>-0.36687375269238481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60">
        <v>44356.891834571761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5" t="s">
        <v>56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63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105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39633</v>
      </c>
      <c r="E12" s="4"/>
      <c r="F12" s="12"/>
      <c r="G12" s="4"/>
      <c r="H12" s="4">
        <f>SUM(OSRRefH13x_0)</f>
        <v>33686</v>
      </c>
      <c r="I12" s="4"/>
      <c r="J12" s="12"/>
      <c r="K12" s="4"/>
      <c r="L12" s="4">
        <f t="shared" ref="L12:L13" si="0">+D12-H12</f>
        <v>5947</v>
      </c>
      <c r="M12" s="4"/>
      <c r="N12" s="12">
        <f t="shared" ref="N12:N13" si="1">IF(H12=0,0,L12/H12)</f>
        <v>0.17654218369649113</v>
      </c>
      <c r="O12" s="10"/>
      <c r="P12" s="4">
        <f>SUM(OSRRefP13x_0)</f>
        <v>517186</v>
      </c>
      <c r="Q12" s="4"/>
      <c r="R12" s="12"/>
      <c r="S12" s="4"/>
      <c r="T12" s="4">
        <f>SUM(OSRRefT13x_0)</f>
        <v>556482</v>
      </c>
      <c r="U12" s="4"/>
      <c r="V12" s="12"/>
      <c r="W12" s="4"/>
      <c r="X12" s="4">
        <f t="shared" ref="X12:X13" si="2">+P12-T12</f>
        <v>-39296</v>
      </c>
      <c r="Y12" s="4"/>
      <c r="Z12" s="12">
        <f t="shared" ref="Z12:Z13" si="3">IF(T12=0,0,X12/T12)</f>
        <v>-7.0615042355368182E-2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--39633</f>
        <v>39633</v>
      </c>
      <c r="E13" s="2"/>
      <c r="F13" s="19"/>
      <c r="G13" s="2"/>
      <c r="H13" s="2">
        <v>33686</v>
      </c>
      <c r="I13" s="2"/>
      <c r="J13" s="19"/>
      <c r="K13" s="2"/>
      <c r="L13" s="2">
        <f t="shared" si="0"/>
        <v>5947</v>
      </c>
      <c r="M13" s="2"/>
      <c r="N13" s="19">
        <f t="shared" si="1"/>
        <v>0.17654218369649113</v>
      </c>
      <c r="O13" s="11"/>
      <c r="P13" s="2">
        <f>--517186</f>
        <v>517186</v>
      </c>
      <c r="Q13" s="2"/>
      <c r="R13" s="19"/>
      <c r="S13" s="2"/>
      <c r="T13" s="2">
        <v>556482</v>
      </c>
      <c r="U13" s="2"/>
      <c r="V13" s="19"/>
      <c r="W13" s="2"/>
      <c r="X13" s="2">
        <f t="shared" si="2"/>
        <v>-39296</v>
      </c>
      <c r="Y13" s="2"/>
      <c r="Z13" s="19">
        <f t="shared" si="3"/>
        <v>-7.0615042355368182E-2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0">
        <f>D12-D15</f>
        <v>39633</v>
      </c>
      <c r="E17" s="14"/>
      <c r="F17" s="21">
        <f>IF(D$12=0,0,D17/D$12)</f>
        <v>1</v>
      </c>
      <c r="G17" s="14"/>
      <c r="H17" s="20">
        <f>H12-H15</f>
        <v>33686</v>
      </c>
      <c r="I17" s="14"/>
      <c r="J17" s="21">
        <f>IF(H$12=0,0,H17/H$12)</f>
        <v>1</v>
      </c>
      <c r="K17" s="15"/>
      <c r="L17" s="20">
        <f>+D17-H17</f>
        <v>5947</v>
      </c>
      <c r="M17" s="15"/>
      <c r="N17" s="21">
        <f>IF(H17=0,0,L17/H17)</f>
        <v>0.17654218369649113</v>
      </c>
      <c r="O17" s="29"/>
      <c r="P17" s="20">
        <f>P12-P15</f>
        <v>517186</v>
      </c>
      <c r="Q17" s="14"/>
      <c r="R17" s="21">
        <f>IF(P$12=0,0,P17/P$12)</f>
        <v>1</v>
      </c>
      <c r="S17" s="14"/>
      <c r="T17" s="20">
        <f>T12-T15</f>
        <v>556482</v>
      </c>
      <c r="U17" s="14"/>
      <c r="V17" s="21">
        <f>IF(T$12=0,0,T17/T$12)</f>
        <v>1</v>
      </c>
      <c r="W17" s="15"/>
      <c r="X17" s="20">
        <f>+P17-T17</f>
        <v>-39296</v>
      </c>
      <c r="Y17" s="15"/>
      <c r="Z17" s="21">
        <f>IF(T17=0,0,X17/T17)</f>
        <v>-7.0615042355368182E-2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2">
        <f>SUM(OSRRefD22x_0)</f>
        <v>31544.79</v>
      </c>
      <c r="E19" s="22"/>
      <c r="F19" s="31">
        <f t="shared" ref="F19:F30" si="4">IF(D$12=0,0,D19/D$12)</f>
        <v>0.79592233744606766</v>
      </c>
      <c r="G19" s="22"/>
      <c r="H19" s="22">
        <f>SUM(OSRRefH22x_0)</f>
        <v>31696.217163815389</v>
      </c>
      <c r="I19" s="22"/>
      <c r="J19" s="31">
        <f t="shared" ref="J19:J30" si="5">IF(H$12=0,0,H19/H$12)</f>
        <v>0.94093146006695327</v>
      </c>
      <c r="K19" s="4"/>
      <c r="L19" s="22">
        <f t="shared" ref="L19:L30" si="6">+D19-H19</f>
        <v>-151.42716381538776</v>
      </c>
      <c r="M19" s="4"/>
      <c r="N19" s="31">
        <f t="shared" ref="N19:N30" si="7">IF(H19=0,0,L19/H19)</f>
        <v>-4.7774522439938986E-3</v>
      </c>
      <c r="O19" s="10"/>
      <c r="P19" s="22">
        <f>SUM(OSRRefP22x_0)</f>
        <v>419778.08999999997</v>
      </c>
      <c r="Q19" s="22"/>
      <c r="R19" s="31">
        <f t="shared" ref="R19:R30" si="8">IF(P$12=0,0,P19/P$12)</f>
        <v>0.81165787550320379</v>
      </c>
      <c r="S19" s="22"/>
      <c r="T19" s="22">
        <f>SUM(OSRRefT22x_0)</f>
        <v>505531.96991573455</v>
      </c>
      <c r="U19" s="22"/>
      <c r="V19" s="31">
        <f t="shared" ref="V19:V30" si="9">IF(T$12=0,0,T19/T$12)</f>
        <v>0.90844262692366429</v>
      </c>
      <c r="W19" s="4"/>
      <c r="X19" s="22">
        <f t="shared" ref="X19:X30" si="10">+P19-T19</f>
        <v>-85753.879915734578</v>
      </c>
      <c r="Y19" s="4"/>
      <c r="Z19" s="31">
        <f t="shared" ref="Z19:Z30" si="11">IF(T19=0,0,X19/T19)</f>
        <v>-0.16963097295316182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3822.8999999999996</v>
      </c>
      <c r="E20" s="1"/>
      <c r="F20" s="5">
        <f t="shared" si="4"/>
        <v>9.6457497539928841E-2</v>
      </c>
      <c r="G20" s="1"/>
      <c r="H20" s="1">
        <f>SUM(OSRRefH22_0x_0)</f>
        <v>3633.3500945846163</v>
      </c>
      <c r="I20" s="1"/>
      <c r="J20" s="5">
        <f t="shared" si="5"/>
        <v>0.10785935090496397</v>
      </c>
      <c r="K20" s="1"/>
      <c r="L20" s="1">
        <f t="shared" si="6"/>
        <v>189.54990541538336</v>
      </c>
      <c r="M20" s="1"/>
      <c r="N20" s="5">
        <f t="shared" si="7"/>
        <v>5.2169458070638719E-2</v>
      </c>
      <c r="O20" s="13"/>
      <c r="P20" s="1">
        <f>SUM(OSRRefP22_0x_0)</f>
        <v>46768.679999999993</v>
      </c>
      <c r="Q20" s="1"/>
      <c r="R20" s="5">
        <f t="shared" si="8"/>
        <v>9.0429129945512818E-2</v>
      </c>
      <c r="S20" s="1"/>
      <c r="T20" s="1">
        <f>SUM(OSRRefT22_0x_0)</f>
        <v>45047.900284965348</v>
      </c>
      <c r="U20" s="1"/>
      <c r="V20" s="5">
        <f t="shared" si="9"/>
        <v>8.095122624804639E-2</v>
      </c>
      <c r="W20" s="1"/>
      <c r="X20" s="1">
        <f t="shared" si="10"/>
        <v>1720.7797150346451</v>
      </c>
      <c r="Y20" s="1"/>
      <c r="Z20" s="5">
        <f t="shared" si="11"/>
        <v>3.8198888386568201E-2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7">
        <v>899.48</v>
      </c>
      <c r="E21" s="2"/>
      <c r="F21" s="6">
        <f t="shared" si="4"/>
        <v>2.2695228723538467E-2</v>
      </c>
      <c r="G21" s="2"/>
      <c r="H21" s="7">
        <v>726.12499943076898</v>
      </c>
      <c r="I21" s="2"/>
      <c r="J21" s="6">
        <f t="shared" si="5"/>
        <v>2.1555690774528558E-2</v>
      </c>
      <c r="K21" s="2"/>
      <c r="L21" s="7">
        <f t="shared" si="6"/>
        <v>173.35500056923104</v>
      </c>
      <c r="M21" s="2"/>
      <c r="N21" s="6">
        <f t="shared" si="7"/>
        <v>0.23873988735428361</v>
      </c>
      <c r="O21" s="11"/>
      <c r="P21" s="7">
        <v>11246.77</v>
      </c>
      <c r="Q21" s="2"/>
      <c r="R21" s="6">
        <f t="shared" si="8"/>
        <v>2.1746083614018943E-2</v>
      </c>
      <c r="S21" s="2"/>
      <c r="T21" s="7">
        <v>10482.499744119201</v>
      </c>
      <c r="U21" s="2"/>
      <c r="V21" s="6">
        <f t="shared" si="9"/>
        <v>1.8837086813444461E-2</v>
      </c>
      <c r="W21" s="2"/>
      <c r="X21" s="7">
        <f t="shared" si="10"/>
        <v>764.2702558807996</v>
      </c>
      <c r="Y21" s="2"/>
      <c r="Z21" s="6">
        <f t="shared" si="11"/>
        <v>7.2909160461421776E-2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7">
        <v>111.42</v>
      </c>
      <c r="E22" s="2"/>
      <c r="F22" s="6">
        <f t="shared" si="4"/>
        <v>2.8112936189539019E-3</v>
      </c>
      <c r="G22" s="2"/>
      <c r="H22" s="7">
        <v>304.77564576923101</v>
      </c>
      <c r="I22" s="2"/>
      <c r="J22" s="6">
        <f t="shared" si="5"/>
        <v>9.0475463328751112E-3</v>
      </c>
      <c r="K22" s="2"/>
      <c r="L22" s="7">
        <f t="shared" si="6"/>
        <v>-193.35564576923099</v>
      </c>
      <c r="M22" s="2"/>
      <c r="N22" s="6">
        <f t="shared" si="7"/>
        <v>-0.63441960817182674</v>
      </c>
      <c r="O22" s="11"/>
      <c r="P22" s="7">
        <v>893.64</v>
      </c>
      <c r="Q22" s="2"/>
      <c r="R22" s="6">
        <f t="shared" si="8"/>
        <v>1.7278889993155267E-3</v>
      </c>
      <c r="S22" s="2"/>
      <c r="T22" s="7">
        <v>3808.9261642307702</v>
      </c>
      <c r="U22" s="2"/>
      <c r="V22" s="6">
        <f t="shared" si="9"/>
        <v>6.8446529523520441E-3</v>
      </c>
      <c r="W22" s="2"/>
      <c r="X22" s="7">
        <f t="shared" si="10"/>
        <v>-2915.2861642307703</v>
      </c>
      <c r="Y22" s="2"/>
      <c r="Z22" s="6">
        <f t="shared" si="11"/>
        <v>-0.7653826927935542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7">
        <v>1207.95</v>
      </c>
      <c r="E23" s="2"/>
      <c r="F23" s="6">
        <f t="shared" si="4"/>
        <v>3.0478389221103627E-2</v>
      </c>
      <c r="G23" s="2"/>
      <c r="H23" s="7">
        <v>1025</v>
      </c>
      <c r="I23" s="2"/>
      <c r="J23" s="6">
        <f t="shared" si="5"/>
        <v>3.0428071008727662E-2</v>
      </c>
      <c r="K23" s="2"/>
      <c r="L23" s="7">
        <f t="shared" si="6"/>
        <v>182.95000000000005</v>
      </c>
      <c r="M23" s="2"/>
      <c r="N23" s="6">
        <f t="shared" si="7"/>
        <v>0.17848780487804883</v>
      </c>
      <c r="O23" s="11"/>
      <c r="P23" s="7">
        <v>13442.75</v>
      </c>
      <c r="Q23" s="2"/>
      <c r="R23" s="6">
        <f t="shared" si="8"/>
        <v>2.5992099554125594E-2</v>
      </c>
      <c r="S23" s="2"/>
      <c r="T23" s="7">
        <v>11607.5</v>
      </c>
      <c r="U23" s="2"/>
      <c r="V23" s="6">
        <f t="shared" si="9"/>
        <v>2.0858716005189747E-2</v>
      </c>
      <c r="W23" s="2"/>
      <c r="X23" s="7">
        <f t="shared" si="10"/>
        <v>1835.25</v>
      </c>
      <c r="Y23" s="2"/>
      <c r="Z23" s="6">
        <f t="shared" si="11"/>
        <v>0.15810898126211501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46.16</v>
      </c>
      <c r="E24" s="2"/>
      <c r="F24" s="6">
        <f t="shared" si="4"/>
        <v>1.1646859939949033E-3</v>
      </c>
      <c r="G24" s="2"/>
      <c r="H24" s="7">
        <v>42.833334000000001</v>
      </c>
      <c r="I24" s="2"/>
      <c r="J24" s="6">
        <f t="shared" si="5"/>
        <v>1.2715470521878526E-3</v>
      </c>
      <c r="K24" s="2"/>
      <c r="L24" s="7">
        <f t="shared" si="6"/>
        <v>3.3266659999999959</v>
      </c>
      <c r="M24" s="2"/>
      <c r="N24" s="6">
        <f t="shared" si="7"/>
        <v>7.7665352876803748E-2</v>
      </c>
      <c r="O24" s="11"/>
      <c r="P24" s="7">
        <v>404.28</v>
      </c>
      <c r="Q24" s="2"/>
      <c r="R24" s="6">
        <f t="shared" si="8"/>
        <v>7.8169169312394371E-4</v>
      </c>
      <c r="S24" s="2"/>
      <c r="T24" s="7">
        <v>535.30854199999999</v>
      </c>
      <c r="U24" s="2"/>
      <c r="V24" s="6">
        <f t="shared" si="9"/>
        <v>9.6195122573596264E-4</v>
      </c>
      <c r="W24" s="2"/>
      <c r="X24" s="7">
        <f t="shared" si="10"/>
        <v>-131.02854200000002</v>
      </c>
      <c r="Y24" s="2"/>
      <c r="Z24" s="6">
        <f t="shared" si="11"/>
        <v>-0.24477199917351594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1.6156990386798881E-2</v>
      </c>
      <c r="G25" s="2"/>
      <c r="H25" s="7">
        <v>560.123953846154</v>
      </c>
      <c r="I25" s="2"/>
      <c r="J25" s="6">
        <f t="shared" si="5"/>
        <v>1.6627796528117141E-2</v>
      </c>
      <c r="K25" s="2"/>
      <c r="L25" s="7">
        <f t="shared" si="6"/>
        <v>80.226046153846028</v>
      </c>
      <c r="M25" s="2"/>
      <c r="N25" s="6">
        <f t="shared" si="7"/>
        <v>0.1432290934943326</v>
      </c>
      <c r="O25" s="11"/>
      <c r="P25" s="7">
        <v>8341.6299999999992</v>
      </c>
      <c r="Q25" s="2"/>
      <c r="R25" s="6">
        <f t="shared" si="8"/>
        <v>1.6128878198559123E-2</v>
      </c>
      <c r="S25" s="2"/>
      <c r="T25" s="7">
        <v>6966.83469615384</v>
      </c>
      <c r="U25" s="2"/>
      <c r="V25" s="6">
        <f t="shared" si="9"/>
        <v>1.2519425059847111E-2</v>
      </c>
      <c r="W25" s="2"/>
      <c r="X25" s="7">
        <f t="shared" si="10"/>
        <v>1374.7953038461592</v>
      </c>
      <c r="Y25" s="2"/>
      <c r="Z25" s="6">
        <f t="shared" si="11"/>
        <v>0.19733427931125427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5"/>
      <c r="B27" s="11" t="str">
        <f>CONCATENATE("          ", "6117", " - ", "RETIREMENT STAFF HOURLY")</f>
        <v xml:space="preserve">          6117 - RETIREMENT STAFF HOURLY</v>
      </c>
      <c r="C27" s="11"/>
      <c r="D27" s="7">
        <v>98.26</v>
      </c>
      <c r="E27" s="2"/>
      <c r="F27" s="6">
        <f t="shared" si="4"/>
        <v>2.4792470920697398E-3</v>
      </c>
      <c r="G27" s="2"/>
      <c r="H27" s="7"/>
      <c r="I27" s="2"/>
      <c r="J27" s="6">
        <f t="shared" si="5"/>
        <v>0</v>
      </c>
      <c r="K27" s="2"/>
      <c r="L27" s="7">
        <f t="shared" si="6"/>
        <v>98.26</v>
      </c>
      <c r="M27" s="2"/>
      <c r="N27" s="6">
        <f t="shared" si="7"/>
        <v>0</v>
      </c>
      <c r="O27" s="11"/>
      <c r="P27" s="7">
        <v>987.71</v>
      </c>
      <c r="Q27" s="2"/>
      <c r="R27" s="6">
        <f t="shared" si="8"/>
        <v>1.9097771401391376E-3</v>
      </c>
      <c r="S27" s="2"/>
      <c r="T27" s="7"/>
      <c r="U27" s="2"/>
      <c r="V27" s="6">
        <f t="shared" si="9"/>
        <v>0</v>
      </c>
      <c r="W27" s="2"/>
      <c r="X27" s="7">
        <f t="shared" si="10"/>
        <v>987.71</v>
      </c>
      <c r="Y27" s="2"/>
      <c r="Z27" s="6">
        <f t="shared" si="11"/>
        <v>0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7">
        <v>520.02</v>
      </c>
      <c r="E28" s="2"/>
      <c r="F28" s="6">
        <f t="shared" si="4"/>
        <v>1.3120884111725076E-2</v>
      </c>
      <c r="G28" s="2"/>
      <c r="H28" s="7">
        <v>195.39207692307701</v>
      </c>
      <c r="I28" s="2"/>
      <c r="J28" s="6">
        <f t="shared" si="5"/>
        <v>5.8003941377152831E-3</v>
      </c>
      <c r="K28" s="2"/>
      <c r="L28" s="7">
        <f t="shared" si="6"/>
        <v>324.62792307692297</v>
      </c>
      <c r="M28" s="2"/>
      <c r="N28" s="6">
        <f t="shared" si="7"/>
        <v>1.6614180482083938</v>
      </c>
      <c r="O28" s="11"/>
      <c r="P28" s="7">
        <v>6240.24</v>
      </c>
      <c r="Q28" s="2"/>
      <c r="R28" s="6">
        <f t="shared" si="8"/>
        <v>1.2065755840258629E-2</v>
      </c>
      <c r="S28" s="2"/>
      <c r="T28" s="7">
        <v>2430.2911730769201</v>
      </c>
      <c r="U28" s="2"/>
      <c r="V28" s="6">
        <f t="shared" si="9"/>
        <v>4.3672412999466656E-3</v>
      </c>
      <c r="W28" s="2"/>
      <c r="X28" s="7">
        <f t="shared" si="10"/>
        <v>3809.9488269230797</v>
      </c>
      <c r="Y28" s="2"/>
      <c r="Z28" s="6">
        <f t="shared" si="11"/>
        <v>1.5676923280346755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7">
        <v>299.26</v>
      </c>
      <c r="E29" s="2"/>
      <c r="F29" s="6">
        <f t="shared" si="4"/>
        <v>7.5507783917442535E-3</v>
      </c>
      <c r="G29" s="2"/>
      <c r="H29" s="7">
        <v>429.10008461538501</v>
      </c>
      <c r="I29" s="2"/>
      <c r="J29" s="6">
        <f t="shared" si="5"/>
        <v>1.2738232043441934E-2</v>
      </c>
      <c r="K29" s="2"/>
      <c r="L29" s="7">
        <f t="shared" si="6"/>
        <v>-129.84008461538502</v>
      </c>
      <c r="M29" s="2"/>
      <c r="N29" s="6">
        <f t="shared" si="7"/>
        <v>-0.30258694712625028</v>
      </c>
      <c r="O29" s="11"/>
      <c r="P29" s="7">
        <v>3591.13</v>
      </c>
      <c r="Q29" s="2"/>
      <c r="R29" s="6">
        <f t="shared" si="8"/>
        <v>6.9435947608790646E-3</v>
      </c>
      <c r="S29" s="2"/>
      <c r="T29" s="7">
        <v>5366.5399653846198</v>
      </c>
      <c r="U29" s="2"/>
      <c r="V29" s="6">
        <f t="shared" si="9"/>
        <v>9.6436901200481241E-3</v>
      </c>
      <c r="W29" s="2"/>
      <c r="X29" s="7">
        <f t="shared" si="10"/>
        <v>-1775.4099653846197</v>
      </c>
      <c r="Y29" s="2"/>
      <c r="Z29" s="6">
        <f t="shared" si="11"/>
        <v>-0.33082954321339447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4"/>
        <v>0</v>
      </c>
      <c r="G30" s="2"/>
      <c r="H30" s="7">
        <v>350</v>
      </c>
      <c r="I30" s="2"/>
      <c r="J30" s="6">
        <f t="shared" si="5"/>
        <v>1.0390073027370422E-2</v>
      </c>
      <c r="K30" s="2"/>
      <c r="L30" s="7">
        <f t="shared" si="6"/>
        <v>-350</v>
      </c>
      <c r="M30" s="2"/>
      <c r="N30" s="6">
        <f t="shared" si="7"/>
        <v>-1</v>
      </c>
      <c r="O30" s="11"/>
      <c r="P30" s="7">
        <v>1620.53</v>
      </c>
      <c r="Q30" s="2"/>
      <c r="R30" s="6">
        <f t="shared" si="8"/>
        <v>3.1333601450928678E-3</v>
      </c>
      <c r="S30" s="2"/>
      <c r="T30" s="7">
        <v>3850</v>
      </c>
      <c r="U30" s="2"/>
      <c r="V30" s="6">
        <f t="shared" si="9"/>
        <v>6.9184627714822759E-3</v>
      </c>
      <c r="W30" s="2"/>
      <c r="X30" s="7">
        <f t="shared" si="10"/>
        <v>-2229.4700000000003</v>
      </c>
      <c r="Y30" s="2"/>
      <c r="Z30" s="6">
        <f t="shared" si="11"/>
        <v>-0.57908311688311698</v>
      </c>
    </row>
    <row r="31" spans="1:26" s="27" customFormat="1" outlineLevel="1" collapsed="1" x14ac:dyDescent="0.25">
      <c r="A31" s="26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11834.07</v>
      </c>
      <c r="E31" s="1"/>
      <c r="F31" s="5">
        <f t="shared" ref="F31:F41" si="12">IF(D$12=0,0,D31/D$12)</f>
        <v>0.29859132541064265</v>
      </c>
      <c r="G31" s="1"/>
      <c r="H31" s="1">
        <f>SUM(OSRRefH22_1x_0)</f>
        <v>15849.86706923077</v>
      </c>
      <c r="I31" s="1"/>
      <c r="J31" s="5">
        <f t="shared" ref="J31:J41" si="13">IF(H$12=0,0,H31/H$12)</f>
        <v>0.47051793235263223</v>
      </c>
      <c r="K31" s="1"/>
      <c r="L31" s="1">
        <f t="shared" ref="L31:L41" si="14">+D31-H31</f>
        <v>-4015.7970692307699</v>
      </c>
      <c r="M31" s="1"/>
      <c r="N31" s="5">
        <f t="shared" ref="N31:N41" si="15">IF(H31=0,0,L31/H31)</f>
        <v>-0.2533647160376889</v>
      </c>
      <c r="O31" s="13"/>
      <c r="P31" s="1">
        <f>SUM(OSRRefP22_1x_0)</f>
        <v>152168.48000000001</v>
      </c>
      <c r="Q31" s="1"/>
      <c r="R31" s="5">
        <f t="shared" ref="R31:R41" si="16">IF(P$12=0,0,P31/P$12)</f>
        <v>0.2942238962384906</v>
      </c>
      <c r="S31" s="1"/>
      <c r="T31" s="1">
        <f>SUM(OSRRefT22_1x_0)</f>
        <v>198091.0696307692</v>
      </c>
      <c r="U31" s="1"/>
      <c r="V31" s="5">
        <f t="shared" ref="V31:V41" si="17">IF(T$12=0,0,T31/T$12)</f>
        <v>0.35597030924768314</v>
      </c>
      <c r="W31" s="1"/>
      <c r="X31" s="1">
        <f t="shared" ref="X31:X41" si="18">+P31-T31</f>
        <v>-45922.589630769187</v>
      </c>
      <c r="Y31" s="1"/>
      <c r="Z31" s="5">
        <f t="shared" ref="Z31:Z41" si="19">IF(T31=0,0,X31/T31)</f>
        <v>-0.23182564320727006</v>
      </c>
    </row>
    <row r="32" spans="1:26" s="24" customFormat="1" hidden="1" outlineLevel="2" x14ac:dyDescent="0.25">
      <c r="A32" s="25"/>
      <c r="B32" s="11" t="str">
        <f>CONCATENATE("          ", "6001", " - ", "ADMINISTRATIVE SALARIES")</f>
        <v xml:space="preserve">          6001 - ADMINISTRATIVE SALARIES</v>
      </c>
      <c r="C32" s="11"/>
      <c r="D32" s="7">
        <v>4205.72</v>
      </c>
      <c r="E32" s="2"/>
      <c r="F32" s="6">
        <f t="shared" si="12"/>
        <v>0.10611661998839352</v>
      </c>
      <c r="G32" s="2"/>
      <c r="H32" s="7">
        <v>4019.23076923077</v>
      </c>
      <c r="I32" s="2"/>
      <c r="J32" s="6">
        <f t="shared" si="13"/>
        <v>0.11931457487474827</v>
      </c>
      <c r="K32" s="2"/>
      <c r="L32" s="7">
        <f t="shared" si="14"/>
        <v>186.48923076923029</v>
      </c>
      <c r="M32" s="2"/>
      <c r="N32" s="6">
        <f t="shared" si="15"/>
        <v>4.6399234449760636E-2</v>
      </c>
      <c r="O32" s="11"/>
      <c r="P32" s="7">
        <v>47945.16</v>
      </c>
      <c r="Q32" s="2"/>
      <c r="R32" s="6">
        <f t="shared" si="16"/>
        <v>9.2703901497720356E-2</v>
      </c>
      <c r="S32" s="2"/>
      <c r="T32" s="7">
        <v>48230.769230769198</v>
      </c>
      <c r="U32" s="2"/>
      <c r="V32" s="6">
        <f t="shared" si="17"/>
        <v>8.6670852302085599E-2</v>
      </c>
      <c r="W32" s="2"/>
      <c r="X32" s="7">
        <f t="shared" si="18"/>
        <v>-285.60923076919426</v>
      </c>
      <c r="Y32" s="2"/>
      <c r="Z32" s="6">
        <f t="shared" si="19"/>
        <v>-5.9217224880375244E-3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7">
        <v>2282.3000000000002</v>
      </c>
      <c r="E33" s="2"/>
      <c r="F33" s="6">
        <f t="shared" si="12"/>
        <v>5.7585850175358923E-2</v>
      </c>
      <c r="G33" s="2"/>
      <c r="H33" s="7">
        <v>2168.1849999999999</v>
      </c>
      <c r="I33" s="2"/>
      <c r="J33" s="6">
        <f t="shared" si="13"/>
        <v>6.4364572819568963E-2</v>
      </c>
      <c r="K33" s="2"/>
      <c r="L33" s="7">
        <f t="shared" si="14"/>
        <v>114.11500000000024</v>
      </c>
      <c r="M33" s="2"/>
      <c r="N33" s="6">
        <f t="shared" si="15"/>
        <v>5.2631578947368529E-2</v>
      </c>
      <c r="O33" s="11"/>
      <c r="P33" s="7">
        <v>25789.98</v>
      </c>
      <c r="Q33" s="2"/>
      <c r="R33" s="6">
        <f t="shared" si="16"/>
        <v>4.9865966982864968E-2</v>
      </c>
      <c r="S33" s="2"/>
      <c r="T33" s="7">
        <v>28728.451249999998</v>
      </c>
      <c r="U33" s="2"/>
      <c r="V33" s="6">
        <f t="shared" si="17"/>
        <v>5.1625122196225573E-2</v>
      </c>
      <c r="W33" s="2"/>
      <c r="X33" s="7">
        <f t="shared" si="18"/>
        <v>-2938.4712499999987</v>
      </c>
      <c r="Y33" s="2"/>
      <c r="Z33" s="6">
        <f t="shared" si="19"/>
        <v>-0.10228436000356959</v>
      </c>
    </row>
    <row r="34" spans="1:26" s="24" customFormat="1" hidden="1" outlineLevel="2" x14ac:dyDescent="0.25">
      <c r="A34" s="25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5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12"/>
        <v>0</v>
      </c>
      <c r="G35" s="2"/>
      <c r="H35" s="7">
        <v>2885.7887999999998</v>
      </c>
      <c r="I35" s="2"/>
      <c r="J35" s="6">
        <f t="shared" si="13"/>
        <v>8.5667303924479007E-2</v>
      </c>
      <c r="K35" s="2"/>
      <c r="L35" s="7">
        <f t="shared" si="14"/>
        <v>-2885.7887999999998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33331.838400000001</v>
      </c>
      <c r="U35" s="2"/>
      <c r="V35" s="6">
        <f t="shared" si="17"/>
        <v>5.9897424175445031E-2</v>
      </c>
      <c r="W35" s="2"/>
      <c r="X35" s="7">
        <f t="shared" si="18"/>
        <v>-33331.838400000001</v>
      </c>
      <c r="Y35" s="2"/>
      <c r="Z35" s="6">
        <f t="shared" si="19"/>
        <v>-1</v>
      </c>
    </row>
    <row r="36" spans="1:26" s="24" customFormat="1" hidden="1" outlineLevel="2" x14ac:dyDescent="0.25">
      <c r="A36" s="25"/>
      <c r="B36" s="11" t="str">
        <f>CONCATENATE("          ", "6005", " - ", "TEMPORARY WAGES-HOURLY")</f>
        <v xml:space="preserve">          6005 - TEMPORARY WAGES-HOURLY</v>
      </c>
      <c r="C36" s="11"/>
      <c r="D36" s="7">
        <v>5346.05</v>
      </c>
      <c r="E36" s="2"/>
      <c r="F36" s="6">
        <f t="shared" si="12"/>
        <v>0.13488885524689023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5346.05</v>
      </c>
      <c r="M36" s="2"/>
      <c r="N36" s="6">
        <f t="shared" si="15"/>
        <v>0</v>
      </c>
      <c r="O36" s="11"/>
      <c r="P36" s="7">
        <v>70243.679999999993</v>
      </c>
      <c r="Q36" s="2"/>
      <c r="R36" s="6">
        <f t="shared" si="16"/>
        <v>0.13581898968649575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70243.679999999993</v>
      </c>
      <c r="Y36" s="2"/>
      <c r="Z36" s="6">
        <f t="shared" si="19"/>
        <v>0</v>
      </c>
    </row>
    <row r="37" spans="1:26" s="24" customFormat="1" hidden="1" outlineLevel="2" x14ac:dyDescent="0.25">
      <c r="A37" s="25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5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>
        <v>4277.78</v>
      </c>
      <c r="Q38" s="2"/>
      <c r="R38" s="6">
        <f t="shared" si="16"/>
        <v>8.2712602429300085E-3</v>
      </c>
      <c r="S38" s="2"/>
      <c r="T38" s="7">
        <v>20952</v>
      </c>
      <c r="U38" s="2"/>
      <c r="V38" s="6">
        <f t="shared" si="17"/>
        <v>3.7650813503401728E-2</v>
      </c>
      <c r="W38" s="2"/>
      <c r="X38" s="7">
        <f t="shared" si="18"/>
        <v>-16674.22</v>
      </c>
      <c r="Y38" s="2"/>
      <c r="Z38" s="6">
        <f t="shared" si="19"/>
        <v>-0.79582951508209243</v>
      </c>
    </row>
    <row r="39" spans="1:26" s="24" customFormat="1" hidden="1" outlineLevel="2" x14ac:dyDescent="0.25">
      <c r="A39" s="25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12"/>
        <v>0</v>
      </c>
      <c r="G39" s="2"/>
      <c r="H39" s="7">
        <v>6776.6625000000004</v>
      </c>
      <c r="I39" s="2"/>
      <c r="J39" s="6">
        <f t="shared" si="13"/>
        <v>0.20117148073383603</v>
      </c>
      <c r="K39" s="2"/>
      <c r="L39" s="7">
        <f t="shared" si="14"/>
        <v>-6776.6625000000004</v>
      </c>
      <c r="M39" s="2"/>
      <c r="N39" s="6">
        <f t="shared" si="15"/>
        <v>-1</v>
      </c>
      <c r="O39" s="11"/>
      <c r="P39" s="7">
        <v>3911.88</v>
      </c>
      <c r="Q39" s="2"/>
      <c r="R39" s="6">
        <f t="shared" si="16"/>
        <v>7.5637778284795027E-3</v>
      </c>
      <c r="S39" s="2"/>
      <c r="T39" s="7">
        <v>66848.010750000001</v>
      </c>
      <c r="U39" s="2"/>
      <c r="V39" s="6">
        <f t="shared" si="17"/>
        <v>0.1201260970705252</v>
      </c>
      <c r="W39" s="2"/>
      <c r="X39" s="7">
        <f t="shared" si="18"/>
        <v>-62936.130750000004</v>
      </c>
      <c r="Y39" s="2"/>
      <c r="Z39" s="6">
        <f t="shared" si="19"/>
        <v>-0.94148098116741641</v>
      </c>
    </row>
    <row r="40" spans="1:26" s="24" customFormat="1" hidden="1" outlineLevel="2" x14ac:dyDescent="0.25">
      <c r="A40" s="25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5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7" customFormat="1" outlineLevel="1" collapsed="1" x14ac:dyDescent="0.25">
      <c r="A42" s="26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2.9685922935344059E-3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3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1100</v>
      </c>
      <c r="U42" s="1"/>
      <c r="V42" s="5">
        <f t="shared" ref="V42:V50" si="25">IF(T$12=0,0,T42/T$12)</f>
        <v>1.9767036489949361E-3</v>
      </c>
      <c r="W42" s="1"/>
      <c r="X42" s="1">
        <f t="shared" ref="X42:X50" si="26">+P42-T42</f>
        <v>-1100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5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>
        <v>100</v>
      </c>
      <c r="I43" s="2"/>
      <c r="J43" s="6">
        <f t="shared" si="21"/>
        <v>2.9685922935344059E-3</v>
      </c>
      <c r="K43" s="2"/>
      <c r="L43" s="7">
        <f t="shared" si="22"/>
        <v>-100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1100</v>
      </c>
      <c r="U43" s="2"/>
      <c r="V43" s="6">
        <f t="shared" si="25"/>
        <v>1.9767036489949361E-3</v>
      </c>
      <c r="W43" s="2"/>
      <c r="X43" s="7">
        <f t="shared" si="26"/>
        <v>-1100</v>
      </c>
      <c r="Y43" s="2"/>
      <c r="Z43" s="6">
        <f t="shared" si="27"/>
        <v>-1</v>
      </c>
    </row>
    <row r="44" spans="1:26" s="27" customFormat="1" outlineLevel="1" collapsed="1" x14ac:dyDescent="0.25">
      <c r="A44" s="26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SUM(OSRRefD22_3x_0)</f>
        <v>5257.31</v>
      </c>
      <c r="E44" s="1"/>
      <c r="F44" s="5">
        <f t="shared" si="20"/>
        <v>0.13264981202533244</v>
      </c>
      <c r="G44" s="1"/>
      <c r="H44" s="1">
        <f>SUM(OSRRefH22_3x_0)</f>
        <v>2000</v>
      </c>
      <c r="I44" s="1"/>
      <c r="J44" s="5">
        <f t="shared" si="21"/>
        <v>5.9371845870688118E-2</v>
      </c>
      <c r="K44" s="1"/>
      <c r="L44" s="1">
        <f t="shared" si="22"/>
        <v>3257.3100000000004</v>
      </c>
      <c r="M44" s="1"/>
      <c r="N44" s="5">
        <f t="shared" si="23"/>
        <v>1.6286550000000002</v>
      </c>
      <c r="O44" s="13"/>
      <c r="P44" s="1">
        <f>SUM(OSRRefP22_3x_0)</f>
        <v>6061.25</v>
      </c>
      <c r="Q44" s="1"/>
      <c r="R44" s="5">
        <f t="shared" si="24"/>
        <v>1.1719671452823549E-2</v>
      </c>
      <c r="S44" s="1"/>
      <c r="T44" s="1">
        <f>SUM(OSRRefT22_3x_0)</f>
        <v>19700</v>
      </c>
      <c r="U44" s="1"/>
      <c r="V44" s="5">
        <f t="shared" si="25"/>
        <v>3.5400965350182036E-2</v>
      </c>
      <c r="W44" s="1"/>
      <c r="X44" s="1">
        <f t="shared" si="26"/>
        <v>-13638.75</v>
      </c>
      <c r="Y44" s="1"/>
      <c r="Z44" s="5">
        <f t="shared" si="27"/>
        <v>-0.69232233502538076</v>
      </c>
    </row>
    <row r="45" spans="1:26" s="24" customFormat="1" hidden="1" outlineLevel="2" x14ac:dyDescent="0.25">
      <c r="A45" s="25"/>
      <c r="B45" s="11" t="str">
        <f>CONCATENATE("          ", "6381", " - ", "BANK/CREDIT CARD FEES")</f>
        <v xml:space="preserve">          6381 - BANK/CREDIT CARD FEES</v>
      </c>
      <c r="C45" s="11"/>
      <c r="D45" s="7">
        <v>5257.31</v>
      </c>
      <c r="E45" s="2"/>
      <c r="F45" s="6">
        <f t="shared" si="20"/>
        <v>0.13264981202533244</v>
      </c>
      <c r="G45" s="2"/>
      <c r="H45" s="7">
        <v>2000</v>
      </c>
      <c r="I45" s="2"/>
      <c r="J45" s="6">
        <f t="shared" si="21"/>
        <v>5.9371845870688118E-2</v>
      </c>
      <c r="K45" s="2"/>
      <c r="L45" s="7">
        <f t="shared" si="22"/>
        <v>3257.3100000000004</v>
      </c>
      <c r="M45" s="2"/>
      <c r="N45" s="6">
        <f t="shared" si="23"/>
        <v>1.6286550000000002</v>
      </c>
      <c r="O45" s="11"/>
      <c r="P45" s="7">
        <v>6061.25</v>
      </c>
      <c r="Q45" s="2"/>
      <c r="R45" s="6">
        <f t="shared" si="24"/>
        <v>1.1719671452823549E-2</v>
      </c>
      <c r="S45" s="2"/>
      <c r="T45" s="7">
        <v>19700</v>
      </c>
      <c r="U45" s="2"/>
      <c r="V45" s="6">
        <f t="shared" si="25"/>
        <v>3.5400965350182036E-2</v>
      </c>
      <c r="W45" s="2"/>
      <c r="X45" s="7">
        <f t="shared" si="26"/>
        <v>-13638.75</v>
      </c>
      <c r="Y45" s="2"/>
      <c r="Z45" s="6">
        <f t="shared" si="27"/>
        <v>-0.69232233502538076</v>
      </c>
    </row>
    <row r="46" spans="1:26" s="27" customFormat="1" outlineLevel="1" collapsed="1" x14ac:dyDescent="0.25">
      <c r="A46" s="26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5.937184587068812E-4</v>
      </c>
      <c r="K46" s="1"/>
      <c r="L46" s="1">
        <f t="shared" si="22"/>
        <v>-20</v>
      </c>
      <c r="M46" s="1"/>
      <c r="N46" s="5">
        <f t="shared" si="23"/>
        <v>-1</v>
      </c>
      <c r="O46" s="13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220</v>
      </c>
      <c r="U46" s="1"/>
      <c r="V46" s="5">
        <f t="shared" si="25"/>
        <v>3.9534072979898719E-4</v>
      </c>
      <c r="W46" s="1"/>
      <c r="X46" s="1">
        <f t="shared" si="26"/>
        <v>-220</v>
      </c>
      <c r="Y46" s="1"/>
      <c r="Z46" s="5">
        <f t="shared" si="27"/>
        <v>-1</v>
      </c>
    </row>
    <row r="47" spans="1:26" s="24" customFormat="1" hidden="1" outlineLevel="2" x14ac:dyDescent="0.25">
      <c r="A47" s="25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5.937184587068812E-4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220</v>
      </c>
      <c r="U47" s="2"/>
      <c r="V47" s="6">
        <f t="shared" si="25"/>
        <v>3.9534072979898719E-4</v>
      </c>
      <c r="W47" s="2"/>
      <c r="X47" s="7">
        <f t="shared" si="26"/>
        <v>-220</v>
      </c>
      <c r="Y47" s="2"/>
      <c r="Z47" s="6">
        <f t="shared" si="27"/>
        <v>-1</v>
      </c>
    </row>
    <row r="48" spans="1:26" s="27" customFormat="1" outlineLevel="1" collapsed="1" x14ac:dyDescent="0.25">
      <c r="A48" s="26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2.968592293534406E-4</v>
      </c>
      <c r="K48" s="1"/>
      <c r="L48" s="1">
        <f t="shared" si="22"/>
        <v>-10</v>
      </c>
      <c r="M48" s="1"/>
      <c r="N48" s="5">
        <f t="shared" si="23"/>
        <v>-1</v>
      </c>
      <c r="O48" s="13"/>
      <c r="P48" s="1">
        <f>SUM(OSRRefP22_5x_0)</f>
        <v>2.12</v>
      </c>
      <c r="Q48" s="1"/>
      <c r="R48" s="5">
        <f t="shared" si="24"/>
        <v>4.0991055442336024E-6</v>
      </c>
      <c r="S48" s="1"/>
      <c r="T48" s="1">
        <f>SUM(OSRRefT22_5x_0)</f>
        <v>110</v>
      </c>
      <c r="U48" s="1"/>
      <c r="V48" s="5">
        <f t="shared" si="25"/>
        <v>1.9767036489949359E-4</v>
      </c>
      <c r="W48" s="1"/>
      <c r="X48" s="1">
        <f t="shared" si="26"/>
        <v>-107.88</v>
      </c>
      <c r="Y48" s="1"/>
      <c r="Z48" s="5">
        <f t="shared" si="27"/>
        <v>-0.98072727272727267</v>
      </c>
    </row>
    <row r="49" spans="1:26" s="24" customFormat="1" hidden="1" outlineLevel="2" x14ac:dyDescent="0.25">
      <c r="A49" s="25"/>
      <c r="B49" s="11" t="str">
        <f>CONCATENATE("          ", "6305", " - ", "FREIGHT OUT")</f>
        <v xml:space="preserve">          6305 - FREIGHT OUT</v>
      </c>
      <c r="C49" s="11"/>
      <c r="D49" s="7"/>
      <c r="E49" s="2"/>
      <c r="F49" s="6">
        <f t="shared" si="20"/>
        <v>0</v>
      </c>
      <c r="G49" s="2"/>
      <c r="H49" s="7"/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>
        <v>1.62</v>
      </c>
      <c r="Q49" s="2"/>
      <c r="R49" s="6">
        <f t="shared" si="24"/>
        <v>3.1323353687068096E-6</v>
      </c>
      <c r="S49" s="2"/>
      <c r="T49" s="7"/>
      <c r="U49" s="2"/>
      <c r="V49" s="6">
        <f t="shared" si="25"/>
        <v>0</v>
      </c>
      <c r="W49" s="2"/>
      <c r="X49" s="7">
        <f t="shared" si="26"/>
        <v>1.62</v>
      </c>
      <c r="Y49" s="2"/>
      <c r="Z49" s="6">
        <f t="shared" si="27"/>
        <v>0</v>
      </c>
    </row>
    <row r="50" spans="1:26" s="24" customFormat="1" hidden="1" outlineLevel="2" x14ac:dyDescent="0.25">
      <c r="A50" s="25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2.968592293534406E-4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>
        <v>0.5</v>
      </c>
      <c r="Q50" s="2"/>
      <c r="R50" s="6">
        <f t="shared" si="24"/>
        <v>9.66770175526793E-7</v>
      </c>
      <c r="S50" s="2"/>
      <c r="T50" s="7">
        <v>110</v>
      </c>
      <c r="U50" s="2"/>
      <c r="V50" s="6">
        <f t="shared" si="25"/>
        <v>1.9767036489949359E-4</v>
      </c>
      <c r="W50" s="2"/>
      <c r="X50" s="7">
        <f t="shared" si="26"/>
        <v>-109.5</v>
      </c>
      <c r="Y50" s="2"/>
      <c r="Z50" s="6">
        <f t="shared" si="27"/>
        <v>-0.99545454545454548</v>
      </c>
    </row>
    <row r="51" spans="1:26" s="27" customFormat="1" outlineLevel="1" collapsed="1" x14ac:dyDescent="0.25">
      <c r="A51" s="26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SUM(OSRRefD22_6x_0)</f>
        <v>0</v>
      </c>
      <c r="E51" s="1"/>
      <c r="F51" s="5">
        <f t="shared" ref="F51:F61" si="28">IF(D$12=0,0,D51/D$12)</f>
        <v>0</v>
      </c>
      <c r="G51" s="1"/>
      <c r="H51" s="1">
        <f>SUM(OSRRefH22_6x_0)</f>
        <v>50</v>
      </c>
      <c r="I51" s="1"/>
      <c r="J51" s="5">
        <f t="shared" ref="J51:J61" si="29">IF(H$12=0,0,H51/H$12)</f>
        <v>1.484296146767203E-3</v>
      </c>
      <c r="K51" s="1"/>
      <c r="L51" s="1">
        <f t="shared" ref="L51:L61" si="30">+D51-H51</f>
        <v>-50</v>
      </c>
      <c r="M51" s="1"/>
      <c r="N51" s="5">
        <f t="shared" ref="N51:N61" si="31">IF(H51=0,0,L51/H51)</f>
        <v>-1</v>
      </c>
      <c r="O51" s="13"/>
      <c r="P51" s="1">
        <f>SUM(OSRRefP22_6x_0)</f>
        <v>0</v>
      </c>
      <c r="Q51" s="1"/>
      <c r="R51" s="5">
        <f t="shared" ref="R51:R61" si="32">IF(P$12=0,0,P51/P$12)</f>
        <v>0</v>
      </c>
      <c r="S51" s="1"/>
      <c r="T51" s="1">
        <f>SUM(OSRRefT22_6x_0)</f>
        <v>550</v>
      </c>
      <c r="U51" s="1"/>
      <c r="V51" s="5">
        <f t="shared" ref="V51:V61" si="33">IF(T$12=0,0,T51/T$12)</f>
        <v>9.8835182449746807E-4</v>
      </c>
      <c r="W51" s="1"/>
      <c r="X51" s="1">
        <f t="shared" ref="X51:X61" si="34">+P51-T51</f>
        <v>-550</v>
      </c>
      <c r="Y51" s="1"/>
      <c r="Z51" s="5">
        <f t="shared" ref="Z51:Z61" si="35">IF(T51=0,0,X51/T51)</f>
        <v>-1</v>
      </c>
    </row>
    <row r="52" spans="1:26" s="24" customFormat="1" hidden="1" outlineLevel="2" x14ac:dyDescent="0.25">
      <c r="A52" s="25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1.484296146767203E-3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550</v>
      </c>
      <c r="U52" s="2"/>
      <c r="V52" s="6">
        <f t="shared" si="33"/>
        <v>9.8835182449746807E-4</v>
      </c>
      <c r="W52" s="2"/>
      <c r="X52" s="7">
        <f t="shared" si="34"/>
        <v>-550</v>
      </c>
      <c r="Y52" s="2"/>
      <c r="Z52" s="6">
        <f t="shared" si="35"/>
        <v>-1</v>
      </c>
    </row>
    <row r="53" spans="1:26" s="27" customFormat="1" outlineLevel="1" collapsed="1" x14ac:dyDescent="0.25">
      <c r="A53" s="26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SUM(OSRRefD22_7x_0)</f>
        <v>29.01</v>
      </c>
      <c r="E53" s="1"/>
      <c r="F53" s="5">
        <f t="shared" si="28"/>
        <v>7.3196578608735146E-4</v>
      </c>
      <c r="G53" s="1"/>
      <c r="H53" s="1">
        <f>SUM(OSRRefH22_7x_0)</f>
        <v>33</v>
      </c>
      <c r="I53" s="1"/>
      <c r="J53" s="5">
        <f t="shared" si="29"/>
        <v>9.7963545686635396E-4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3"/>
      <c r="P53" s="1">
        <f>SUM(OSRRefP22_7x_0)</f>
        <v>319.11</v>
      </c>
      <c r="Q53" s="1"/>
      <c r="R53" s="5">
        <f t="shared" si="32"/>
        <v>6.1701206142470994E-4</v>
      </c>
      <c r="S53" s="1"/>
      <c r="T53" s="1">
        <f>SUM(OSRRefT22_7x_0)</f>
        <v>363</v>
      </c>
      <c r="U53" s="1"/>
      <c r="V53" s="5">
        <f t="shared" si="33"/>
        <v>6.5231220416832889E-4</v>
      </c>
      <c r="W53" s="1"/>
      <c r="X53" s="1">
        <f t="shared" si="34"/>
        <v>-43.889999999999986</v>
      </c>
      <c r="Y53" s="1"/>
      <c r="Z53" s="5">
        <f t="shared" si="35"/>
        <v>-0.12090909090909087</v>
      </c>
    </row>
    <row r="54" spans="1:26" s="24" customFormat="1" hidden="1" outlineLevel="2" x14ac:dyDescent="0.25">
      <c r="A54" s="25"/>
      <c r="B54" s="11" t="str">
        <f>CONCATENATE("          ", "6314", " - ", "LIABILITY INSURANCE")</f>
        <v xml:space="preserve">          6314 - LIABILITY INSURANCE</v>
      </c>
      <c r="C54" s="11"/>
      <c r="D54" s="7">
        <v>29.01</v>
      </c>
      <c r="E54" s="2"/>
      <c r="F54" s="6">
        <f t="shared" si="28"/>
        <v>7.3196578608735146E-4</v>
      </c>
      <c r="G54" s="2"/>
      <c r="H54" s="7">
        <v>33</v>
      </c>
      <c r="I54" s="2"/>
      <c r="J54" s="6">
        <f t="shared" si="29"/>
        <v>9.7963545686635396E-4</v>
      </c>
      <c r="K54" s="2"/>
      <c r="L54" s="7">
        <f t="shared" si="30"/>
        <v>-3.9899999999999984</v>
      </c>
      <c r="M54" s="2"/>
      <c r="N54" s="6">
        <f t="shared" si="31"/>
        <v>-0.12090909090909085</v>
      </c>
      <c r="O54" s="11"/>
      <c r="P54" s="7">
        <v>319.11</v>
      </c>
      <c r="Q54" s="2"/>
      <c r="R54" s="6">
        <f t="shared" si="32"/>
        <v>6.1701206142470994E-4</v>
      </c>
      <c r="S54" s="2"/>
      <c r="T54" s="7">
        <v>363</v>
      </c>
      <c r="U54" s="2"/>
      <c r="V54" s="6">
        <f t="shared" si="33"/>
        <v>6.5231220416832889E-4</v>
      </c>
      <c r="W54" s="2"/>
      <c r="X54" s="7">
        <f t="shared" si="34"/>
        <v>-43.889999999999986</v>
      </c>
      <c r="Y54" s="2"/>
      <c r="Z54" s="6">
        <f t="shared" si="35"/>
        <v>-0.12090909090909087</v>
      </c>
    </row>
    <row r="55" spans="1:26" s="27" customFormat="1" outlineLevel="1" collapsed="1" x14ac:dyDescent="0.25">
      <c r="A55" s="26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SUM(OSRRefD22_8x_0)</f>
        <v>800</v>
      </c>
      <c r="E55" s="1"/>
      <c r="F55" s="5">
        <f t="shared" si="28"/>
        <v>2.018519920268463E-2</v>
      </c>
      <c r="G55" s="1"/>
      <c r="H55" s="1">
        <f>SUM(OSRRefH22_8x_0)</f>
        <v>800</v>
      </c>
      <c r="I55" s="1"/>
      <c r="J55" s="5">
        <f t="shared" si="29"/>
        <v>2.3748738348275247E-2</v>
      </c>
      <c r="K55" s="1"/>
      <c r="L55" s="1">
        <f t="shared" si="30"/>
        <v>0</v>
      </c>
      <c r="M55" s="1"/>
      <c r="N55" s="5">
        <f t="shared" si="31"/>
        <v>0</v>
      </c>
      <c r="O55" s="13"/>
      <c r="P55" s="1">
        <f>SUM(OSRRefP22_8x_0)</f>
        <v>8800</v>
      </c>
      <c r="Q55" s="1"/>
      <c r="R55" s="5">
        <f t="shared" si="32"/>
        <v>1.7015155089271559E-2</v>
      </c>
      <c r="S55" s="1"/>
      <c r="T55" s="1">
        <f>SUM(OSRRefT22_8x_0)</f>
        <v>8800</v>
      </c>
      <c r="U55" s="1"/>
      <c r="V55" s="5">
        <f t="shared" si="33"/>
        <v>1.5813629191959489E-2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5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2.018519920268463E-2</v>
      </c>
      <c r="G56" s="2"/>
      <c r="H56" s="7">
        <v>800</v>
      </c>
      <c r="I56" s="2"/>
      <c r="J56" s="6">
        <f t="shared" si="29"/>
        <v>2.3748738348275247E-2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8800</v>
      </c>
      <c r="Q56" s="2"/>
      <c r="R56" s="6">
        <f t="shared" si="32"/>
        <v>1.7015155089271559E-2</v>
      </c>
      <c r="S56" s="2"/>
      <c r="T56" s="7">
        <v>8800</v>
      </c>
      <c r="U56" s="2"/>
      <c r="V56" s="6">
        <f t="shared" si="33"/>
        <v>1.5813629191959489E-2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7" customFormat="1" outlineLevel="1" collapsed="1" x14ac:dyDescent="0.25">
      <c r="A57" s="26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SUM(OSRRefD22_9x_0)</f>
        <v>5436</v>
      </c>
      <c r="E57" s="1"/>
      <c r="F57" s="5">
        <f t="shared" si="28"/>
        <v>0.13715842858224206</v>
      </c>
      <c r="G57" s="1"/>
      <c r="H57" s="1">
        <f>SUM(OSRRefH22_9x_0)</f>
        <v>1500</v>
      </c>
      <c r="I57" s="1"/>
      <c r="J57" s="5">
        <f t="shared" si="29"/>
        <v>4.452888440301609E-2</v>
      </c>
      <c r="K57" s="1"/>
      <c r="L57" s="1">
        <f t="shared" si="30"/>
        <v>3936</v>
      </c>
      <c r="M57" s="1"/>
      <c r="N57" s="5">
        <f t="shared" si="31"/>
        <v>2.6240000000000001</v>
      </c>
      <c r="O57" s="13"/>
      <c r="P57" s="1">
        <f>SUM(OSRRefP22_9x_0)</f>
        <v>154932.13</v>
      </c>
      <c r="Q57" s="1"/>
      <c r="R57" s="5">
        <f t="shared" si="32"/>
        <v>0.29956752502967987</v>
      </c>
      <c r="S57" s="1"/>
      <c r="T57" s="1">
        <f>SUM(OSRRefT22_9x_0)</f>
        <v>141500</v>
      </c>
      <c r="U57" s="1"/>
      <c r="V57" s="5">
        <f t="shared" si="33"/>
        <v>0.25427596939343949</v>
      </c>
      <c r="W57" s="1"/>
      <c r="X57" s="1">
        <f t="shared" si="34"/>
        <v>13432.130000000005</v>
      </c>
      <c r="Y57" s="1"/>
      <c r="Z57" s="5">
        <f t="shared" si="35"/>
        <v>9.4926713780918756E-2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7">
        <v>5436</v>
      </c>
      <c r="E58" s="2"/>
      <c r="F58" s="6">
        <f t="shared" si="28"/>
        <v>0.13715842858224206</v>
      </c>
      <c r="G58" s="2"/>
      <c r="H58" s="7"/>
      <c r="I58" s="2"/>
      <c r="J58" s="6">
        <f t="shared" si="29"/>
        <v>0</v>
      </c>
      <c r="K58" s="2"/>
      <c r="L58" s="7">
        <f t="shared" si="30"/>
        <v>5436</v>
      </c>
      <c r="M58" s="2"/>
      <c r="N58" s="6">
        <f t="shared" si="31"/>
        <v>0</v>
      </c>
      <c r="O58" s="11"/>
      <c r="P58" s="7">
        <v>5436</v>
      </c>
      <c r="Q58" s="2"/>
      <c r="R58" s="6">
        <f t="shared" si="32"/>
        <v>1.0510725348327294E-2</v>
      </c>
      <c r="S58" s="2"/>
      <c r="T58" s="7">
        <v>125000</v>
      </c>
      <c r="U58" s="2"/>
      <c r="V58" s="6">
        <f t="shared" si="33"/>
        <v>0.22462541465851546</v>
      </c>
      <c r="W58" s="2"/>
      <c r="X58" s="7">
        <f t="shared" si="34"/>
        <v>-119564</v>
      </c>
      <c r="Y58" s="2"/>
      <c r="Z58" s="6">
        <f t="shared" si="35"/>
        <v>-0.95651200000000003</v>
      </c>
    </row>
    <row r="59" spans="1:26" s="24" customFormat="1" hidden="1" outlineLevel="2" x14ac:dyDescent="0.25">
      <c r="A59" s="25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8"/>
        <v>0</v>
      </c>
      <c r="G59" s="2"/>
      <c r="H59" s="7">
        <v>1500</v>
      </c>
      <c r="I59" s="2"/>
      <c r="J59" s="6">
        <f t="shared" si="29"/>
        <v>4.452888440301609E-2</v>
      </c>
      <c r="K59" s="2"/>
      <c r="L59" s="7">
        <f t="shared" si="30"/>
        <v>-1500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16500</v>
      </c>
      <c r="U59" s="2"/>
      <c r="V59" s="6">
        <f t="shared" si="33"/>
        <v>2.9650554734924041E-2</v>
      </c>
      <c r="W59" s="2"/>
      <c r="X59" s="7">
        <f t="shared" si="34"/>
        <v>-16500</v>
      </c>
      <c r="Y59" s="2"/>
      <c r="Z59" s="6">
        <f t="shared" si="35"/>
        <v>-1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142934.13</v>
      </c>
      <c r="Q60" s="2"/>
      <c r="R60" s="6">
        <f t="shared" si="32"/>
        <v>0.27636890789773894</v>
      </c>
      <c r="S60" s="2"/>
      <c r="T60" s="7"/>
      <c r="U60" s="2"/>
      <c r="V60" s="6">
        <f t="shared" si="33"/>
        <v>0</v>
      </c>
      <c r="W60" s="2"/>
      <c r="X60" s="7">
        <f t="shared" si="34"/>
        <v>142934.13</v>
      </c>
      <c r="Y60" s="2"/>
      <c r="Z60" s="6">
        <f t="shared" si="35"/>
        <v>0</v>
      </c>
    </row>
    <row r="61" spans="1:26" s="24" customFormat="1" hidden="1" outlineLevel="2" x14ac:dyDescent="0.25">
      <c r="A61" s="25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6562</v>
      </c>
      <c r="Q61" s="2"/>
      <c r="R61" s="6">
        <f t="shared" si="32"/>
        <v>1.2687891783613632E-2</v>
      </c>
      <c r="S61" s="2"/>
      <c r="T61" s="7"/>
      <c r="U61" s="2"/>
      <c r="V61" s="6">
        <f t="shared" si="33"/>
        <v>0</v>
      </c>
      <c r="W61" s="2"/>
      <c r="X61" s="7">
        <f t="shared" si="34"/>
        <v>6562</v>
      </c>
      <c r="Y61" s="2"/>
      <c r="Z61" s="6">
        <f t="shared" si="35"/>
        <v>0</v>
      </c>
    </row>
    <row r="62" spans="1:26" s="27" customFormat="1" outlineLevel="1" collapsed="1" x14ac:dyDescent="0.25">
      <c r="A62" s="26"/>
      <c r="B62" s="13" t="str">
        <f>CONCATENATE("     ","Subscriptions &amp; Dues                              ")</f>
        <v xml:space="preserve">     Subscriptions &amp; Dues                              </v>
      </c>
      <c r="C62" s="13"/>
      <c r="D62" s="1">
        <f>SUM(OSRRefD22_10x_0)</f>
        <v>0</v>
      </c>
      <c r="E62" s="1"/>
      <c r="F62" s="5">
        <f t="shared" ref="F62:F66" si="36">IF(D$12=0,0,D62/D$12)</f>
        <v>0</v>
      </c>
      <c r="G62" s="1"/>
      <c r="H62" s="1">
        <f>SUM(OSRRefH22_10x_0)</f>
        <v>0</v>
      </c>
      <c r="I62" s="1"/>
      <c r="J62" s="5">
        <f t="shared" ref="J62:J66" si="37">IF(H$12=0,0,H62/H$12)</f>
        <v>0</v>
      </c>
      <c r="K62" s="1"/>
      <c r="L62" s="1">
        <f t="shared" ref="L62:L66" si="38">+D62-H62</f>
        <v>0</v>
      </c>
      <c r="M62" s="1"/>
      <c r="N62" s="5">
        <f t="shared" ref="N62:N66" si="39">IF(H62=0,0,L62/H62)</f>
        <v>0</v>
      </c>
      <c r="O62" s="13"/>
      <c r="P62" s="1">
        <f>SUM(OSRRefP22_10x_0)</f>
        <v>0</v>
      </c>
      <c r="Q62" s="1"/>
      <c r="R62" s="5">
        <f t="shared" ref="R62:R66" si="40">IF(P$12=0,0,P62/P$12)</f>
        <v>0</v>
      </c>
      <c r="S62" s="1"/>
      <c r="T62" s="1">
        <f>SUM(OSRRefT22_10x_0)</f>
        <v>850</v>
      </c>
      <c r="U62" s="1"/>
      <c r="V62" s="5">
        <f t="shared" ref="V62:V66" si="41">IF(T$12=0,0,T62/T$12)</f>
        <v>1.5274528196779051E-3</v>
      </c>
      <c r="W62" s="1"/>
      <c r="X62" s="1">
        <f t="shared" ref="X62:X66" si="42">+P62-T62</f>
        <v>-850</v>
      </c>
      <c r="Y62" s="1"/>
      <c r="Z62" s="5">
        <f t="shared" ref="Z62:Z66" si="43">IF(T62=0,0,X62/T62)</f>
        <v>-1</v>
      </c>
    </row>
    <row r="63" spans="1:26" s="24" customFormat="1" hidden="1" outlineLevel="2" x14ac:dyDescent="0.25">
      <c r="A63" s="25"/>
      <c r="B63" s="11" t="str">
        <f>CONCATENATE("          ", "6258", " - ", "MEMBERSHIP DUES")</f>
        <v xml:space="preserve">          6258 - MEMBERSHIP DUES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/>
      <c r="Q63" s="2"/>
      <c r="R63" s="6">
        <f t="shared" si="40"/>
        <v>0</v>
      </c>
      <c r="S63" s="2"/>
      <c r="T63" s="7">
        <v>850</v>
      </c>
      <c r="U63" s="2"/>
      <c r="V63" s="6">
        <f t="shared" si="41"/>
        <v>1.5274528196779051E-3</v>
      </c>
      <c r="W63" s="2"/>
      <c r="X63" s="7">
        <f t="shared" si="42"/>
        <v>-850</v>
      </c>
      <c r="Y63" s="2"/>
      <c r="Z63" s="6">
        <f t="shared" si="43"/>
        <v>-1</v>
      </c>
    </row>
    <row r="64" spans="1:26" s="27" customFormat="1" outlineLevel="1" collapsed="1" x14ac:dyDescent="0.25">
      <c r="A64" s="26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SUM(OSRRefD22_11x_0)</f>
        <v>4277.7</v>
      </c>
      <c r="E64" s="1"/>
      <c r="F64" s="5">
        <f t="shared" si="36"/>
        <v>0.10793278328665505</v>
      </c>
      <c r="G64" s="1"/>
      <c r="H64" s="1">
        <f>SUM(OSRRefH22_11x_0)</f>
        <v>7000</v>
      </c>
      <c r="I64" s="1"/>
      <c r="J64" s="5">
        <f t="shared" si="37"/>
        <v>0.20780146054740842</v>
      </c>
      <c r="K64" s="1"/>
      <c r="L64" s="1">
        <f t="shared" si="38"/>
        <v>-2722.3</v>
      </c>
      <c r="M64" s="1"/>
      <c r="N64" s="5">
        <f t="shared" si="39"/>
        <v>-0.38890000000000002</v>
      </c>
      <c r="O64" s="13"/>
      <c r="P64" s="1">
        <f>SUM(OSRRefP22_11x_0)</f>
        <v>48839.59</v>
      </c>
      <c r="Q64" s="1"/>
      <c r="R64" s="5">
        <f t="shared" si="40"/>
        <v>9.4433317993913204E-2</v>
      </c>
      <c r="S64" s="1"/>
      <c r="T64" s="1">
        <f>SUM(OSRRefT22_11x_0)</f>
        <v>77000</v>
      </c>
      <c r="U64" s="1"/>
      <c r="V64" s="5">
        <f t="shared" si="41"/>
        <v>0.13836925542964551</v>
      </c>
      <c r="W64" s="1"/>
      <c r="X64" s="1">
        <f t="shared" si="42"/>
        <v>-28160.410000000003</v>
      </c>
      <c r="Y64" s="1"/>
      <c r="Z64" s="5">
        <f t="shared" si="43"/>
        <v>-0.36571961038961043</v>
      </c>
    </row>
    <row r="65" spans="1:26" s="24" customFormat="1" hidden="1" outlineLevel="2" x14ac:dyDescent="0.25">
      <c r="A65" s="25"/>
      <c r="B65" s="11" t="str">
        <f>CONCATENATE("          ", "6234", " - ", "EXPENDABLE SUPPLIES &amp; EQUIPMEN")</f>
        <v xml:space="preserve">          6234 - EXPENDABLE SUPPLIES &amp; EQUIPMEN</v>
      </c>
      <c r="C65" s="11"/>
      <c r="D65" s="7"/>
      <c r="E65" s="2"/>
      <c r="F65" s="6">
        <f t="shared" si="36"/>
        <v>0</v>
      </c>
      <c r="G65" s="2"/>
      <c r="H65" s="7">
        <v>7000</v>
      </c>
      <c r="I65" s="2"/>
      <c r="J65" s="6">
        <f t="shared" si="37"/>
        <v>0.20780146054740842</v>
      </c>
      <c r="K65" s="2"/>
      <c r="L65" s="7">
        <f t="shared" si="38"/>
        <v>-7000</v>
      </c>
      <c r="M65" s="2"/>
      <c r="N65" s="6">
        <f t="shared" si="39"/>
        <v>-1</v>
      </c>
      <c r="O65" s="11"/>
      <c r="P65" s="7"/>
      <c r="Q65" s="2"/>
      <c r="R65" s="6">
        <f t="shared" si="40"/>
        <v>0</v>
      </c>
      <c r="S65" s="2"/>
      <c r="T65" s="7">
        <v>77000</v>
      </c>
      <c r="U65" s="2"/>
      <c r="V65" s="6">
        <f t="shared" si="41"/>
        <v>0.13836925542964551</v>
      </c>
      <c r="W65" s="2"/>
      <c r="X65" s="7">
        <f t="shared" si="42"/>
        <v>-77000</v>
      </c>
      <c r="Y65" s="2"/>
      <c r="Z65" s="6">
        <f t="shared" si="43"/>
        <v>-1</v>
      </c>
    </row>
    <row r="66" spans="1:26" s="24" customFormat="1" hidden="1" outlineLevel="2" x14ac:dyDescent="0.25">
      <c r="A66" s="25"/>
      <c r="B66" s="11" t="str">
        <f>CONCATENATE("          ", "6241", " - ", "OFFICE EXPENSE")</f>
        <v xml:space="preserve">          6241 - OFFICE EXPENSE</v>
      </c>
      <c r="C66" s="11"/>
      <c r="D66" s="7">
        <v>4277.7</v>
      </c>
      <c r="E66" s="2"/>
      <c r="F66" s="6">
        <f t="shared" si="36"/>
        <v>0.10793278328665505</v>
      </c>
      <c r="G66" s="2"/>
      <c r="H66" s="7"/>
      <c r="I66" s="2"/>
      <c r="J66" s="6">
        <f t="shared" si="37"/>
        <v>0</v>
      </c>
      <c r="K66" s="2"/>
      <c r="L66" s="7">
        <f t="shared" si="38"/>
        <v>4277.7</v>
      </c>
      <c r="M66" s="2"/>
      <c r="N66" s="6">
        <f t="shared" si="39"/>
        <v>0</v>
      </c>
      <c r="O66" s="11"/>
      <c r="P66" s="7">
        <v>48839.59</v>
      </c>
      <c r="Q66" s="2"/>
      <c r="R66" s="6">
        <f t="shared" si="40"/>
        <v>9.4433317993913204E-2</v>
      </c>
      <c r="S66" s="2"/>
      <c r="T66" s="7"/>
      <c r="U66" s="2"/>
      <c r="V66" s="6">
        <f t="shared" si="41"/>
        <v>0</v>
      </c>
      <c r="W66" s="2"/>
      <c r="X66" s="7">
        <f t="shared" si="42"/>
        <v>48839.59</v>
      </c>
      <c r="Y66" s="2"/>
      <c r="Z66" s="6">
        <f t="shared" si="43"/>
        <v>0</v>
      </c>
    </row>
    <row r="67" spans="1:26" s="27" customFormat="1" outlineLevel="1" collapsed="1" x14ac:dyDescent="0.25">
      <c r="A67" s="26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SUM(OSRRefD22_12x_0)</f>
        <v>87.8</v>
      </c>
      <c r="E67" s="1"/>
      <c r="F67" s="5">
        <f t="shared" ref="F67:F70" si="44">IF(D$12=0,0,D67/D$12)</f>
        <v>2.2153256124946381E-3</v>
      </c>
      <c r="G67" s="1"/>
      <c r="H67" s="1">
        <f>SUM(OSRRefH22_12x_0)</f>
        <v>700</v>
      </c>
      <c r="I67" s="1"/>
      <c r="J67" s="5">
        <f t="shared" ref="J67:J70" si="45">IF(H$12=0,0,H67/H$12)</f>
        <v>2.0780146054740843E-2</v>
      </c>
      <c r="K67" s="1"/>
      <c r="L67" s="1">
        <f t="shared" ref="L67:L70" si="46">+D67-H67</f>
        <v>-612.20000000000005</v>
      </c>
      <c r="M67" s="1"/>
      <c r="N67" s="5">
        <f t="shared" ref="N67:N70" si="47">IF(H67=0,0,L67/H67)</f>
        <v>-0.87457142857142867</v>
      </c>
      <c r="O67" s="13"/>
      <c r="P67" s="1">
        <f>SUM(OSRRefP22_12x_0)</f>
        <v>1886.73</v>
      </c>
      <c r="Q67" s="1"/>
      <c r="R67" s="5">
        <f t="shared" ref="R67:R70" si="48">IF(P$12=0,0,P67/P$12)</f>
        <v>3.6480685865433325E-3</v>
      </c>
      <c r="S67" s="1"/>
      <c r="T67" s="1">
        <f>SUM(OSRRefT22_12x_0)</f>
        <v>7700</v>
      </c>
      <c r="U67" s="1"/>
      <c r="V67" s="5">
        <f t="shared" ref="V67:V70" si="49">IF(T$12=0,0,T67/T$12)</f>
        <v>1.3836925542964552E-2</v>
      </c>
      <c r="W67" s="1"/>
      <c r="X67" s="1">
        <f t="shared" ref="X67:X70" si="50">+P67-T67</f>
        <v>-5813.27</v>
      </c>
      <c r="Y67" s="1"/>
      <c r="Z67" s="5">
        <f t="shared" ref="Z67:Z70" si="51">IF(T67=0,0,X67/T67)</f>
        <v>-0.7549701298701299</v>
      </c>
    </row>
    <row r="68" spans="1:26" s="24" customFormat="1" hidden="1" outlineLevel="2" x14ac:dyDescent="0.25">
      <c r="A68" s="25"/>
      <c r="B68" s="11" t="str">
        <f>CONCATENATE("          ", "6309", " - ", "TELEPHONE")</f>
        <v xml:space="preserve">          6309 - TELEPHONE</v>
      </c>
      <c r="C68" s="11"/>
      <c r="D68" s="7">
        <v>87.8</v>
      </c>
      <c r="E68" s="2"/>
      <c r="F68" s="6">
        <f t="shared" si="44"/>
        <v>2.2153256124946381E-3</v>
      </c>
      <c r="G68" s="2"/>
      <c r="H68" s="7">
        <v>700</v>
      </c>
      <c r="I68" s="2"/>
      <c r="J68" s="6">
        <f t="shared" si="45"/>
        <v>2.0780146054740843E-2</v>
      </c>
      <c r="K68" s="2"/>
      <c r="L68" s="7">
        <f t="shared" si="46"/>
        <v>-612.20000000000005</v>
      </c>
      <c r="M68" s="2"/>
      <c r="N68" s="6">
        <f t="shared" si="47"/>
        <v>-0.87457142857142867</v>
      </c>
      <c r="O68" s="11"/>
      <c r="P68" s="7">
        <v>1886.73</v>
      </c>
      <c r="Q68" s="2"/>
      <c r="R68" s="6">
        <f t="shared" si="48"/>
        <v>3.6480685865433325E-3</v>
      </c>
      <c r="S68" s="2"/>
      <c r="T68" s="7">
        <v>7700</v>
      </c>
      <c r="U68" s="2"/>
      <c r="V68" s="6">
        <f t="shared" si="49"/>
        <v>1.3836925542964552E-2</v>
      </c>
      <c r="W68" s="2"/>
      <c r="X68" s="7">
        <f t="shared" si="50"/>
        <v>-5813.27</v>
      </c>
      <c r="Y68" s="2"/>
      <c r="Z68" s="6">
        <f t="shared" si="51"/>
        <v>-0.7549701298701299</v>
      </c>
    </row>
    <row r="69" spans="1:26" s="27" customFormat="1" outlineLevel="1" collapsed="1" x14ac:dyDescent="0.25">
      <c r="A69" s="26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SUM(OSRRefD22_13x_0)</f>
        <v>0</v>
      </c>
      <c r="E69" s="1"/>
      <c r="F69" s="5">
        <f t="shared" si="44"/>
        <v>0</v>
      </c>
      <c r="G69" s="1"/>
      <c r="H69" s="1">
        <f>SUM(OSRRefH22_13x_0)</f>
        <v>0</v>
      </c>
      <c r="I69" s="1"/>
      <c r="J69" s="5">
        <f t="shared" si="45"/>
        <v>0</v>
      </c>
      <c r="K69" s="1"/>
      <c r="L69" s="1">
        <f t="shared" si="46"/>
        <v>0</v>
      </c>
      <c r="M69" s="1"/>
      <c r="N69" s="5">
        <f t="shared" si="47"/>
        <v>0</v>
      </c>
      <c r="O69" s="13"/>
      <c r="P69" s="1">
        <f>SUM(OSRRefP22_13x_0)</f>
        <v>0</v>
      </c>
      <c r="Q69" s="1"/>
      <c r="R69" s="5">
        <f t="shared" si="48"/>
        <v>0</v>
      </c>
      <c r="S69" s="1"/>
      <c r="T69" s="1">
        <f>SUM(OSRRefT22_13x_0)</f>
        <v>4500</v>
      </c>
      <c r="U69" s="1"/>
      <c r="V69" s="5">
        <f t="shared" si="49"/>
        <v>8.0865149277065569E-3</v>
      </c>
      <c r="W69" s="1"/>
      <c r="X69" s="1">
        <f t="shared" si="50"/>
        <v>-4500</v>
      </c>
      <c r="Y69" s="1"/>
      <c r="Z69" s="5">
        <f t="shared" si="51"/>
        <v>-1</v>
      </c>
    </row>
    <row r="70" spans="1:26" s="24" customFormat="1" hidden="1" outlineLevel="2" x14ac:dyDescent="0.25">
      <c r="A70" s="25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4"/>
        <v>0</v>
      </c>
      <c r="G70" s="2"/>
      <c r="H70" s="7"/>
      <c r="I70" s="2"/>
      <c r="J70" s="6">
        <f t="shared" si="45"/>
        <v>0</v>
      </c>
      <c r="K70" s="2"/>
      <c r="L70" s="7">
        <f t="shared" si="46"/>
        <v>0</v>
      </c>
      <c r="M70" s="2"/>
      <c r="N70" s="6">
        <f t="shared" si="47"/>
        <v>0</v>
      </c>
      <c r="O70" s="11"/>
      <c r="P70" s="7"/>
      <c r="Q70" s="2"/>
      <c r="R70" s="6">
        <f t="shared" si="48"/>
        <v>0</v>
      </c>
      <c r="S70" s="2"/>
      <c r="T70" s="7">
        <v>4500</v>
      </c>
      <c r="U70" s="2"/>
      <c r="V70" s="6">
        <f t="shared" si="49"/>
        <v>8.0865149277065569E-3</v>
      </c>
      <c r="W70" s="2"/>
      <c r="X70" s="7">
        <f t="shared" si="50"/>
        <v>-4500</v>
      </c>
      <c r="Y70" s="2"/>
      <c r="Z70" s="6">
        <f t="shared" si="51"/>
        <v>-1</v>
      </c>
    </row>
    <row r="71" spans="1:26" s="56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9" t="s">
        <v>293</v>
      </c>
      <c r="C72" s="10"/>
      <c r="D72" s="4">
        <f>SUM(OSRRefD25x_0)</f>
        <v>338.23</v>
      </c>
      <c r="E72" s="4"/>
      <c r="F72" s="12">
        <f t="shared" ref="F72:F73" si="52">IF(D$12=0,0,D72/D$12)</f>
        <v>8.5340499079050291E-3</v>
      </c>
      <c r="G72" s="4"/>
      <c r="H72" s="4">
        <f>SUM(OSRRefH25x_0)</f>
        <v>3000</v>
      </c>
      <c r="I72" s="4"/>
      <c r="J72" s="12">
        <f t="shared" ref="J72:J73" si="53">IF(H$12=0,0,H72/H$12)</f>
        <v>8.9057768806032181E-2</v>
      </c>
      <c r="K72" s="4"/>
      <c r="L72" s="4">
        <f t="shared" ref="L72:L73" si="54">+D72-H72</f>
        <v>-2661.77</v>
      </c>
      <c r="M72" s="4"/>
      <c r="N72" s="12">
        <f t="shared" ref="N72:N73" si="55">IF(H72=0,0,L72/H72)</f>
        <v>-0.88725666666666669</v>
      </c>
      <c r="O72" s="10"/>
      <c r="P72" s="4">
        <f>SUM(OSRRefP25x_0)</f>
        <v>2498.35</v>
      </c>
      <c r="Q72" s="4"/>
      <c r="R72" s="12">
        <f t="shared" ref="R72:R73" si="56">IF(P$12=0,0,P72/P$12)</f>
        <v>4.8306605360547272E-3</v>
      </c>
      <c r="S72" s="4"/>
      <c r="T72" s="4">
        <f>SUM(OSRRefT25x_0)</f>
        <v>33150</v>
      </c>
      <c r="U72" s="4"/>
      <c r="V72" s="12">
        <f t="shared" ref="V72:V73" si="57">IF(T$12=0,0,T72/T$12)</f>
        <v>5.9570659967438301E-2</v>
      </c>
      <c r="W72" s="4"/>
      <c r="X72" s="4">
        <f t="shared" ref="X72:X73" si="58">+P72-T72</f>
        <v>-30651.65</v>
      </c>
      <c r="Y72" s="4"/>
      <c r="Z72" s="12">
        <f t="shared" ref="Z72:Z73" si="59">IF(T72=0,0,X72/T72)</f>
        <v>-0.92463499245852188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--338.23</f>
        <v>338.23</v>
      </c>
      <c r="E73" s="2"/>
      <c r="F73" s="19">
        <f t="shared" si="52"/>
        <v>8.5340499079050291E-3</v>
      </c>
      <c r="G73" s="2"/>
      <c r="H73" s="2">
        <v>3000</v>
      </c>
      <c r="I73" s="2"/>
      <c r="J73" s="19">
        <f t="shared" si="53"/>
        <v>8.9057768806032181E-2</v>
      </c>
      <c r="K73" s="2"/>
      <c r="L73" s="2">
        <f t="shared" si="54"/>
        <v>-2661.77</v>
      </c>
      <c r="M73" s="2"/>
      <c r="N73" s="19">
        <f t="shared" si="55"/>
        <v>-0.88725666666666669</v>
      </c>
      <c r="O73" s="11"/>
      <c r="P73" s="2">
        <f>--2498.35</f>
        <v>2498.35</v>
      </c>
      <c r="Q73" s="2"/>
      <c r="R73" s="19">
        <f t="shared" si="56"/>
        <v>4.8306605360547272E-3</v>
      </c>
      <c r="S73" s="2"/>
      <c r="T73" s="2">
        <v>33150</v>
      </c>
      <c r="U73" s="2"/>
      <c r="V73" s="19">
        <f t="shared" si="57"/>
        <v>5.9570659967438301E-2</v>
      </c>
      <c r="W73" s="2"/>
      <c r="X73" s="2">
        <f t="shared" si="58"/>
        <v>-30651.65</v>
      </c>
      <c r="Y73" s="2"/>
      <c r="Z73" s="19">
        <f t="shared" si="59"/>
        <v>-0.92463499245852188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8" t="s">
        <v>277</v>
      </c>
      <c r="C75" s="28"/>
      <c r="D75" s="20">
        <f>+D17-D19+D72</f>
        <v>8426.4399999999987</v>
      </c>
      <c r="E75" s="14"/>
      <c r="F75" s="21">
        <f>IF(D$12=0,0,D75/D$12)</f>
        <v>0.21261171246183733</v>
      </c>
      <c r="G75" s="14"/>
      <c r="H75" s="20">
        <f>+H17-H19+H72</f>
        <v>4989.7828361846114</v>
      </c>
      <c r="I75" s="14"/>
      <c r="J75" s="21">
        <f>IF(H$12=0,0,H75/H$12)</f>
        <v>0.14812630873907889</v>
      </c>
      <c r="K75" s="15"/>
      <c r="L75" s="20">
        <f>+D75-H75</f>
        <v>3436.6571638153873</v>
      </c>
      <c r="M75" s="15"/>
      <c r="N75" s="21">
        <f>IF(H75=0,0,L75/H75)</f>
        <v>0.68873882424173671</v>
      </c>
      <c r="O75" s="29"/>
      <c r="P75" s="20">
        <f>+P17-P19+P72</f>
        <v>99906.260000000038</v>
      </c>
      <c r="Q75" s="14"/>
      <c r="R75" s="21">
        <f>IF(P$12=0,0,P75/P$12)</f>
        <v>0.19317278503285093</v>
      </c>
      <c r="S75" s="14"/>
      <c r="T75" s="20">
        <f>+T17-T19+T72</f>
        <v>84100.030084265454</v>
      </c>
      <c r="U75" s="14"/>
      <c r="V75" s="21">
        <f>IF(T$12=0,0,T75/T$12)</f>
        <v>0.15112803304377401</v>
      </c>
      <c r="W75" s="15"/>
      <c r="X75" s="20">
        <f>+P75-T75</f>
        <v>15806.229915734584</v>
      </c>
      <c r="Y75" s="15"/>
      <c r="Z75" s="21">
        <f>IF(T75=0,0,X75/T75)</f>
        <v>0.18794559169476233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2"/>
      <c r="B77" s="10" t="s">
        <v>128</v>
      </c>
      <c r="C77" s="10"/>
      <c r="D77" s="4">
        <v>10611.71</v>
      </c>
      <c r="E77" s="4"/>
      <c r="F77" s="12">
        <f>IF(D$12=0,0,D77/D$12)</f>
        <v>0.26774935028890062</v>
      </c>
      <c r="G77" s="4"/>
      <c r="H77" s="4">
        <v>8032</v>
      </c>
      <c r="I77" s="4"/>
      <c r="J77" s="12">
        <f>IF(H$12=0,0,H77/H$12)</f>
        <v>0.23843733301668349</v>
      </c>
      <c r="K77" s="4"/>
      <c r="L77" s="4">
        <f>+D77-H77</f>
        <v>2579.7099999999991</v>
      </c>
      <c r="M77" s="4"/>
      <c r="N77" s="12">
        <f>IF(H77=0,0,L77/H77)</f>
        <v>0.32117903386454172</v>
      </c>
      <c r="O77" s="10"/>
      <c r="P77" s="4">
        <v>110517.74</v>
      </c>
      <c r="Q77" s="4"/>
      <c r="R77" s="12">
        <f>IF(P$12=0,0,P77/P$12)</f>
        <v>0.21369050979724896</v>
      </c>
      <c r="S77" s="4"/>
      <c r="T77" s="4">
        <v>102736</v>
      </c>
      <c r="U77" s="4"/>
      <c r="V77" s="12">
        <f>IF(T$12=0,0,T77/T$12)</f>
        <v>0.18461693280285796</v>
      </c>
      <c r="W77" s="4"/>
      <c r="X77" s="4">
        <f>+P77-T77</f>
        <v>7781.7400000000052</v>
      </c>
      <c r="Y77" s="4"/>
      <c r="Z77" s="12">
        <f>IF(T77=0,0,X77/T77)</f>
        <v>7.5745016352593106E-2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126</v>
      </c>
      <c r="C79" s="28"/>
      <c r="D79" s="35">
        <f>+D75-D77</f>
        <v>-2185.2700000000004</v>
      </c>
      <c r="E79" s="14"/>
      <c r="F79" s="34">
        <f>IF(D$12=0,0,D79/D$12)</f>
        <v>-5.5137637827063317E-2</v>
      </c>
      <c r="G79" s="14"/>
      <c r="H79" s="35">
        <f>+H75-H77</f>
        <v>-3042.2171638153886</v>
      </c>
      <c r="I79" s="14"/>
      <c r="J79" s="34">
        <f>IF(H$12=0,0,H79/H$12)</f>
        <v>-9.0311024277604596E-2</v>
      </c>
      <c r="K79" s="15"/>
      <c r="L79" s="35">
        <f>D79-H79</f>
        <v>856.94716381538819</v>
      </c>
      <c r="M79" s="15"/>
      <c r="N79" s="34">
        <f>IF(H79=0,0,L79/H79)</f>
        <v>-0.28168507298165729</v>
      </c>
      <c r="O79" s="29"/>
      <c r="P79" s="35">
        <f>+P75-P77</f>
        <v>-10611.479999999967</v>
      </c>
      <c r="Q79" s="14"/>
      <c r="R79" s="34">
        <f>IF(P$12=0,0,P79/P$12)</f>
        <v>-2.0517724764398042E-2</v>
      </c>
      <c r="S79" s="14"/>
      <c r="T79" s="35">
        <f>+T75-T77</f>
        <v>-18635.969915734546</v>
      </c>
      <c r="U79" s="14"/>
      <c r="V79" s="34">
        <f>IF(T$12=0,0,T79/T$12)</f>
        <v>-3.3488899759083937E-2</v>
      </c>
      <c r="W79" s="15"/>
      <c r="X79" s="35">
        <f>P79-T79</f>
        <v>8024.489915734579</v>
      </c>
      <c r="Y79" s="15"/>
      <c r="Z79" s="34">
        <f>IF(T79=0,0,X79/T79)</f>
        <v>-0.43059148260157992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294</v>
      </c>
      <c r="C82" s="28"/>
      <c r="D82" s="33">
        <f>SUM(D79:D81)</f>
        <v>-2185.2700000000004</v>
      </c>
      <c r="E82" s="14"/>
      <c r="F82" s="32">
        <f>IF(D$12=0,0,D82/D$12)</f>
        <v>-5.5137637827063317E-2</v>
      </c>
      <c r="G82" s="14"/>
      <c r="H82" s="33">
        <f>SUM(H79:H81)</f>
        <v>-3042.2171638153886</v>
      </c>
      <c r="I82" s="14"/>
      <c r="J82" s="32">
        <f>IF(H$12=0,0,H82/H$12)</f>
        <v>-9.0311024277604596E-2</v>
      </c>
      <c r="K82" s="15"/>
      <c r="L82" s="33">
        <f>+D82-H82</f>
        <v>856.94716381538819</v>
      </c>
      <c r="M82" s="15"/>
      <c r="N82" s="32">
        <f>IF(H82=0,0,L82/H82)</f>
        <v>-0.28168507298165729</v>
      </c>
      <c r="O82" s="29"/>
      <c r="P82" s="33">
        <f>SUM(P79:P81)</f>
        <v>-10611.479999999967</v>
      </c>
      <c r="Q82" s="14"/>
      <c r="R82" s="32">
        <f>IF(P$12=0,0,P82/P$12)</f>
        <v>-2.0517724764398042E-2</v>
      </c>
      <c r="S82" s="14"/>
      <c r="T82" s="33">
        <f>SUM(T79:T81)</f>
        <v>-18635.969915734546</v>
      </c>
      <c r="U82" s="14"/>
      <c r="V82" s="32">
        <f>IF(T$12=0,0,T82/T$12)</f>
        <v>-3.3488899759083937E-2</v>
      </c>
      <c r="W82" s="15"/>
      <c r="X82" s="33">
        <f>+P82-T82</f>
        <v>8024.489915734579</v>
      </c>
      <c r="Y82" s="15"/>
      <c r="Z82" s="32">
        <f>IF(T82=0,0,X82/T82)</f>
        <v>-0.43059148260157992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60">
        <v>44356.891817939817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5" t="s">
        <v>56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63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7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E20" sqref="AE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",RIGHT(202111,2),", ",2021)</f>
        <v>Period 11, 2021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44345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","501", " - ", "ID Card Services")</f>
        <v>Department 501 - ID Card Services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>
        <f>SUM(OSRRefD13x_0)</f>
        <v>39633</v>
      </c>
      <c r="E12" s="4"/>
      <c r="F12" s="12"/>
      <c r="G12" s="4"/>
      <c r="H12" s="4">
        <f>SUM(OSRRefH13x_0)</f>
        <v>33686</v>
      </c>
      <c r="I12" s="4"/>
      <c r="J12" s="12"/>
      <c r="K12" s="4"/>
      <c r="L12" s="4">
        <f t="shared" ref="L12:L13" si="0">+D12-H12</f>
        <v>5947</v>
      </c>
      <c r="M12" s="4"/>
      <c r="N12" s="12">
        <f t="shared" ref="N12:N13" si="1">IF(H12=0,0,L12/H12)</f>
        <v>0.17654218369649113</v>
      </c>
      <c r="O12" s="10"/>
      <c r="P12" s="4">
        <f>SUM(OSRRefP13x_0)</f>
        <v>517186</v>
      </c>
      <c r="Q12" s="4"/>
      <c r="R12" s="12"/>
      <c r="S12" s="4"/>
      <c r="T12" s="4">
        <f>SUM(OSRRefT13x_0)</f>
        <v>556482</v>
      </c>
      <c r="U12" s="4"/>
      <c r="V12" s="12"/>
      <c r="W12" s="4"/>
      <c r="X12" s="4">
        <f t="shared" ref="X12:X13" si="2">+P12-T12</f>
        <v>-39296</v>
      </c>
      <c r="Y12" s="4"/>
      <c r="Z12" s="12">
        <f t="shared" ref="Z12:Z13" si="3">IF(T12=0,0,X12/T12)</f>
        <v>-7.0615042355368182E-2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--39633</f>
        <v>39633</v>
      </c>
      <c r="E13" s="2"/>
      <c r="F13" s="19"/>
      <c r="G13" s="2"/>
      <c r="H13" s="2">
        <v>33686</v>
      </c>
      <c r="I13" s="2"/>
      <c r="J13" s="19"/>
      <c r="K13" s="2"/>
      <c r="L13" s="2">
        <f t="shared" si="0"/>
        <v>5947</v>
      </c>
      <c r="M13" s="2"/>
      <c r="N13" s="19">
        <f t="shared" si="1"/>
        <v>0.17654218369649113</v>
      </c>
      <c r="O13" s="11"/>
      <c r="P13" s="2">
        <f>--517186</f>
        <v>517186</v>
      </c>
      <c r="Q13" s="2"/>
      <c r="R13" s="19"/>
      <c r="S13" s="2"/>
      <c r="T13" s="2">
        <v>556482</v>
      </c>
      <c r="U13" s="2"/>
      <c r="V13" s="19"/>
      <c r="W13" s="2"/>
      <c r="X13" s="2">
        <f t="shared" si="2"/>
        <v>-39296</v>
      </c>
      <c r="Y13" s="2"/>
      <c r="Z13" s="19">
        <f t="shared" si="3"/>
        <v>-7.0615042355368182E-2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108</v>
      </c>
      <c r="C17" s="28"/>
      <c r="D17" s="20">
        <f>D12-D15</f>
        <v>39633</v>
      </c>
      <c r="E17" s="14"/>
      <c r="F17" s="21">
        <f>IF(D$12=0,0,D17/D$12)</f>
        <v>1</v>
      </c>
      <c r="G17" s="14"/>
      <c r="H17" s="20">
        <f>H12-H15</f>
        <v>33686</v>
      </c>
      <c r="I17" s="14"/>
      <c r="J17" s="21">
        <f>IF(H$12=0,0,H17/H$12)</f>
        <v>1</v>
      </c>
      <c r="K17" s="15"/>
      <c r="L17" s="20">
        <f>+D17-H17</f>
        <v>5947</v>
      </c>
      <c r="M17" s="15"/>
      <c r="N17" s="21">
        <f>IF(H17=0,0,L17/H17)</f>
        <v>0.17654218369649113</v>
      </c>
      <c r="O17" s="29"/>
      <c r="P17" s="20">
        <f>P12-P15</f>
        <v>517186</v>
      </c>
      <c r="Q17" s="14"/>
      <c r="R17" s="21">
        <f>IF(P$12=0,0,P17/P$12)</f>
        <v>1</v>
      </c>
      <c r="S17" s="14"/>
      <c r="T17" s="20">
        <f>T12-T15</f>
        <v>556482</v>
      </c>
      <c r="U17" s="14"/>
      <c r="V17" s="21">
        <f>IF(T$12=0,0,T17/T$12)</f>
        <v>1</v>
      </c>
      <c r="W17" s="15"/>
      <c r="X17" s="20">
        <f>+P17-T17</f>
        <v>-39296</v>
      </c>
      <c r="Y17" s="15"/>
      <c r="Z17" s="21">
        <f>IF(T17=0,0,X17/T17)</f>
        <v>-7.0615042355368182E-2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295</v>
      </c>
      <c r="C19" s="10"/>
      <c r="D19" s="22">
        <f>SUM(OSRRefD22x_0)</f>
        <v>31544.79</v>
      </c>
      <c r="E19" s="22"/>
      <c r="F19" s="31">
        <f t="shared" ref="F19:F30" si="4">IF(D$12=0,0,D19/D$12)</f>
        <v>0.79592233744606766</v>
      </c>
      <c r="G19" s="22"/>
      <c r="H19" s="22">
        <f>SUM(OSRRefH22x_0)</f>
        <v>31696.217163815389</v>
      </c>
      <c r="I19" s="22"/>
      <c r="J19" s="31">
        <f t="shared" ref="J19:J30" si="5">IF(H$12=0,0,H19/H$12)</f>
        <v>0.94093146006695327</v>
      </c>
      <c r="K19" s="4"/>
      <c r="L19" s="22">
        <f t="shared" ref="L19:L30" si="6">+D19-H19</f>
        <v>-151.42716381538776</v>
      </c>
      <c r="M19" s="4"/>
      <c r="N19" s="31">
        <f t="shared" ref="N19:N30" si="7">IF(H19=0,0,L19/H19)</f>
        <v>-4.7774522439938986E-3</v>
      </c>
      <c r="O19" s="10"/>
      <c r="P19" s="22">
        <f>SUM(OSRRefP22x_0)</f>
        <v>419778.08999999997</v>
      </c>
      <c r="Q19" s="22"/>
      <c r="R19" s="31">
        <f t="shared" ref="R19:R30" si="8">IF(P$12=0,0,P19/P$12)</f>
        <v>0.81165787550320379</v>
      </c>
      <c r="S19" s="22"/>
      <c r="T19" s="22">
        <f>SUM(OSRRefT22x_0)</f>
        <v>505531.96991573455</v>
      </c>
      <c r="U19" s="22"/>
      <c r="V19" s="31">
        <f t="shared" ref="V19:V30" si="9">IF(T$12=0,0,T19/T$12)</f>
        <v>0.90844262692366429</v>
      </c>
      <c r="W19" s="4"/>
      <c r="X19" s="22">
        <f t="shared" ref="X19:X30" si="10">+P19-T19</f>
        <v>-85753.879915734578</v>
      </c>
      <c r="Y19" s="4"/>
      <c r="Z19" s="31">
        <f t="shared" ref="Z19:Z30" si="11">IF(T19=0,0,X19/T19)</f>
        <v>-0.16963097295316182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3822.8999999999996</v>
      </c>
      <c r="E20" s="1"/>
      <c r="F20" s="5">
        <f t="shared" si="4"/>
        <v>9.6457497539928841E-2</v>
      </c>
      <c r="G20" s="1"/>
      <c r="H20" s="1">
        <f>SUM(OSRRefH22_0x_0)</f>
        <v>3633.3500945846163</v>
      </c>
      <c r="I20" s="1"/>
      <c r="J20" s="5">
        <f t="shared" si="5"/>
        <v>0.10785935090496397</v>
      </c>
      <c r="K20" s="1"/>
      <c r="L20" s="1">
        <f t="shared" si="6"/>
        <v>189.54990541538336</v>
      </c>
      <c r="M20" s="1"/>
      <c r="N20" s="5">
        <f t="shared" si="7"/>
        <v>5.2169458070638719E-2</v>
      </c>
      <c r="O20" s="13"/>
      <c r="P20" s="1">
        <f>SUM(OSRRefP22_0x_0)</f>
        <v>46768.679999999993</v>
      </c>
      <c r="Q20" s="1"/>
      <c r="R20" s="5">
        <f t="shared" si="8"/>
        <v>9.0429129945512818E-2</v>
      </c>
      <c r="S20" s="1"/>
      <c r="T20" s="1">
        <f>SUM(OSRRefT22_0x_0)</f>
        <v>45047.900284965348</v>
      </c>
      <c r="U20" s="1"/>
      <c r="V20" s="5">
        <f t="shared" si="9"/>
        <v>8.095122624804639E-2</v>
      </c>
      <c r="W20" s="1"/>
      <c r="X20" s="1">
        <f t="shared" si="10"/>
        <v>1720.7797150346451</v>
      </c>
      <c r="Y20" s="1"/>
      <c r="Z20" s="5">
        <f t="shared" si="11"/>
        <v>3.8198888386568201E-2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7">
        <v>899.48</v>
      </c>
      <c r="E21" s="2"/>
      <c r="F21" s="6">
        <f t="shared" si="4"/>
        <v>2.2695228723538467E-2</v>
      </c>
      <c r="G21" s="2"/>
      <c r="H21" s="7">
        <v>726.12499943076898</v>
      </c>
      <c r="I21" s="2"/>
      <c r="J21" s="6">
        <f t="shared" si="5"/>
        <v>2.1555690774528558E-2</v>
      </c>
      <c r="K21" s="2"/>
      <c r="L21" s="7">
        <f t="shared" si="6"/>
        <v>173.35500056923104</v>
      </c>
      <c r="M21" s="2"/>
      <c r="N21" s="6">
        <f t="shared" si="7"/>
        <v>0.23873988735428361</v>
      </c>
      <c r="O21" s="11"/>
      <c r="P21" s="7">
        <v>11246.77</v>
      </c>
      <c r="Q21" s="2"/>
      <c r="R21" s="6">
        <f t="shared" si="8"/>
        <v>2.1746083614018943E-2</v>
      </c>
      <c r="S21" s="2"/>
      <c r="T21" s="7">
        <v>10482.499744119201</v>
      </c>
      <c r="U21" s="2"/>
      <c r="V21" s="6">
        <f t="shared" si="9"/>
        <v>1.8837086813444461E-2</v>
      </c>
      <c r="W21" s="2"/>
      <c r="X21" s="7">
        <f t="shared" si="10"/>
        <v>764.2702558807996</v>
      </c>
      <c r="Y21" s="2"/>
      <c r="Z21" s="6">
        <f t="shared" si="11"/>
        <v>7.2909160461421776E-2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7">
        <v>111.42</v>
      </c>
      <c r="E22" s="2"/>
      <c r="F22" s="6">
        <f t="shared" si="4"/>
        <v>2.8112936189539019E-3</v>
      </c>
      <c r="G22" s="2"/>
      <c r="H22" s="7">
        <v>304.77564576923101</v>
      </c>
      <c r="I22" s="2"/>
      <c r="J22" s="6">
        <f t="shared" si="5"/>
        <v>9.0475463328751112E-3</v>
      </c>
      <c r="K22" s="2"/>
      <c r="L22" s="7">
        <f t="shared" si="6"/>
        <v>-193.35564576923099</v>
      </c>
      <c r="M22" s="2"/>
      <c r="N22" s="6">
        <f t="shared" si="7"/>
        <v>-0.63441960817182674</v>
      </c>
      <c r="O22" s="11"/>
      <c r="P22" s="7">
        <v>893.64</v>
      </c>
      <c r="Q22" s="2"/>
      <c r="R22" s="6">
        <f t="shared" si="8"/>
        <v>1.7278889993155267E-3</v>
      </c>
      <c r="S22" s="2"/>
      <c r="T22" s="7">
        <v>3808.9261642307702</v>
      </c>
      <c r="U22" s="2"/>
      <c r="V22" s="6">
        <f t="shared" si="9"/>
        <v>6.8446529523520441E-3</v>
      </c>
      <c r="W22" s="2"/>
      <c r="X22" s="7">
        <f t="shared" si="10"/>
        <v>-2915.2861642307703</v>
      </c>
      <c r="Y22" s="2"/>
      <c r="Z22" s="6">
        <f t="shared" si="11"/>
        <v>-0.7653826927935542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7">
        <v>1207.95</v>
      </c>
      <c r="E23" s="2"/>
      <c r="F23" s="6">
        <f t="shared" si="4"/>
        <v>3.0478389221103627E-2</v>
      </c>
      <c r="G23" s="2"/>
      <c r="H23" s="7">
        <v>1025</v>
      </c>
      <c r="I23" s="2"/>
      <c r="J23" s="6">
        <f t="shared" si="5"/>
        <v>3.0428071008727662E-2</v>
      </c>
      <c r="K23" s="2"/>
      <c r="L23" s="7">
        <f t="shared" si="6"/>
        <v>182.95000000000005</v>
      </c>
      <c r="M23" s="2"/>
      <c r="N23" s="6">
        <f t="shared" si="7"/>
        <v>0.17848780487804883</v>
      </c>
      <c r="O23" s="11"/>
      <c r="P23" s="7">
        <v>13442.75</v>
      </c>
      <c r="Q23" s="2"/>
      <c r="R23" s="6">
        <f t="shared" si="8"/>
        <v>2.5992099554125594E-2</v>
      </c>
      <c r="S23" s="2"/>
      <c r="T23" s="7">
        <v>11607.5</v>
      </c>
      <c r="U23" s="2"/>
      <c r="V23" s="6">
        <f t="shared" si="9"/>
        <v>2.0858716005189747E-2</v>
      </c>
      <c r="W23" s="2"/>
      <c r="X23" s="7">
        <f t="shared" si="10"/>
        <v>1835.25</v>
      </c>
      <c r="Y23" s="2"/>
      <c r="Z23" s="6">
        <f t="shared" si="11"/>
        <v>0.15810898126211501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46.16</v>
      </c>
      <c r="E24" s="2"/>
      <c r="F24" s="6">
        <f t="shared" si="4"/>
        <v>1.1646859939949033E-3</v>
      </c>
      <c r="G24" s="2"/>
      <c r="H24" s="7">
        <v>42.833334000000001</v>
      </c>
      <c r="I24" s="2"/>
      <c r="J24" s="6">
        <f t="shared" si="5"/>
        <v>1.2715470521878526E-3</v>
      </c>
      <c r="K24" s="2"/>
      <c r="L24" s="7">
        <f t="shared" si="6"/>
        <v>3.3266659999999959</v>
      </c>
      <c r="M24" s="2"/>
      <c r="N24" s="6">
        <f t="shared" si="7"/>
        <v>7.7665352876803748E-2</v>
      </c>
      <c r="O24" s="11"/>
      <c r="P24" s="7">
        <v>404.28</v>
      </c>
      <c r="Q24" s="2"/>
      <c r="R24" s="6">
        <f t="shared" si="8"/>
        <v>7.8169169312394371E-4</v>
      </c>
      <c r="S24" s="2"/>
      <c r="T24" s="7">
        <v>535.30854199999999</v>
      </c>
      <c r="U24" s="2"/>
      <c r="V24" s="6">
        <f t="shared" si="9"/>
        <v>9.6195122573596264E-4</v>
      </c>
      <c r="W24" s="2"/>
      <c r="X24" s="7">
        <f t="shared" si="10"/>
        <v>-131.02854200000002</v>
      </c>
      <c r="Y24" s="2"/>
      <c r="Z24" s="6">
        <f t="shared" si="11"/>
        <v>-0.24477199917351594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1.6156990386798881E-2</v>
      </c>
      <c r="G25" s="2"/>
      <c r="H25" s="7">
        <v>560.123953846154</v>
      </c>
      <c r="I25" s="2"/>
      <c r="J25" s="6">
        <f t="shared" si="5"/>
        <v>1.6627796528117141E-2</v>
      </c>
      <c r="K25" s="2"/>
      <c r="L25" s="7">
        <f t="shared" si="6"/>
        <v>80.226046153846028</v>
      </c>
      <c r="M25" s="2"/>
      <c r="N25" s="6">
        <f t="shared" si="7"/>
        <v>0.1432290934943326</v>
      </c>
      <c r="O25" s="11"/>
      <c r="P25" s="7">
        <v>8341.6299999999992</v>
      </c>
      <c r="Q25" s="2"/>
      <c r="R25" s="6">
        <f t="shared" si="8"/>
        <v>1.6128878198559123E-2</v>
      </c>
      <c r="S25" s="2"/>
      <c r="T25" s="7">
        <v>6966.83469615384</v>
      </c>
      <c r="U25" s="2"/>
      <c r="V25" s="6">
        <f t="shared" si="9"/>
        <v>1.2519425059847111E-2</v>
      </c>
      <c r="W25" s="2"/>
      <c r="X25" s="7">
        <f t="shared" si="10"/>
        <v>1374.7953038461592</v>
      </c>
      <c r="Y25" s="2"/>
      <c r="Z25" s="6">
        <f t="shared" si="11"/>
        <v>0.19733427931125427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5"/>
      <c r="B27" s="11" t="str">
        <f>CONCATENATE("          ", "6117", " - ", "RETIREMENT STAFF HOURLY")</f>
        <v xml:space="preserve">          6117 - RETIREMENT STAFF HOURLY</v>
      </c>
      <c r="C27" s="11"/>
      <c r="D27" s="7">
        <v>98.26</v>
      </c>
      <c r="E27" s="2"/>
      <c r="F27" s="6">
        <f t="shared" si="4"/>
        <v>2.4792470920697398E-3</v>
      </c>
      <c r="G27" s="2"/>
      <c r="H27" s="7"/>
      <c r="I27" s="2"/>
      <c r="J27" s="6">
        <f t="shared" si="5"/>
        <v>0</v>
      </c>
      <c r="K27" s="2"/>
      <c r="L27" s="7">
        <f t="shared" si="6"/>
        <v>98.26</v>
      </c>
      <c r="M27" s="2"/>
      <c r="N27" s="6">
        <f t="shared" si="7"/>
        <v>0</v>
      </c>
      <c r="O27" s="11"/>
      <c r="P27" s="7">
        <v>987.71</v>
      </c>
      <c r="Q27" s="2"/>
      <c r="R27" s="6">
        <f t="shared" si="8"/>
        <v>1.9097771401391376E-3</v>
      </c>
      <c r="S27" s="2"/>
      <c r="T27" s="7"/>
      <c r="U27" s="2"/>
      <c r="V27" s="6">
        <f t="shared" si="9"/>
        <v>0</v>
      </c>
      <c r="W27" s="2"/>
      <c r="X27" s="7">
        <f t="shared" si="10"/>
        <v>987.71</v>
      </c>
      <c r="Y27" s="2"/>
      <c r="Z27" s="6">
        <f t="shared" si="11"/>
        <v>0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7">
        <v>520.02</v>
      </c>
      <c r="E28" s="2"/>
      <c r="F28" s="6">
        <f t="shared" si="4"/>
        <v>1.3120884111725076E-2</v>
      </c>
      <c r="G28" s="2"/>
      <c r="H28" s="7">
        <v>195.39207692307701</v>
      </c>
      <c r="I28" s="2"/>
      <c r="J28" s="6">
        <f t="shared" si="5"/>
        <v>5.8003941377152831E-3</v>
      </c>
      <c r="K28" s="2"/>
      <c r="L28" s="7">
        <f t="shared" si="6"/>
        <v>324.62792307692297</v>
      </c>
      <c r="M28" s="2"/>
      <c r="N28" s="6">
        <f t="shared" si="7"/>
        <v>1.6614180482083938</v>
      </c>
      <c r="O28" s="11"/>
      <c r="P28" s="7">
        <v>6240.24</v>
      </c>
      <c r="Q28" s="2"/>
      <c r="R28" s="6">
        <f t="shared" si="8"/>
        <v>1.2065755840258629E-2</v>
      </c>
      <c r="S28" s="2"/>
      <c r="T28" s="7">
        <v>2430.2911730769201</v>
      </c>
      <c r="U28" s="2"/>
      <c r="V28" s="6">
        <f t="shared" si="9"/>
        <v>4.3672412999466656E-3</v>
      </c>
      <c r="W28" s="2"/>
      <c r="X28" s="7">
        <f t="shared" si="10"/>
        <v>3809.9488269230797</v>
      </c>
      <c r="Y28" s="2"/>
      <c r="Z28" s="6">
        <f t="shared" si="11"/>
        <v>1.5676923280346755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7">
        <v>299.26</v>
      </c>
      <c r="E29" s="2"/>
      <c r="F29" s="6">
        <f t="shared" si="4"/>
        <v>7.5507783917442535E-3</v>
      </c>
      <c r="G29" s="2"/>
      <c r="H29" s="7">
        <v>429.10008461538501</v>
      </c>
      <c r="I29" s="2"/>
      <c r="J29" s="6">
        <f t="shared" si="5"/>
        <v>1.2738232043441934E-2</v>
      </c>
      <c r="K29" s="2"/>
      <c r="L29" s="7">
        <f t="shared" si="6"/>
        <v>-129.84008461538502</v>
      </c>
      <c r="M29" s="2"/>
      <c r="N29" s="6">
        <f t="shared" si="7"/>
        <v>-0.30258694712625028</v>
      </c>
      <c r="O29" s="11"/>
      <c r="P29" s="7">
        <v>3591.13</v>
      </c>
      <c r="Q29" s="2"/>
      <c r="R29" s="6">
        <f t="shared" si="8"/>
        <v>6.9435947608790646E-3</v>
      </c>
      <c r="S29" s="2"/>
      <c r="T29" s="7">
        <v>5366.5399653846198</v>
      </c>
      <c r="U29" s="2"/>
      <c r="V29" s="6">
        <f t="shared" si="9"/>
        <v>9.6436901200481241E-3</v>
      </c>
      <c r="W29" s="2"/>
      <c r="X29" s="7">
        <f t="shared" si="10"/>
        <v>-1775.4099653846197</v>
      </c>
      <c r="Y29" s="2"/>
      <c r="Z29" s="6">
        <f t="shared" si="11"/>
        <v>-0.33082954321339447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4"/>
        <v>0</v>
      </c>
      <c r="G30" s="2"/>
      <c r="H30" s="7">
        <v>350</v>
      </c>
      <c r="I30" s="2"/>
      <c r="J30" s="6">
        <f t="shared" si="5"/>
        <v>1.0390073027370422E-2</v>
      </c>
      <c r="K30" s="2"/>
      <c r="L30" s="7">
        <f t="shared" si="6"/>
        <v>-350</v>
      </c>
      <c r="M30" s="2"/>
      <c r="N30" s="6">
        <f t="shared" si="7"/>
        <v>-1</v>
      </c>
      <c r="O30" s="11"/>
      <c r="P30" s="7">
        <v>1620.53</v>
      </c>
      <c r="Q30" s="2"/>
      <c r="R30" s="6">
        <f t="shared" si="8"/>
        <v>3.1333601450928678E-3</v>
      </c>
      <c r="S30" s="2"/>
      <c r="T30" s="7">
        <v>3850</v>
      </c>
      <c r="U30" s="2"/>
      <c r="V30" s="6">
        <f t="shared" si="9"/>
        <v>6.9184627714822759E-3</v>
      </c>
      <c r="W30" s="2"/>
      <c r="X30" s="7">
        <f t="shared" si="10"/>
        <v>-2229.4700000000003</v>
      </c>
      <c r="Y30" s="2"/>
      <c r="Z30" s="6">
        <f t="shared" si="11"/>
        <v>-0.57908311688311698</v>
      </c>
    </row>
    <row r="31" spans="1:26" s="27" customFormat="1" outlineLevel="1" collapsed="1" x14ac:dyDescent="0.25">
      <c r="A31" s="26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11834.07</v>
      </c>
      <c r="E31" s="1"/>
      <c r="F31" s="5">
        <f t="shared" ref="F31:F41" si="12">IF(D$12=0,0,D31/D$12)</f>
        <v>0.29859132541064265</v>
      </c>
      <c r="G31" s="1"/>
      <c r="H31" s="1">
        <f>SUM(OSRRefH22_1x_0)</f>
        <v>15849.86706923077</v>
      </c>
      <c r="I31" s="1"/>
      <c r="J31" s="5">
        <f t="shared" ref="J31:J41" si="13">IF(H$12=0,0,H31/H$12)</f>
        <v>0.47051793235263223</v>
      </c>
      <c r="K31" s="1"/>
      <c r="L31" s="1">
        <f t="shared" ref="L31:L41" si="14">+D31-H31</f>
        <v>-4015.7970692307699</v>
      </c>
      <c r="M31" s="1"/>
      <c r="N31" s="5">
        <f t="shared" ref="N31:N41" si="15">IF(H31=0,0,L31/H31)</f>
        <v>-0.2533647160376889</v>
      </c>
      <c r="O31" s="13"/>
      <c r="P31" s="1">
        <f>SUM(OSRRefP22_1x_0)</f>
        <v>152168.48000000001</v>
      </c>
      <c r="Q31" s="1"/>
      <c r="R31" s="5">
        <f t="shared" ref="R31:R41" si="16">IF(P$12=0,0,P31/P$12)</f>
        <v>0.2942238962384906</v>
      </c>
      <c r="S31" s="1"/>
      <c r="T31" s="1">
        <f>SUM(OSRRefT22_1x_0)</f>
        <v>198091.0696307692</v>
      </c>
      <c r="U31" s="1"/>
      <c r="V31" s="5">
        <f t="shared" ref="V31:V41" si="17">IF(T$12=0,0,T31/T$12)</f>
        <v>0.35597030924768314</v>
      </c>
      <c r="W31" s="1"/>
      <c r="X31" s="1">
        <f t="shared" ref="X31:X41" si="18">+P31-T31</f>
        <v>-45922.589630769187</v>
      </c>
      <c r="Y31" s="1"/>
      <c r="Z31" s="5">
        <f t="shared" ref="Z31:Z41" si="19">IF(T31=0,0,X31/T31)</f>
        <v>-0.23182564320727006</v>
      </c>
    </row>
    <row r="32" spans="1:26" s="24" customFormat="1" hidden="1" outlineLevel="2" x14ac:dyDescent="0.25">
      <c r="A32" s="25"/>
      <c r="B32" s="11" t="str">
        <f>CONCATENATE("          ", "6001", " - ", "ADMINISTRATIVE SALARIES")</f>
        <v xml:space="preserve">          6001 - ADMINISTRATIVE SALARIES</v>
      </c>
      <c r="C32" s="11"/>
      <c r="D32" s="7">
        <v>4205.72</v>
      </c>
      <c r="E32" s="2"/>
      <c r="F32" s="6">
        <f t="shared" si="12"/>
        <v>0.10611661998839352</v>
      </c>
      <c r="G32" s="2"/>
      <c r="H32" s="7">
        <v>4019.23076923077</v>
      </c>
      <c r="I32" s="2"/>
      <c r="J32" s="6">
        <f t="shared" si="13"/>
        <v>0.11931457487474827</v>
      </c>
      <c r="K32" s="2"/>
      <c r="L32" s="7">
        <f t="shared" si="14"/>
        <v>186.48923076923029</v>
      </c>
      <c r="M32" s="2"/>
      <c r="N32" s="6">
        <f t="shared" si="15"/>
        <v>4.6399234449760636E-2</v>
      </c>
      <c r="O32" s="11"/>
      <c r="P32" s="7">
        <v>47945.16</v>
      </c>
      <c r="Q32" s="2"/>
      <c r="R32" s="6">
        <f t="shared" si="16"/>
        <v>9.2703901497720356E-2</v>
      </c>
      <c r="S32" s="2"/>
      <c r="T32" s="7">
        <v>48230.769230769198</v>
      </c>
      <c r="U32" s="2"/>
      <c r="V32" s="6">
        <f t="shared" si="17"/>
        <v>8.6670852302085599E-2</v>
      </c>
      <c r="W32" s="2"/>
      <c r="X32" s="7">
        <f t="shared" si="18"/>
        <v>-285.60923076919426</v>
      </c>
      <c r="Y32" s="2"/>
      <c r="Z32" s="6">
        <f t="shared" si="19"/>
        <v>-5.9217224880375244E-3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7">
        <v>2282.3000000000002</v>
      </c>
      <c r="E33" s="2"/>
      <c r="F33" s="6">
        <f t="shared" si="12"/>
        <v>5.7585850175358923E-2</v>
      </c>
      <c r="G33" s="2"/>
      <c r="H33" s="7">
        <v>2168.1849999999999</v>
      </c>
      <c r="I33" s="2"/>
      <c r="J33" s="6">
        <f t="shared" si="13"/>
        <v>6.4364572819568963E-2</v>
      </c>
      <c r="K33" s="2"/>
      <c r="L33" s="7">
        <f t="shared" si="14"/>
        <v>114.11500000000024</v>
      </c>
      <c r="M33" s="2"/>
      <c r="N33" s="6">
        <f t="shared" si="15"/>
        <v>5.2631578947368529E-2</v>
      </c>
      <c r="O33" s="11"/>
      <c r="P33" s="7">
        <v>25789.98</v>
      </c>
      <c r="Q33" s="2"/>
      <c r="R33" s="6">
        <f t="shared" si="16"/>
        <v>4.9865966982864968E-2</v>
      </c>
      <c r="S33" s="2"/>
      <c r="T33" s="7">
        <v>28728.451249999998</v>
      </c>
      <c r="U33" s="2"/>
      <c r="V33" s="6">
        <f t="shared" si="17"/>
        <v>5.1625122196225573E-2</v>
      </c>
      <c r="W33" s="2"/>
      <c r="X33" s="7">
        <f t="shared" si="18"/>
        <v>-2938.4712499999987</v>
      </c>
      <c r="Y33" s="2"/>
      <c r="Z33" s="6">
        <f t="shared" si="19"/>
        <v>-0.10228436000356959</v>
      </c>
    </row>
    <row r="34" spans="1:26" s="24" customFormat="1" hidden="1" outlineLevel="2" x14ac:dyDescent="0.25">
      <c r="A34" s="25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5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12"/>
        <v>0</v>
      </c>
      <c r="G35" s="2"/>
      <c r="H35" s="7">
        <v>2885.7887999999998</v>
      </c>
      <c r="I35" s="2"/>
      <c r="J35" s="6">
        <f t="shared" si="13"/>
        <v>8.5667303924479007E-2</v>
      </c>
      <c r="K35" s="2"/>
      <c r="L35" s="7">
        <f t="shared" si="14"/>
        <v>-2885.7887999999998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33331.838400000001</v>
      </c>
      <c r="U35" s="2"/>
      <c r="V35" s="6">
        <f t="shared" si="17"/>
        <v>5.9897424175445031E-2</v>
      </c>
      <c r="W35" s="2"/>
      <c r="X35" s="7">
        <f t="shared" si="18"/>
        <v>-33331.838400000001</v>
      </c>
      <c r="Y35" s="2"/>
      <c r="Z35" s="6">
        <f t="shared" si="19"/>
        <v>-1</v>
      </c>
    </row>
    <row r="36" spans="1:26" s="24" customFormat="1" hidden="1" outlineLevel="2" x14ac:dyDescent="0.25">
      <c r="A36" s="25"/>
      <c r="B36" s="11" t="str">
        <f>CONCATENATE("          ", "6005", " - ", "TEMPORARY WAGES-HOURLY")</f>
        <v xml:space="preserve">          6005 - TEMPORARY WAGES-HOURLY</v>
      </c>
      <c r="C36" s="11"/>
      <c r="D36" s="7">
        <v>5346.05</v>
      </c>
      <c r="E36" s="2"/>
      <c r="F36" s="6">
        <f t="shared" si="12"/>
        <v>0.13488885524689023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5346.05</v>
      </c>
      <c r="M36" s="2"/>
      <c r="N36" s="6">
        <f t="shared" si="15"/>
        <v>0</v>
      </c>
      <c r="O36" s="11"/>
      <c r="P36" s="7">
        <v>70243.679999999993</v>
      </c>
      <c r="Q36" s="2"/>
      <c r="R36" s="6">
        <f t="shared" si="16"/>
        <v>0.13581898968649575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70243.679999999993</v>
      </c>
      <c r="Y36" s="2"/>
      <c r="Z36" s="6">
        <f t="shared" si="19"/>
        <v>0</v>
      </c>
    </row>
    <row r="37" spans="1:26" s="24" customFormat="1" hidden="1" outlineLevel="2" x14ac:dyDescent="0.25">
      <c r="A37" s="25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5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>
        <v>4277.78</v>
      </c>
      <c r="Q38" s="2"/>
      <c r="R38" s="6">
        <f t="shared" si="16"/>
        <v>8.2712602429300085E-3</v>
      </c>
      <c r="S38" s="2"/>
      <c r="T38" s="7">
        <v>20952</v>
      </c>
      <c r="U38" s="2"/>
      <c r="V38" s="6">
        <f t="shared" si="17"/>
        <v>3.7650813503401728E-2</v>
      </c>
      <c r="W38" s="2"/>
      <c r="X38" s="7">
        <f t="shared" si="18"/>
        <v>-16674.22</v>
      </c>
      <c r="Y38" s="2"/>
      <c r="Z38" s="6">
        <f t="shared" si="19"/>
        <v>-0.79582951508209243</v>
      </c>
    </row>
    <row r="39" spans="1:26" s="24" customFormat="1" hidden="1" outlineLevel="2" x14ac:dyDescent="0.25">
      <c r="A39" s="25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12"/>
        <v>0</v>
      </c>
      <c r="G39" s="2"/>
      <c r="H39" s="7">
        <v>6776.6625000000004</v>
      </c>
      <c r="I39" s="2"/>
      <c r="J39" s="6">
        <f t="shared" si="13"/>
        <v>0.20117148073383603</v>
      </c>
      <c r="K39" s="2"/>
      <c r="L39" s="7">
        <f t="shared" si="14"/>
        <v>-6776.6625000000004</v>
      </c>
      <c r="M39" s="2"/>
      <c r="N39" s="6">
        <f t="shared" si="15"/>
        <v>-1</v>
      </c>
      <c r="O39" s="11"/>
      <c r="P39" s="7">
        <v>3911.88</v>
      </c>
      <c r="Q39" s="2"/>
      <c r="R39" s="6">
        <f t="shared" si="16"/>
        <v>7.5637778284795027E-3</v>
      </c>
      <c r="S39" s="2"/>
      <c r="T39" s="7">
        <v>66848.010750000001</v>
      </c>
      <c r="U39" s="2"/>
      <c r="V39" s="6">
        <f t="shared" si="17"/>
        <v>0.1201260970705252</v>
      </c>
      <c r="W39" s="2"/>
      <c r="X39" s="7">
        <f t="shared" si="18"/>
        <v>-62936.130750000004</v>
      </c>
      <c r="Y39" s="2"/>
      <c r="Z39" s="6">
        <f t="shared" si="19"/>
        <v>-0.94148098116741641</v>
      </c>
    </row>
    <row r="40" spans="1:26" s="24" customFormat="1" hidden="1" outlineLevel="2" x14ac:dyDescent="0.25">
      <c r="A40" s="25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5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7" customFormat="1" outlineLevel="1" collapsed="1" x14ac:dyDescent="0.25">
      <c r="A42" s="26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2.9685922935344059E-3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3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1100</v>
      </c>
      <c r="U42" s="1"/>
      <c r="V42" s="5">
        <f t="shared" ref="V42:V50" si="25">IF(T$12=0,0,T42/T$12)</f>
        <v>1.9767036489949361E-3</v>
      </c>
      <c r="W42" s="1"/>
      <c r="X42" s="1">
        <f t="shared" ref="X42:X50" si="26">+P42-T42</f>
        <v>-1100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5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>
        <v>100</v>
      </c>
      <c r="I43" s="2"/>
      <c r="J43" s="6">
        <f t="shared" si="21"/>
        <v>2.9685922935344059E-3</v>
      </c>
      <c r="K43" s="2"/>
      <c r="L43" s="7">
        <f t="shared" si="22"/>
        <v>-100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1100</v>
      </c>
      <c r="U43" s="2"/>
      <c r="V43" s="6">
        <f t="shared" si="25"/>
        <v>1.9767036489949361E-3</v>
      </c>
      <c r="W43" s="2"/>
      <c r="X43" s="7">
        <f t="shared" si="26"/>
        <v>-1100</v>
      </c>
      <c r="Y43" s="2"/>
      <c r="Z43" s="6">
        <f t="shared" si="27"/>
        <v>-1</v>
      </c>
    </row>
    <row r="44" spans="1:26" s="27" customFormat="1" outlineLevel="1" collapsed="1" x14ac:dyDescent="0.25">
      <c r="A44" s="26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SUM(OSRRefD22_3x_0)</f>
        <v>5257.31</v>
      </c>
      <c r="E44" s="1"/>
      <c r="F44" s="5">
        <f t="shared" si="20"/>
        <v>0.13264981202533244</v>
      </c>
      <c r="G44" s="1"/>
      <c r="H44" s="1">
        <f>SUM(OSRRefH22_3x_0)</f>
        <v>2000</v>
      </c>
      <c r="I44" s="1"/>
      <c r="J44" s="5">
        <f t="shared" si="21"/>
        <v>5.9371845870688118E-2</v>
      </c>
      <c r="K44" s="1"/>
      <c r="L44" s="1">
        <f t="shared" si="22"/>
        <v>3257.3100000000004</v>
      </c>
      <c r="M44" s="1"/>
      <c r="N44" s="5">
        <f t="shared" si="23"/>
        <v>1.6286550000000002</v>
      </c>
      <c r="O44" s="13"/>
      <c r="P44" s="1">
        <f>SUM(OSRRefP22_3x_0)</f>
        <v>6061.25</v>
      </c>
      <c r="Q44" s="1"/>
      <c r="R44" s="5">
        <f t="shared" si="24"/>
        <v>1.1719671452823549E-2</v>
      </c>
      <c r="S44" s="1"/>
      <c r="T44" s="1">
        <f>SUM(OSRRefT22_3x_0)</f>
        <v>19700</v>
      </c>
      <c r="U44" s="1"/>
      <c r="V44" s="5">
        <f t="shared" si="25"/>
        <v>3.5400965350182036E-2</v>
      </c>
      <c r="W44" s="1"/>
      <c r="X44" s="1">
        <f t="shared" si="26"/>
        <v>-13638.75</v>
      </c>
      <c r="Y44" s="1"/>
      <c r="Z44" s="5">
        <f t="shared" si="27"/>
        <v>-0.69232233502538076</v>
      </c>
    </row>
    <row r="45" spans="1:26" s="24" customFormat="1" hidden="1" outlineLevel="2" x14ac:dyDescent="0.25">
      <c r="A45" s="25"/>
      <c r="B45" s="11" t="str">
        <f>CONCATENATE("          ", "6381", " - ", "BANK/CREDIT CARD FEES")</f>
        <v xml:space="preserve">          6381 - BANK/CREDIT CARD FEES</v>
      </c>
      <c r="C45" s="11"/>
      <c r="D45" s="7">
        <v>5257.31</v>
      </c>
      <c r="E45" s="2"/>
      <c r="F45" s="6">
        <f t="shared" si="20"/>
        <v>0.13264981202533244</v>
      </c>
      <c r="G45" s="2"/>
      <c r="H45" s="7">
        <v>2000</v>
      </c>
      <c r="I45" s="2"/>
      <c r="J45" s="6">
        <f t="shared" si="21"/>
        <v>5.9371845870688118E-2</v>
      </c>
      <c r="K45" s="2"/>
      <c r="L45" s="7">
        <f t="shared" si="22"/>
        <v>3257.3100000000004</v>
      </c>
      <c r="M45" s="2"/>
      <c r="N45" s="6">
        <f t="shared" si="23"/>
        <v>1.6286550000000002</v>
      </c>
      <c r="O45" s="11"/>
      <c r="P45" s="7">
        <v>6061.25</v>
      </c>
      <c r="Q45" s="2"/>
      <c r="R45" s="6">
        <f t="shared" si="24"/>
        <v>1.1719671452823549E-2</v>
      </c>
      <c r="S45" s="2"/>
      <c r="T45" s="7">
        <v>19700</v>
      </c>
      <c r="U45" s="2"/>
      <c r="V45" s="6">
        <f t="shared" si="25"/>
        <v>3.5400965350182036E-2</v>
      </c>
      <c r="W45" s="2"/>
      <c r="X45" s="7">
        <f t="shared" si="26"/>
        <v>-13638.75</v>
      </c>
      <c r="Y45" s="2"/>
      <c r="Z45" s="6">
        <f t="shared" si="27"/>
        <v>-0.69232233502538076</v>
      </c>
    </row>
    <row r="46" spans="1:26" s="27" customFormat="1" outlineLevel="1" collapsed="1" x14ac:dyDescent="0.25">
      <c r="A46" s="26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5.937184587068812E-4</v>
      </c>
      <c r="K46" s="1"/>
      <c r="L46" s="1">
        <f t="shared" si="22"/>
        <v>-20</v>
      </c>
      <c r="M46" s="1"/>
      <c r="N46" s="5">
        <f t="shared" si="23"/>
        <v>-1</v>
      </c>
      <c r="O46" s="13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220</v>
      </c>
      <c r="U46" s="1"/>
      <c r="V46" s="5">
        <f t="shared" si="25"/>
        <v>3.9534072979898719E-4</v>
      </c>
      <c r="W46" s="1"/>
      <c r="X46" s="1">
        <f t="shared" si="26"/>
        <v>-220</v>
      </c>
      <c r="Y46" s="1"/>
      <c r="Z46" s="5">
        <f t="shared" si="27"/>
        <v>-1</v>
      </c>
    </row>
    <row r="47" spans="1:26" s="24" customFormat="1" hidden="1" outlineLevel="2" x14ac:dyDescent="0.25">
      <c r="A47" s="25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5.937184587068812E-4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220</v>
      </c>
      <c r="U47" s="2"/>
      <c r="V47" s="6">
        <f t="shared" si="25"/>
        <v>3.9534072979898719E-4</v>
      </c>
      <c r="W47" s="2"/>
      <c r="X47" s="7">
        <f t="shared" si="26"/>
        <v>-220</v>
      </c>
      <c r="Y47" s="2"/>
      <c r="Z47" s="6">
        <f t="shared" si="27"/>
        <v>-1</v>
      </c>
    </row>
    <row r="48" spans="1:26" s="27" customFormat="1" outlineLevel="1" collapsed="1" x14ac:dyDescent="0.25">
      <c r="A48" s="26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2.968592293534406E-4</v>
      </c>
      <c r="K48" s="1"/>
      <c r="L48" s="1">
        <f t="shared" si="22"/>
        <v>-10</v>
      </c>
      <c r="M48" s="1"/>
      <c r="N48" s="5">
        <f t="shared" si="23"/>
        <v>-1</v>
      </c>
      <c r="O48" s="13"/>
      <c r="P48" s="1">
        <f>SUM(OSRRefP22_5x_0)</f>
        <v>2.12</v>
      </c>
      <c r="Q48" s="1"/>
      <c r="R48" s="5">
        <f t="shared" si="24"/>
        <v>4.0991055442336024E-6</v>
      </c>
      <c r="S48" s="1"/>
      <c r="T48" s="1">
        <f>SUM(OSRRefT22_5x_0)</f>
        <v>110</v>
      </c>
      <c r="U48" s="1"/>
      <c r="V48" s="5">
        <f t="shared" si="25"/>
        <v>1.9767036489949359E-4</v>
      </c>
      <c r="W48" s="1"/>
      <c r="X48" s="1">
        <f t="shared" si="26"/>
        <v>-107.88</v>
      </c>
      <c r="Y48" s="1"/>
      <c r="Z48" s="5">
        <f t="shared" si="27"/>
        <v>-0.98072727272727267</v>
      </c>
    </row>
    <row r="49" spans="1:26" s="24" customFormat="1" hidden="1" outlineLevel="2" x14ac:dyDescent="0.25">
      <c r="A49" s="25"/>
      <c r="B49" s="11" t="str">
        <f>CONCATENATE("          ", "6305", " - ", "FREIGHT OUT")</f>
        <v xml:space="preserve">          6305 - FREIGHT OUT</v>
      </c>
      <c r="C49" s="11"/>
      <c r="D49" s="7"/>
      <c r="E49" s="2"/>
      <c r="F49" s="6">
        <f t="shared" si="20"/>
        <v>0</v>
      </c>
      <c r="G49" s="2"/>
      <c r="H49" s="7"/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>
        <v>1.62</v>
      </c>
      <c r="Q49" s="2"/>
      <c r="R49" s="6">
        <f t="shared" si="24"/>
        <v>3.1323353687068096E-6</v>
      </c>
      <c r="S49" s="2"/>
      <c r="T49" s="7"/>
      <c r="U49" s="2"/>
      <c r="V49" s="6">
        <f t="shared" si="25"/>
        <v>0</v>
      </c>
      <c r="W49" s="2"/>
      <c r="X49" s="7">
        <f t="shared" si="26"/>
        <v>1.62</v>
      </c>
      <c r="Y49" s="2"/>
      <c r="Z49" s="6">
        <f t="shared" si="27"/>
        <v>0</v>
      </c>
    </row>
    <row r="50" spans="1:26" s="24" customFormat="1" hidden="1" outlineLevel="2" x14ac:dyDescent="0.25">
      <c r="A50" s="25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2.968592293534406E-4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>
        <v>0.5</v>
      </c>
      <c r="Q50" s="2"/>
      <c r="R50" s="6">
        <f t="shared" si="24"/>
        <v>9.66770175526793E-7</v>
      </c>
      <c r="S50" s="2"/>
      <c r="T50" s="7">
        <v>110</v>
      </c>
      <c r="U50" s="2"/>
      <c r="V50" s="6">
        <f t="shared" si="25"/>
        <v>1.9767036489949359E-4</v>
      </c>
      <c r="W50" s="2"/>
      <c r="X50" s="7">
        <f t="shared" si="26"/>
        <v>-109.5</v>
      </c>
      <c r="Y50" s="2"/>
      <c r="Z50" s="6">
        <f t="shared" si="27"/>
        <v>-0.99545454545454548</v>
      </c>
    </row>
    <row r="51" spans="1:26" s="27" customFormat="1" outlineLevel="1" collapsed="1" x14ac:dyDescent="0.25">
      <c r="A51" s="26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SUM(OSRRefD22_6x_0)</f>
        <v>0</v>
      </c>
      <c r="E51" s="1"/>
      <c r="F51" s="5">
        <f t="shared" ref="F51:F61" si="28">IF(D$12=0,0,D51/D$12)</f>
        <v>0</v>
      </c>
      <c r="G51" s="1"/>
      <c r="H51" s="1">
        <f>SUM(OSRRefH22_6x_0)</f>
        <v>50</v>
      </c>
      <c r="I51" s="1"/>
      <c r="J51" s="5">
        <f t="shared" ref="J51:J61" si="29">IF(H$12=0,0,H51/H$12)</f>
        <v>1.484296146767203E-3</v>
      </c>
      <c r="K51" s="1"/>
      <c r="L51" s="1">
        <f t="shared" ref="L51:L61" si="30">+D51-H51</f>
        <v>-50</v>
      </c>
      <c r="M51" s="1"/>
      <c r="N51" s="5">
        <f t="shared" ref="N51:N61" si="31">IF(H51=0,0,L51/H51)</f>
        <v>-1</v>
      </c>
      <c r="O51" s="13"/>
      <c r="P51" s="1">
        <f>SUM(OSRRefP22_6x_0)</f>
        <v>0</v>
      </c>
      <c r="Q51" s="1"/>
      <c r="R51" s="5">
        <f t="shared" ref="R51:R61" si="32">IF(P$12=0,0,P51/P$12)</f>
        <v>0</v>
      </c>
      <c r="S51" s="1"/>
      <c r="T51" s="1">
        <f>SUM(OSRRefT22_6x_0)</f>
        <v>550</v>
      </c>
      <c r="U51" s="1"/>
      <c r="V51" s="5">
        <f t="shared" ref="V51:V61" si="33">IF(T$12=0,0,T51/T$12)</f>
        <v>9.8835182449746807E-4</v>
      </c>
      <c r="W51" s="1"/>
      <c r="X51" s="1">
        <f t="shared" ref="X51:X61" si="34">+P51-T51</f>
        <v>-550</v>
      </c>
      <c r="Y51" s="1"/>
      <c r="Z51" s="5">
        <f t="shared" ref="Z51:Z61" si="35">IF(T51=0,0,X51/T51)</f>
        <v>-1</v>
      </c>
    </row>
    <row r="52" spans="1:26" s="24" customFormat="1" hidden="1" outlineLevel="2" x14ac:dyDescent="0.25">
      <c r="A52" s="25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1.484296146767203E-3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550</v>
      </c>
      <c r="U52" s="2"/>
      <c r="V52" s="6">
        <f t="shared" si="33"/>
        <v>9.8835182449746807E-4</v>
      </c>
      <c r="W52" s="2"/>
      <c r="X52" s="7">
        <f t="shared" si="34"/>
        <v>-550</v>
      </c>
      <c r="Y52" s="2"/>
      <c r="Z52" s="6">
        <f t="shared" si="35"/>
        <v>-1</v>
      </c>
    </row>
    <row r="53" spans="1:26" s="27" customFormat="1" outlineLevel="1" collapsed="1" x14ac:dyDescent="0.25">
      <c r="A53" s="26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SUM(OSRRefD22_7x_0)</f>
        <v>29.01</v>
      </c>
      <c r="E53" s="1"/>
      <c r="F53" s="5">
        <f t="shared" si="28"/>
        <v>7.3196578608735146E-4</v>
      </c>
      <c r="G53" s="1"/>
      <c r="H53" s="1">
        <f>SUM(OSRRefH22_7x_0)</f>
        <v>33</v>
      </c>
      <c r="I53" s="1"/>
      <c r="J53" s="5">
        <f t="shared" si="29"/>
        <v>9.7963545686635396E-4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3"/>
      <c r="P53" s="1">
        <f>SUM(OSRRefP22_7x_0)</f>
        <v>319.11</v>
      </c>
      <c r="Q53" s="1"/>
      <c r="R53" s="5">
        <f t="shared" si="32"/>
        <v>6.1701206142470994E-4</v>
      </c>
      <c r="S53" s="1"/>
      <c r="T53" s="1">
        <f>SUM(OSRRefT22_7x_0)</f>
        <v>363</v>
      </c>
      <c r="U53" s="1"/>
      <c r="V53" s="5">
        <f t="shared" si="33"/>
        <v>6.5231220416832889E-4</v>
      </c>
      <c r="W53" s="1"/>
      <c r="X53" s="1">
        <f t="shared" si="34"/>
        <v>-43.889999999999986</v>
      </c>
      <c r="Y53" s="1"/>
      <c r="Z53" s="5">
        <f t="shared" si="35"/>
        <v>-0.12090909090909087</v>
      </c>
    </row>
    <row r="54" spans="1:26" s="24" customFormat="1" hidden="1" outlineLevel="2" x14ac:dyDescent="0.25">
      <c r="A54" s="25"/>
      <c r="B54" s="11" t="str">
        <f>CONCATENATE("          ", "6314", " - ", "LIABILITY INSURANCE")</f>
        <v xml:space="preserve">          6314 - LIABILITY INSURANCE</v>
      </c>
      <c r="C54" s="11"/>
      <c r="D54" s="7">
        <v>29.01</v>
      </c>
      <c r="E54" s="2"/>
      <c r="F54" s="6">
        <f t="shared" si="28"/>
        <v>7.3196578608735146E-4</v>
      </c>
      <c r="G54" s="2"/>
      <c r="H54" s="7">
        <v>33</v>
      </c>
      <c r="I54" s="2"/>
      <c r="J54" s="6">
        <f t="shared" si="29"/>
        <v>9.7963545686635396E-4</v>
      </c>
      <c r="K54" s="2"/>
      <c r="L54" s="7">
        <f t="shared" si="30"/>
        <v>-3.9899999999999984</v>
      </c>
      <c r="M54" s="2"/>
      <c r="N54" s="6">
        <f t="shared" si="31"/>
        <v>-0.12090909090909085</v>
      </c>
      <c r="O54" s="11"/>
      <c r="P54" s="7">
        <v>319.11</v>
      </c>
      <c r="Q54" s="2"/>
      <c r="R54" s="6">
        <f t="shared" si="32"/>
        <v>6.1701206142470994E-4</v>
      </c>
      <c r="S54" s="2"/>
      <c r="T54" s="7">
        <v>363</v>
      </c>
      <c r="U54" s="2"/>
      <c r="V54" s="6">
        <f t="shared" si="33"/>
        <v>6.5231220416832889E-4</v>
      </c>
      <c r="W54" s="2"/>
      <c r="X54" s="7">
        <f t="shared" si="34"/>
        <v>-43.889999999999986</v>
      </c>
      <c r="Y54" s="2"/>
      <c r="Z54" s="6">
        <f t="shared" si="35"/>
        <v>-0.12090909090909087</v>
      </c>
    </row>
    <row r="55" spans="1:26" s="27" customFormat="1" outlineLevel="1" collapsed="1" x14ac:dyDescent="0.25">
      <c r="A55" s="26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SUM(OSRRefD22_8x_0)</f>
        <v>800</v>
      </c>
      <c r="E55" s="1"/>
      <c r="F55" s="5">
        <f t="shared" si="28"/>
        <v>2.018519920268463E-2</v>
      </c>
      <c r="G55" s="1"/>
      <c r="H55" s="1">
        <f>SUM(OSRRefH22_8x_0)</f>
        <v>800</v>
      </c>
      <c r="I55" s="1"/>
      <c r="J55" s="5">
        <f t="shared" si="29"/>
        <v>2.3748738348275247E-2</v>
      </c>
      <c r="K55" s="1"/>
      <c r="L55" s="1">
        <f t="shared" si="30"/>
        <v>0</v>
      </c>
      <c r="M55" s="1"/>
      <c r="N55" s="5">
        <f t="shared" si="31"/>
        <v>0</v>
      </c>
      <c r="O55" s="13"/>
      <c r="P55" s="1">
        <f>SUM(OSRRefP22_8x_0)</f>
        <v>8800</v>
      </c>
      <c r="Q55" s="1"/>
      <c r="R55" s="5">
        <f t="shared" si="32"/>
        <v>1.7015155089271559E-2</v>
      </c>
      <c r="S55" s="1"/>
      <c r="T55" s="1">
        <f>SUM(OSRRefT22_8x_0)</f>
        <v>8800</v>
      </c>
      <c r="U55" s="1"/>
      <c r="V55" s="5">
        <f t="shared" si="33"/>
        <v>1.5813629191959489E-2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5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2.018519920268463E-2</v>
      </c>
      <c r="G56" s="2"/>
      <c r="H56" s="7">
        <v>800</v>
      </c>
      <c r="I56" s="2"/>
      <c r="J56" s="6">
        <f t="shared" si="29"/>
        <v>2.3748738348275247E-2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8800</v>
      </c>
      <c r="Q56" s="2"/>
      <c r="R56" s="6">
        <f t="shared" si="32"/>
        <v>1.7015155089271559E-2</v>
      </c>
      <c r="S56" s="2"/>
      <c r="T56" s="7">
        <v>8800</v>
      </c>
      <c r="U56" s="2"/>
      <c r="V56" s="6">
        <f t="shared" si="33"/>
        <v>1.5813629191959489E-2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7" customFormat="1" outlineLevel="1" collapsed="1" x14ac:dyDescent="0.25">
      <c r="A57" s="26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SUM(OSRRefD22_9x_0)</f>
        <v>5436</v>
      </c>
      <c r="E57" s="1"/>
      <c r="F57" s="5">
        <f t="shared" si="28"/>
        <v>0.13715842858224206</v>
      </c>
      <c r="G57" s="1"/>
      <c r="H57" s="1">
        <f>SUM(OSRRefH22_9x_0)</f>
        <v>1500</v>
      </c>
      <c r="I57" s="1"/>
      <c r="J57" s="5">
        <f t="shared" si="29"/>
        <v>4.452888440301609E-2</v>
      </c>
      <c r="K57" s="1"/>
      <c r="L57" s="1">
        <f t="shared" si="30"/>
        <v>3936</v>
      </c>
      <c r="M57" s="1"/>
      <c r="N57" s="5">
        <f t="shared" si="31"/>
        <v>2.6240000000000001</v>
      </c>
      <c r="O57" s="13"/>
      <c r="P57" s="1">
        <f>SUM(OSRRefP22_9x_0)</f>
        <v>154932.13</v>
      </c>
      <c r="Q57" s="1"/>
      <c r="R57" s="5">
        <f t="shared" si="32"/>
        <v>0.29956752502967987</v>
      </c>
      <c r="S57" s="1"/>
      <c r="T57" s="1">
        <f>SUM(OSRRefT22_9x_0)</f>
        <v>141500</v>
      </c>
      <c r="U57" s="1"/>
      <c r="V57" s="5">
        <f t="shared" si="33"/>
        <v>0.25427596939343949</v>
      </c>
      <c r="W57" s="1"/>
      <c r="X57" s="1">
        <f t="shared" si="34"/>
        <v>13432.130000000005</v>
      </c>
      <c r="Y57" s="1"/>
      <c r="Z57" s="5">
        <f t="shared" si="35"/>
        <v>9.4926713780918756E-2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7">
        <v>5436</v>
      </c>
      <c r="E58" s="2"/>
      <c r="F58" s="6">
        <f t="shared" si="28"/>
        <v>0.13715842858224206</v>
      </c>
      <c r="G58" s="2"/>
      <c r="H58" s="7"/>
      <c r="I58" s="2"/>
      <c r="J58" s="6">
        <f t="shared" si="29"/>
        <v>0</v>
      </c>
      <c r="K58" s="2"/>
      <c r="L58" s="7">
        <f t="shared" si="30"/>
        <v>5436</v>
      </c>
      <c r="M58" s="2"/>
      <c r="N58" s="6">
        <f t="shared" si="31"/>
        <v>0</v>
      </c>
      <c r="O58" s="11"/>
      <c r="P58" s="7">
        <v>5436</v>
      </c>
      <c r="Q58" s="2"/>
      <c r="R58" s="6">
        <f t="shared" si="32"/>
        <v>1.0510725348327294E-2</v>
      </c>
      <c r="S58" s="2"/>
      <c r="T58" s="7">
        <v>125000</v>
      </c>
      <c r="U58" s="2"/>
      <c r="V58" s="6">
        <f t="shared" si="33"/>
        <v>0.22462541465851546</v>
      </c>
      <c r="W58" s="2"/>
      <c r="X58" s="7">
        <f t="shared" si="34"/>
        <v>-119564</v>
      </c>
      <c r="Y58" s="2"/>
      <c r="Z58" s="6">
        <f t="shared" si="35"/>
        <v>-0.95651200000000003</v>
      </c>
    </row>
    <row r="59" spans="1:26" s="24" customFormat="1" hidden="1" outlineLevel="2" x14ac:dyDescent="0.25">
      <c r="A59" s="25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8"/>
        <v>0</v>
      </c>
      <c r="G59" s="2"/>
      <c r="H59" s="7">
        <v>1500</v>
      </c>
      <c r="I59" s="2"/>
      <c r="J59" s="6">
        <f t="shared" si="29"/>
        <v>4.452888440301609E-2</v>
      </c>
      <c r="K59" s="2"/>
      <c r="L59" s="7">
        <f t="shared" si="30"/>
        <v>-1500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16500</v>
      </c>
      <c r="U59" s="2"/>
      <c r="V59" s="6">
        <f t="shared" si="33"/>
        <v>2.9650554734924041E-2</v>
      </c>
      <c r="W59" s="2"/>
      <c r="X59" s="7">
        <f t="shared" si="34"/>
        <v>-16500</v>
      </c>
      <c r="Y59" s="2"/>
      <c r="Z59" s="6">
        <f t="shared" si="35"/>
        <v>-1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142934.13</v>
      </c>
      <c r="Q60" s="2"/>
      <c r="R60" s="6">
        <f t="shared" si="32"/>
        <v>0.27636890789773894</v>
      </c>
      <c r="S60" s="2"/>
      <c r="T60" s="7"/>
      <c r="U60" s="2"/>
      <c r="V60" s="6">
        <f t="shared" si="33"/>
        <v>0</v>
      </c>
      <c r="W60" s="2"/>
      <c r="X60" s="7">
        <f t="shared" si="34"/>
        <v>142934.13</v>
      </c>
      <c r="Y60" s="2"/>
      <c r="Z60" s="6">
        <f t="shared" si="35"/>
        <v>0</v>
      </c>
    </row>
    <row r="61" spans="1:26" s="24" customFormat="1" hidden="1" outlineLevel="2" x14ac:dyDescent="0.25">
      <c r="A61" s="25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6562</v>
      </c>
      <c r="Q61" s="2"/>
      <c r="R61" s="6">
        <f t="shared" si="32"/>
        <v>1.2687891783613632E-2</v>
      </c>
      <c r="S61" s="2"/>
      <c r="T61" s="7"/>
      <c r="U61" s="2"/>
      <c r="V61" s="6">
        <f t="shared" si="33"/>
        <v>0</v>
      </c>
      <c r="W61" s="2"/>
      <c r="X61" s="7">
        <f t="shared" si="34"/>
        <v>6562</v>
      </c>
      <c r="Y61" s="2"/>
      <c r="Z61" s="6">
        <f t="shared" si="35"/>
        <v>0</v>
      </c>
    </row>
    <row r="62" spans="1:26" s="27" customFormat="1" outlineLevel="1" collapsed="1" x14ac:dyDescent="0.25">
      <c r="A62" s="26"/>
      <c r="B62" s="13" t="str">
        <f>CONCATENATE("     ","Subscriptions &amp; Dues                              ")</f>
        <v xml:space="preserve">     Subscriptions &amp; Dues                              </v>
      </c>
      <c r="C62" s="13"/>
      <c r="D62" s="1">
        <f>SUM(OSRRefD22_10x_0)</f>
        <v>0</v>
      </c>
      <c r="E62" s="1"/>
      <c r="F62" s="5">
        <f t="shared" ref="F62:F66" si="36">IF(D$12=0,0,D62/D$12)</f>
        <v>0</v>
      </c>
      <c r="G62" s="1"/>
      <c r="H62" s="1">
        <f>SUM(OSRRefH22_10x_0)</f>
        <v>0</v>
      </c>
      <c r="I62" s="1"/>
      <c r="J62" s="5">
        <f t="shared" ref="J62:J66" si="37">IF(H$12=0,0,H62/H$12)</f>
        <v>0</v>
      </c>
      <c r="K62" s="1"/>
      <c r="L62" s="1">
        <f t="shared" ref="L62:L66" si="38">+D62-H62</f>
        <v>0</v>
      </c>
      <c r="M62" s="1"/>
      <c r="N62" s="5">
        <f t="shared" ref="N62:N66" si="39">IF(H62=0,0,L62/H62)</f>
        <v>0</v>
      </c>
      <c r="O62" s="13"/>
      <c r="P62" s="1">
        <f>SUM(OSRRefP22_10x_0)</f>
        <v>0</v>
      </c>
      <c r="Q62" s="1"/>
      <c r="R62" s="5">
        <f t="shared" ref="R62:R66" si="40">IF(P$12=0,0,P62/P$12)</f>
        <v>0</v>
      </c>
      <c r="S62" s="1"/>
      <c r="T62" s="1">
        <f>SUM(OSRRefT22_10x_0)</f>
        <v>850</v>
      </c>
      <c r="U62" s="1"/>
      <c r="V62" s="5">
        <f t="shared" ref="V62:V66" si="41">IF(T$12=0,0,T62/T$12)</f>
        <v>1.5274528196779051E-3</v>
      </c>
      <c r="W62" s="1"/>
      <c r="X62" s="1">
        <f t="shared" ref="X62:X66" si="42">+P62-T62</f>
        <v>-850</v>
      </c>
      <c r="Y62" s="1"/>
      <c r="Z62" s="5">
        <f t="shared" ref="Z62:Z66" si="43">IF(T62=0,0,X62/T62)</f>
        <v>-1</v>
      </c>
    </row>
    <row r="63" spans="1:26" s="24" customFormat="1" hidden="1" outlineLevel="2" x14ac:dyDescent="0.25">
      <c r="A63" s="25"/>
      <c r="B63" s="11" t="str">
        <f>CONCATENATE("          ", "6258", " - ", "MEMBERSHIP DUES")</f>
        <v xml:space="preserve">          6258 - MEMBERSHIP DUES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/>
      <c r="Q63" s="2"/>
      <c r="R63" s="6">
        <f t="shared" si="40"/>
        <v>0</v>
      </c>
      <c r="S63" s="2"/>
      <c r="T63" s="7">
        <v>850</v>
      </c>
      <c r="U63" s="2"/>
      <c r="V63" s="6">
        <f t="shared" si="41"/>
        <v>1.5274528196779051E-3</v>
      </c>
      <c r="W63" s="2"/>
      <c r="X63" s="7">
        <f t="shared" si="42"/>
        <v>-850</v>
      </c>
      <c r="Y63" s="2"/>
      <c r="Z63" s="6">
        <f t="shared" si="43"/>
        <v>-1</v>
      </c>
    </row>
    <row r="64" spans="1:26" s="27" customFormat="1" outlineLevel="1" collapsed="1" x14ac:dyDescent="0.25">
      <c r="A64" s="26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SUM(OSRRefD22_11x_0)</f>
        <v>4277.7</v>
      </c>
      <c r="E64" s="1"/>
      <c r="F64" s="5">
        <f t="shared" si="36"/>
        <v>0.10793278328665505</v>
      </c>
      <c r="G64" s="1"/>
      <c r="H64" s="1">
        <f>SUM(OSRRefH22_11x_0)</f>
        <v>7000</v>
      </c>
      <c r="I64" s="1"/>
      <c r="J64" s="5">
        <f t="shared" si="37"/>
        <v>0.20780146054740842</v>
      </c>
      <c r="K64" s="1"/>
      <c r="L64" s="1">
        <f t="shared" si="38"/>
        <v>-2722.3</v>
      </c>
      <c r="M64" s="1"/>
      <c r="N64" s="5">
        <f t="shared" si="39"/>
        <v>-0.38890000000000002</v>
      </c>
      <c r="O64" s="13"/>
      <c r="P64" s="1">
        <f>SUM(OSRRefP22_11x_0)</f>
        <v>48839.59</v>
      </c>
      <c r="Q64" s="1"/>
      <c r="R64" s="5">
        <f t="shared" si="40"/>
        <v>9.4433317993913204E-2</v>
      </c>
      <c r="S64" s="1"/>
      <c r="T64" s="1">
        <f>SUM(OSRRefT22_11x_0)</f>
        <v>77000</v>
      </c>
      <c r="U64" s="1"/>
      <c r="V64" s="5">
        <f t="shared" si="41"/>
        <v>0.13836925542964551</v>
      </c>
      <c r="W64" s="1"/>
      <c r="X64" s="1">
        <f t="shared" si="42"/>
        <v>-28160.410000000003</v>
      </c>
      <c r="Y64" s="1"/>
      <c r="Z64" s="5">
        <f t="shared" si="43"/>
        <v>-0.36571961038961043</v>
      </c>
    </row>
    <row r="65" spans="1:26" s="24" customFormat="1" hidden="1" outlineLevel="2" x14ac:dyDescent="0.25">
      <c r="A65" s="25"/>
      <c r="B65" s="11" t="str">
        <f>CONCATENATE("          ", "6234", " - ", "EXPENDABLE SUPPLIES &amp; EQUIPMEN")</f>
        <v xml:space="preserve">          6234 - EXPENDABLE SUPPLIES &amp; EQUIPMEN</v>
      </c>
      <c r="C65" s="11"/>
      <c r="D65" s="7"/>
      <c r="E65" s="2"/>
      <c r="F65" s="6">
        <f t="shared" si="36"/>
        <v>0</v>
      </c>
      <c r="G65" s="2"/>
      <c r="H65" s="7">
        <v>7000</v>
      </c>
      <c r="I65" s="2"/>
      <c r="J65" s="6">
        <f t="shared" si="37"/>
        <v>0.20780146054740842</v>
      </c>
      <c r="K65" s="2"/>
      <c r="L65" s="7">
        <f t="shared" si="38"/>
        <v>-7000</v>
      </c>
      <c r="M65" s="2"/>
      <c r="N65" s="6">
        <f t="shared" si="39"/>
        <v>-1</v>
      </c>
      <c r="O65" s="11"/>
      <c r="P65" s="7"/>
      <c r="Q65" s="2"/>
      <c r="R65" s="6">
        <f t="shared" si="40"/>
        <v>0</v>
      </c>
      <c r="S65" s="2"/>
      <c r="T65" s="7">
        <v>77000</v>
      </c>
      <c r="U65" s="2"/>
      <c r="V65" s="6">
        <f t="shared" si="41"/>
        <v>0.13836925542964551</v>
      </c>
      <c r="W65" s="2"/>
      <c r="X65" s="7">
        <f t="shared" si="42"/>
        <v>-77000</v>
      </c>
      <c r="Y65" s="2"/>
      <c r="Z65" s="6">
        <f t="shared" si="43"/>
        <v>-1</v>
      </c>
    </row>
    <row r="66" spans="1:26" s="24" customFormat="1" hidden="1" outlineLevel="2" x14ac:dyDescent="0.25">
      <c r="A66" s="25"/>
      <c r="B66" s="11" t="str">
        <f>CONCATENATE("          ", "6241", " - ", "OFFICE EXPENSE")</f>
        <v xml:space="preserve">          6241 - OFFICE EXPENSE</v>
      </c>
      <c r="C66" s="11"/>
      <c r="D66" s="7">
        <v>4277.7</v>
      </c>
      <c r="E66" s="2"/>
      <c r="F66" s="6">
        <f t="shared" si="36"/>
        <v>0.10793278328665505</v>
      </c>
      <c r="G66" s="2"/>
      <c r="H66" s="7"/>
      <c r="I66" s="2"/>
      <c r="J66" s="6">
        <f t="shared" si="37"/>
        <v>0</v>
      </c>
      <c r="K66" s="2"/>
      <c r="L66" s="7">
        <f t="shared" si="38"/>
        <v>4277.7</v>
      </c>
      <c r="M66" s="2"/>
      <c r="N66" s="6">
        <f t="shared" si="39"/>
        <v>0</v>
      </c>
      <c r="O66" s="11"/>
      <c r="P66" s="7">
        <v>48839.59</v>
      </c>
      <c r="Q66" s="2"/>
      <c r="R66" s="6">
        <f t="shared" si="40"/>
        <v>9.4433317993913204E-2</v>
      </c>
      <c r="S66" s="2"/>
      <c r="T66" s="7"/>
      <c r="U66" s="2"/>
      <c r="V66" s="6">
        <f t="shared" si="41"/>
        <v>0</v>
      </c>
      <c r="W66" s="2"/>
      <c r="X66" s="7">
        <f t="shared" si="42"/>
        <v>48839.59</v>
      </c>
      <c r="Y66" s="2"/>
      <c r="Z66" s="6">
        <f t="shared" si="43"/>
        <v>0</v>
      </c>
    </row>
    <row r="67" spans="1:26" s="27" customFormat="1" outlineLevel="1" collapsed="1" x14ac:dyDescent="0.25">
      <c r="A67" s="26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SUM(OSRRefD22_12x_0)</f>
        <v>87.8</v>
      </c>
      <c r="E67" s="1"/>
      <c r="F67" s="5">
        <f t="shared" ref="F67:F70" si="44">IF(D$12=0,0,D67/D$12)</f>
        <v>2.2153256124946381E-3</v>
      </c>
      <c r="G67" s="1"/>
      <c r="H67" s="1">
        <f>SUM(OSRRefH22_12x_0)</f>
        <v>700</v>
      </c>
      <c r="I67" s="1"/>
      <c r="J67" s="5">
        <f t="shared" ref="J67:J70" si="45">IF(H$12=0,0,H67/H$12)</f>
        <v>2.0780146054740843E-2</v>
      </c>
      <c r="K67" s="1"/>
      <c r="L67" s="1">
        <f t="shared" ref="L67:L70" si="46">+D67-H67</f>
        <v>-612.20000000000005</v>
      </c>
      <c r="M67" s="1"/>
      <c r="N67" s="5">
        <f t="shared" ref="N67:N70" si="47">IF(H67=0,0,L67/H67)</f>
        <v>-0.87457142857142867</v>
      </c>
      <c r="O67" s="13"/>
      <c r="P67" s="1">
        <f>SUM(OSRRefP22_12x_0)</f>
        <v>1886.73</v>
      </c>
      <c r="Q67" s="1"/>
      <c r="R67" s="5">
        <f t="shared" ref="R67:R70" si="48">IF(P$12=0,0,P67/P$12)</f>
        <v>3.6480685865433325E-3</v>
      </c>
      <c r="S67" s="1"/>
      <c r="T67" s="1">
        <f>SUM(OSRRefT22_12x_0)</f>
        <v>7700</v>
      </c>
      <c r="U67" s="1"/>
      <c r="V67" s="5">
        <f t="shared" ref="V67:V70" si="49">IF(T$12=0,0,T67/T$12)</f>
        <v>1.3836925542964552E-2</v>
      </c>
      <c r="W67" s="1"/>
      <c r="X67" s="1">
        <f t="shared" ref="X67:X70" si="50">+P67-T67</f>
        <v>-5813.27</v>
      </c>
      <c r="Y67" s="1"/>
      <c r="Z67" s="5">
        <f t="shared" ref="Z67:Z70" si="51">IF(T67=0,0,X67/T67)</f>
        <v>-0.7549701298701299</v>
      </c>
    </row>
    <row r="68" spans="1:26" s="24" customFormat="1" hidden="1" outlineLevel="2" x14ac:dyDescent="0.25">
      <c r="A68" s="25"/>
      <c r="B68" s="11" t="str">
        <f>CONCATENATE("          ", "6309", " - ", "TELEPHONE")</f>
        <v xml:space="preserve">          6309 - TELEPHONE</v>
      </c>
      <c r="C68" s="11"/>
      <c r="D68" s="7">
        <v>87.8</v>
      </c>
      <c r="E68" s="2"/>
      <c r="F68" s="6">
        <f t="shared" si="44"/>
        <v>2.2153256124946381E-3</v>
      </c>
      <c r="G68" s="2"/>
      <c r="H68" s="7">
        <v>700</v>
      </c>
      <c r="I68" s="2"/>
      <c r="J68" s="6">
        <f t="shared" si="45"/>
        <v>2.0780146054740843E-2</v>
      </c>
      <c r="K68" s="2"/>
      <c r="L68" s="7">
        <f t="shared" si="46"/>
        <v>-612.20000000000005</v>
      </c>
      <c r="M68" s="2"/>
      <c r="N68" s="6">
        <f t="shared" si="47"/>
        <v>-0.87457142857142867</v>
      </c>
      <c r="O68" s="11"/>
      <c r="P68" s="7">
        <v>1886.73</v>
      </c>
      <c r="Q68" s="2"/>
      <c r="R68" s="6">
        <f t="shared" si="48"/>
        <v>3.6480685865433325E-3</v>
      </c>
      <c r="S68" s="2"/>
      <c r="T68" s="7">
        <v>7700</v>
      </c>
      <c r="U68" s="2"/>
      <c r="V68" s="6">
        <f t="shared" si="49"/>
        <v>1.3836925542964552E-2</v>
      </c>
      <c r="W68" s="2"/>
      <c r="X68" s="7">
        <f t="shared" si="50"/>
        <v>-5813.27</v>
      </c>
      <c r="Y68" s="2"/>
      <c r="Z68" s="6">
        <f t="shared" si="51"/>
        <v>-0.7549701298701299</v>
      </c>
    </row>
    <row r="69" spans="1:26" s="27" customFormat="1" outlineLevel="1" collapsed="1" x14ac:dyDescent="0.25">
      <c r="A69" s="26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SUM(OSRRefD22_13x_0)</f>
        <v>0</v>
      </c>
      <c r="E69" s="1"/>
      <c r="F69" s="5">
        <f t="shared" si="44"/>
        <v>0</v>
      </c>
      <c r="G69" s="1"/>
      <c r="H69" s="1">
        <f>SUM(OSRRefH22_13x_0)</f>
        <v>0</v>
      </c>
      <c r="I69" s="1"/>
      <c r="J69" s="5">
        <f t="shared" si="45"/>
        <v>0</v>
      </c>
      <c r="K69" s="1"/>
      <c r="L69" s="1">
        <f t="shared" si="46"/>
        <v>0</v>
      </c>
      <c r="M69" s="1"/>
      <c r="N69" s="5">
        <f t="shared" si="47"/>
        <v>0</v>
      </c>
      <c r="O69" s="13"/>
      <c r="P69" s="1">
        <f>SUM(OSRRefP22_13x_0)</f>
        <v>0</v>
      </c>
      <c r="Q69" s="1"/>
      <c r="R69" s="5">
        <f t="shared" si="48"/>
        <v>0</v>
      </c>
      <c r="S69" s="1"/>
      <c r="T69" s="1">
        <f>SUM(OSRRefT22_13x_0)</f>
        <v>4500</v>
      </c>
      <c r="U69" s="1"/>
      <c r="V69" s="5">
        <f t="shared" si="49"/>
        <v>8.0865149277065569E-3</v>
      </c>
      <c r="W69" s="1"/>
      <c r="X69" s="1">
        <f t="shared" si="50"/>
        <v>-4500</v>
      </c>
      <c r="Y69" s="1"/>
      <c r="Z69" s="5">
        <f t="shared" si="51"/>
        <v>-1</v>
      </c>
    </row>
    <row r="70" spans="1:26" s="24" customFormat="1" hidden="1" outlineLevel="2" x14ac:dyDescent="0.25">
      <c r="A70" s="25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4"/>
        <v>0</v>
      </c>
      <c r="G70" s="2"/>
      <c r="H70" s="7"/>
      <c r="I70" s="2"/>
      <c r="J70" s="6">
        <f t="shared" si="45"/>
        <v>0</v>
      </c>
      <c r="K70" s="2"/>
      <c r="L70" s="7">
        <f t="shared" si="46"/>
        <v>0</v>
      </c>
      <c r="M70" s="2"/>
      <c r="N70" s="6">
        <f t="shared" si="47"/>
        <v>0</v>
      </c>
      <c r="O70" s="11"/>
      <c r="P70" s="7"/>
      <c r="Q70" s="2"/>
      <c r="R70" s="6">
        <f t="shared" si="48"/>
        <v>0</v>
      </c>
      <c r="S70" s="2"/>
      <c r="T70" s="7">
        <v>4500</v>
      </c>
      <c r="U70" s="2"/>
      <c r="V70" s="6">
        <f t="shared" si="49"/>
        <v>8.0865149277065569E-3</v>
      </c>
      <c r="W70" s="2"/>
      <c r="X70" s="7">
        <f t="shared" si="50"/>
        <v>-4500</v>
      </c>
      <c r="Y70" s="2"/>
      <c r="Z70" s="6">
        <f t="shared" si="51"/>
        <v>-1</v>
      </c>
    </row>
    <row r="71" spans="1:26" s="56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9" t="s">
        <v>293</v>
      </c>
      <c r="C72" s="10"/>
      <c r="D72" s="4">
        <f>SUM(OSRRefD25x_0)</f>
        <v>338.23</v>
      </c>
      <c r="E72" s="4"/>
      <c r="F72" s="12">
        <f t="shared" ref="F72:F73" si="52">IF(D$12=0,0,D72/D$12)</f>
        <v>8.5340499079050291E-3</v>
      </c>
      <c r="G72" s="4"/>
      <c r="H72" s="4">
        <f>SUM(OSRRefH25x_0)</f>
        <v>3000</v>
      </c>
      <c r="I72" s="4"/>
      <c r="J72" s="12">
        <f t="shared" ref="J72:J73" si="53">IF(H$12=0,0,H72/H$12)</f>
        <v>8.9057768806032181E-2</v>
      </c>
      <c r="K72" s="4"/>
      <c r="L72" s="4">
        <f t="shared" ref="L72:L73" si="54">+D72-H72</f>
        <v>-2661.77</v>
      </c>
      <c r="M72" s="4"/>
      <c r="N72" s="12">
        <f t="shared" ref="N72:N73" si="55">IF(H72=0,0,L72/H72)</f>
        <v>-0.88725666666666669</v>
      </c>
      <c r="O72" s="10"/>
      <c r="P72" s="4">
        <f>SUM(OSRRefP25x_0)</f>
        <v>2498.35</v>
      </c>
      <c r="Q72" s="4"/>
      <c r="R72" s="12">
        <f t="shared" ref="R72:R73" si="56">IF(P$12=0,0,P72/P$12)</f>
        <v>4.8306605360547272E-3</v>
      </c>
      <c r="S72" s="4"/>
      <c r="T72" s="4">
        <f>SUM(OSRRefT25x_0)</f>
        <v>33150</v>
      </c>
      <c r="U72" s="4"/>
      <c r="V72" s="12">
        <f t="shared" ref="V72:V73" si="57">IF(T$12=0,0,T72/T$12)</f>
        <v>5.9570659967438301E-2</v>
      </c>
      <c r="W72" s="4"/>
      <c r="X72" s="4">
        <f t="shared" ref="X72:X73" si="58">+P72-T72</f>
        <v>-30651.65</v>
      </c>
      <c r="Y72" s="4"/>
      <c r="Z72" s="12">
        <f t="shared" ref="Z72:Z73" si="59">IF(T72=0,0,X72/T72)</f>
        <v>-0.92463499245852188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--338.23</f>
        <v>338.23</v>
      </c>
      <c r="E73" s="2"/>
      <c r="F73" s="19">
        <f t="shared" si="52"/>
        <v>8.5340499079050291E-3</v>
      </c>
      <c r="G73" s="2"/>
      <c r="H73" s="2">
        <v>3000</v>
      </c>
      <c r="I73" s="2"/>
      <c r="J73" s="19">
        <f t="shared" si="53"/>
        <v>8.9057768806032181E-2</v>
      </c>
      <c r="K73" s="2"/>
      <c r="L73" s="2">
        <f t="shared" si="54"/>
        <v>-2661.77</v>
      </c>
      <c r="M73" s="2"/>
      <c r="N73" s="19">
        <f t="shared" si="55"/>
        <v>-0.88725666666666669</v>
      </c>
      <c r="O73" s="11"/>
      <c r="P73" s="2">
        <f>--2498.35</f>
        <v>2498.35</v>
      </c>
      <c r="Q73" s="2"/>
      <c r="R73" s="19">
        <f t="shared" si="56"/>
        <v>4.8306605360547272E-3</v>
      </c>
      <c r="S73" s="2"/>
      <c r="T73" s="2">
        <v>33150</v>
      </c>
      <c r="U73" s="2"/>
      <c r="V73" s="19">
        <f t="shared" si="57"/>
        <v>5.9570659967438301E-2</v>
      </c>
      <c r="W73" s="2"/>
      <c r="X73" s="2">
        <f t="shared" si="58"/>
        <v>-30651.65</v>
      </c>
      <c r="Y73" s="2"/>
      <c r="Z73" s="19">
        <f t="shared" si="59"/>
        <v>-0.92463499245852188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8" t="s">
        <v>277</v>
      </c>
      <c r="C75" s="28"/>
      <c r="D75" s="20">
        <f>+D17-D19+D72</f>
        <v>8426.4399999999987</v>
      </c>
      <c r="E75" s="14"/>
      <c r="F75" s="21">
        <f>IF(D$12=0,0,D75/D$12)</f>
        <v>0.21261171246183733</v>
      </c>
      <c r="G75" s="14"/>
      <c r="H75" s="20">
        <f>+H17-H19+H72</f>
        <v>4989.7828361846114</v>
      </c>
      <c r="I75" s="14"/>
      <c r="J75" s="21">
        <f>IF(H$12=0,0,H75/H$12)</f>
        <v>0.14812630873907889</v>
      </c>
      <c r="K75" s="15"/>
      <c r="L75" s="20">
        <f>+D75-H75</f>
        <v>3436.6571638153873</v>
      </c>
      <c r="M75" s="15"/>
      <c r="N75" s="21">
        <f>IF(H75=0,0,L75/H75)</f>
        <v>0.68873882424173671</v>
      </c>
      <c r="O75" s="29"/>
      <c r="P75" s="20">
        <f>+P17-P19+P72</f>
        <v>99906.260000000038</v>
      </c>
      <c r="Q75" s="14"/>
      <c r="R75" s="21">
        <f>IF(P$12=0,0,P75/P$12)</f>
        <v>0.19317278503285093</v>
      </c>
      <c r="S75" s="14"/>
      <c r="T75" s="20">
        <f>+T17-T19+T72</f>
        <v>84100.030084265454</v>
      </c>
      <c r="U75" s="14"/>
      <c r="V75" s="21">
        <f>IF(T$12=0,0,T75/T$12)</f>
        <v>0.15112803304377401</v>
      </c>
      <c r="W75" s="15"/>
      <c r="X75" s="20">
        <f>+P75-T75</f>
        <v>15806.229915734584</v>
      </c>
      <c r="Y75" s="15"/>
      <c r="Z75" s="21">
        <f>IF(T75=0,0,X75/T75)</f>
        <v>0.18794559169476233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2"/>
      <c r="B77" s="10" t="s">
        <v>128</v>
      </c>
      <c r="C77" s="10"/>
      <c r="D77" s="4">
        <v>10611.71</v>
      </c>
      <c r="E77" s="4"/>
      <c r="F77" s="12">
        <f>IF(D$12=0,0,D77/D$12)</f>
        <v>0.26774935028890062</v>
      </c>
      <c r="G77" s="4"/>
      <c r="H77" s="4">
        <v>8032</v>
      </c>
      <c r="I77" s="4"/>
      <c r="J77" s="12">
        <f>IF(H$12=0,0,H77/H$12)</f>
        <v>0.23843733301668349</v>
      </c>
      <c r="K77" s="4"/>
      <c r="L77" s="4">
        <f>+D77-H77</f>
        <v>2579.7099999999991</v>
      </c>
      <c r="M77" s="4"/>
      <c r="N77" s="12">
        <f>IF(H77=0,0,L77/H77)</f>
        <v>0.32117903386454172</v>
      </c>
      <c r="O77" s="10"/>
      <c r="P77" s="4">
        <v>110517.74</v>
      </c>
      <c r="Q77" s="4"/>
      <c r="R77" s="12">
        <f>IF(P$12=0,0,P77/P$12)</f>
        <v>0.21369050979724896</v>
      </c>
      <c r="S77" s="4"/>
      <c r="T77" s="4">
        <v>102736</v>
      </c>
      <c r="U77" s="4"/>
      <c r="V77" s="12">
        <f>IF(T$12=0,0,T77/T$12)</f>
        <v>0.18461693280285796</v>
      </c>
      <c r="W77" s="4"/>
      <c r="X77" s="4">
        <f>+P77-T77</f>
        <v>7781.7400000000052</v>
      </c>
      <c r="Y77" s="4"/>
      <c r="Z77" s="12">
        <f>IF(T77=0,0,X77/T77)</f>
        <v>7.5745016352593106E-2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126</v>
      </c>
      <c r="C79" s="28"/>
      <c r="D79" s="35">
        <f>+D75-D77</f>
        <v>-2185.2700000000004</v>
      </c>
      <c r="E79" s="14"/>
      <c r="F79" s="34">
        <f>IF(D$12=0,0,D79/D$12)</f>
        <v>-5.5137637827063317E-2</v>
      </c>
      <c r="G79" s="14"/>
      <c r="H79" s="35">
        <f>+H75-H77</f>
        <v>-3042.2171638153886</v>
      </c>
      <c r="I79" s="14"/>
      <c r="J79" s="34">
        <f>IF(H$12=0,0,H79/H$12)</f>
        <v>-9.0311024277604596E-2</v>
      </c>
      <c r="K79" s="15"/>
      <c r="L79" s="35">
        <f>D79-H79</f>
        <v>856.94716381538819</v>
      </c>
      <c r="M79" s="15"/>
      <c r="N79" s="34">
        <f>IF(H79=0,0,L79/H79)</f>
        <v>-0.28168507298165729</v>
      </c>
      <c r="O79" s="29"/>
      <c r="P79" s="35">
        <f>+P75-P77</f>
        <v>-10611.479999999967</v>
      </c>
      <c r="Q79" s="14"/>
      <c r="R79" s="34">
        <f>IF(P$12=0,0,P79/P$12)</f>
        <v>-2.0517724764398042E-2</v>
      </c>
      <c r="S79" s="14"/>
      <c r="T79" s="35">
        <f>+T75-T77</f>
        <v>-18635.969915734546</v>
      </c>
      <c r="U79" s="14"/>
      <c r="V79" s="34">
        <f>IF(T$12=0,0,T79/T$12)</f>
        <v>-3.3488899759083937E-2</v>
      </c>
      <c r="W79" s="15"/>
      <c r="X79" s="35">
        <f>P79-T79</f>
        <v>8024.489915734579</v>
      </c>
      <c r="Y79" s="15"/>
      <c r="Z79" s="34">
        <f>IF(T79=0,0,X79/T79)</f>
        <v>-0.43059148260157992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294</v>
      </c>
      <c r="C82" s="28"/>
      <c r="D82" s="33">
        <f>SUM(D79:D81)</f>
        <v>-2185.2700000000004</v>
      </c>
      <c r="E82" s="14"/>
      <c r="F82" s="32">
        <f>IF(D$12=0,0,D82/D$12)</f>
        <v>-5.5137637827063317E-2</v>
      </c>
      <c r="G82" s="14"/>
      <c r="H82" s="33">
        <f>SUM(H79:H81)</f>
        <v>-3042.2171638153886</v>
      </c>
      <c r="I82" s="14"/>
      <c r="J82" s="32">
        <f>IF(H$12=0,0,H82/H$12)</f>
        <v>-9.0311024277604596E-2</v>
      </c>
      <c r="K82" s="15"/>
      <c r="L82" s="33">
        <f>+D82-H82</f>
        <v>856.94716381538819</v>
      </c>
      <c r="M82" s="15"/>
      <c r="N82" s="32">
        <f>IF(H82=0,0,L82/H82)</f>
        <v>-0.28168507298165729</v>
      </c>
      <c r="O82" s="29"/>
      <c r="P82" s="33">
        <f>SUM(P79:P81)</f>
        <v>-10611.479999999967</v>
      </c>
      <c r="Q82" s="14"/>
      <c r="R82" s="32">
        <f>IF(P$12=0,0,P82/P$12)</f>
        <v>-2.0517724764398042E-2</v>
      </c>
      <c r="S82" s="14"/>
      <c r="T82" s="33">
        <f>SUM(T79:T81)</f>
        <v>-18635.969915734546</v>
      </c>
      <c r="U82" s="14"/>
      <c r="V82" s="32">
        <f>IF(T$12=0,0,T82/T$12)</f>
        <v>-3.3488899759083937E-2</v>
      </c>
      <c r="W82" s="15"/>
      <c r="X82" s="33">
        <f>+P82-T82</f>
        <v>8024.489915734579</v>
      </c>
      <c r="Y82" s="15"/>
      <c r="Z82" s="32">
        <f>IF(T82=0,0,X82/T82)</f>
        <v>-0.43059148260157992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60">
        <v>44356.891834571761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5" t="s">
        <v>56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63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23</v>
      </c>
    </row>
    <row r="3" spans="1:26" x14ac:dyDescent="0.25">
      <c r="D3" s="53" t="s">
        <v>237</v>
      </c>
      <c r="E3" s="17"/>
      <c r="F3" s="47"/>
      <c r="G3" s="17"/>
      <c r="H3" s="17"/>
      <c r="I3" s="17"/>
      <c r="J3" s="38"/>
      <c r="K3" s="17"/>
      <c r="L3" s="17"/>
      <c r="M3" s="17"/>
      <c r="N3" s="47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7"/>
      <c r="G4" s="17"/>
      <c r="H4" s="17"/>
      <c r="I4" s="17"/>
      <c r="J4" s="38"/>
      <c r="K4" s="17"/>
      <c r="L4" s="17"/>
      <c r="M4" s="17"/>
      <c r="N4" s="47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7"/>
      <c r="G5" s="17"/>
      <c r="H5" s="17"/>
      <c r="I5" s="17"/>
      <c r="J5" s="38"/>
      <c r="K5" s="17"/>
      <c r="L5" s="17"/>
      <c r="M5" s="17"/>
      <c r="N5" s="47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7"/>
      <c r="G6" s="17"/>
      <c r="H6" s="17"/>
      <c r="I6" s="17"/>
      <c r="J6" s="38"/>
      <c r="K6" s="17"/>
      <c r="L6" s="17"/>
      <c r="M6" s="17"/>
      <c r="N6" s="47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0"/>
      <c r="B10" s="61"/>
      <c r="C10" s="10"/>
      <c r="D10" s="43" t="s">
        <v>57</v>
      </c>
      <c r="E10" s="30"/>
      <c r="F10" s="37" t="s">
        <v>40</v>
      </c>
      <c r="G10" s="30"/>
      <c r="H10" s="48" t="s">
        <v>238</v>
      </c>
      <c r="I10" s="30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8" t="s">
        <v>57</v>
      </c>
      <c r="Q10" s="30"/>
      <c r="R10" s="37" t="s">
        <v>40</v>
      </c>
      <c r="S10" s="30"/>
      <c r="T10" s="48" t="s">
        <v>238</v>
      </c>
      <c r="U10" s="30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108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277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126</v>
      </c>
      <c r="C31" s="28"/>
      <c r="D31" s="35" t="e">
        <f ca="1">+D27-D29</f>
        <v>#NAME?</v>
      </c>
      <c r="E31" s="14"/>
      <c r="F31" s="34" t="e">
        <f ca="1">IF(D$12=0,0,D31/D$12)</f>
        <v>#NAME?</v>
      </c>
      <c r="G31" s="14"/>
      <c r="H31" s="35" t="e">
        <f ca="1">+H27-H29</f>
        <v>#NAME?</v>
      </c>
      <c r="I31" s="14"/>
      <c r="J31" s="34" t="e">
        <f ca="1">IF(H$12=0,0,H31/H$12)</f>
        <v>#NAME?</v>
      </c>
      <c r="K31" s="15"/>
      <c r="L31" s="35" t="e">
        <f ca="1">D31-H31</f>
        <v>#NAME?</v>
      </c>
      <c r="M31" s="15"/>
      <c r="N31" s="34" t="e">
        <f ca="1">IF(H31=0,0,L31/H31)</f>
        <v>#NAME?</v>
      </c>
      <c r="O31" s="29"/>
      <c r="P31" s="35" t="e">
        <f ca="1">+P27-P29</f>
        <v>#NAME?</v>
      </c>
      <c r="Q31" s="14"/>
      <c r="R31" s="34" t="e">
        <f ca="1">IF(P$12=0,0,P31/P$12)</f>
        <v>#NAME?</v>
      </c>
      <c r="S31" s="14"/>
      <c r="T31" s="35" t="e">
        <f ca="1">+T27-T29</f>
        <v>#NAME?</v>
      </c>
      <c r="U31" s="14"/>
      <c r="V31" s="34" t="e">
        <f ca="1">IF(T$12=0,0,T31/T$12)</f>
        <v>#NAME?</v>
      </c>
      <c r="W31" s="15"/>
      <c r="X31" s="35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294</v>
      </c>
      <c r="C36" s="28"/>
      <c r="D36" s="33" t="e">
        <f ca="1">SUM(D31:D35)</f>
        <v>#NAME?</v>
      </c>
      <c r="E36" s="14"/>
      <c r="F36" s="32" t="e">
        <f ca="1">IF(D$12=0,0,D36/D$12)</f>
        <v>#NAME?</v>
      </c>
      <c r="G36" s="14"/>
      <c r="H36" s="33" t="e">
        <f ca="1">SUM(H31:H35)</f>
        <v>#NAME?</v>
      </c>
      <c r="I36" s="14"/>
      <c r="J36" s="32" t="e">
        <f ca="1">IF(H$12=0,0,H36/H$12)</f>
        <v>#NAME?</v>
      </c>
      <c r="K36" s="15"/>
      <c r="L36" s="33" t="e">
        <f ca="1">+D36-H36</f>
        <v>#NAME?</v>
      </c>
      <c r="M36" s="15"/>
      <c r="N36" s="32" t="e">
        <f ca="1">IF(H36=0,0,L36/H36)</f>
        <v>#NAME?</v>
      </c>
      <c r="O36" s="29"/>
      <c r="P36" s="33" t="e">
        <f ca="1">SUM(P31:P35)</f>
        <v>#NAME?</v>
      </c>
      <c r="Q36" s="14"/>
      <c r="R36" s="32" t="e">
        <f ca="1">IF(P$12=0,0,P36/P$12)</f>
        <v>#NAME?</v>
      </c>
      <c r="S36" s="14"/>
      <c r="T36" s="33" t="e">
        <f ca="1">SUM(T31:T35)</f>
        <v>#NAME?</v>
      </c>
      <c r="U36" s="14"/>
      <c r="V36" s="32" t="e">
        <f ca="1">IF(T$12=0,0,T36/T$12)</f>
        <v>#NAME?</v>
      </c>
      <c r="W36" s="15"/>
      <c r="X36" s="33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0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9" ma:contentTypeDescription="Create a new document." ma:contentTypeScope="" ma:versionID="d40e98030b3dc663e0d4553b7dcd1867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c520295a271e8254a7ac83f751e3a076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5014152-DF87-45B2-8DC7-18D1F61EF1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ADAE1B0-9D4D-4D4D-8D3C-288D19BE889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05888B3-6356-422B-A8B3-7CC8F4E39237}">
  <ds:schemaRefs>
    <ds:schemaRef ds:uri="http://schemas.openxmlformats.org/package/2006/metadata/core-properties"/>
    <ds:schemaRef ds:uri="http://purl.org/dc/terms/"/>
    <ds:schemaRef ds:uri="762caf36-b0c2-49b4-ab14-ff4bceb8c0ae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4034</vt:i4>
      </vt:variant>
    </vt:vector>
  </HeadingPairs>
  <TitlesOfParts>
    <vt:vector size="4131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'201'!OSRRefD13x_0</vt:lpstr>
      <vt:lpstr>'202'!OSRRefD13x_0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'412'!OSRRefD16x_0</vt:lpstr>
      <vt:lpstr>'413'!OSRRefD16x_0</vt:lpstr>
      <vt:lpstr>'414'!OSRRefD16x_0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'316'!OSRRefD22_12x_0</vt:lpstr>
      <vt:lpstr>'317'!OSRRefD22_12x_0</vt:lpstr>
      <vt:lpstr>'321'!OSRRefD22_12x_0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'317'!OSRRefD22_13x_0</vt:lpstr>
      <vt:lpstr>'321'!OSRRefD22_13x_0</vt:lpstr>
      <vt:lpstr>'325'!OSRRefD22_13x_0</vt:lpstr>
      <vt:lpstr>'326'!OSRRefD22_13x_0</vt:lpstr>
      <vt:lpstr>'330'!OSRRefD22_13x_0</vt:lpstr>
      <vt:lpstr>'331'!OSRRefD22_13x_0</vt:lpstr>
      <vt:lpstr>'405'!OSRRefD22_13x_0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'414'!OSRRefD22_14x_0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'325'!OSRRefD22_16x_0</vt:lpstr>
      <vt:lpstr>'326'!OSRRefD22_16x_0</vt:lpstr>
      <vt:lpstr>'331'!OSRRefD22_16x_0</vt:lpstr>
      <vt:lpstr>'405'!OSRRefD22_16x_0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'315'!OSRRefD22_17x_0</vt:lpstr>
      <vt:lpstr>'325'!OSRRefD22_17x_0</vt:lpstr>
      <vt:lpstr>'326'!OSRRefD22_17x_0</vt:lpstr>
      <vt:lpstr>'331'!OSRRefD22_17x_0</vt:lpstr>
      <vt:lpstr>'405'!OSRRefD22_17x_0</vt:lpstr>
      <vt:lpstr>'415'!OSRRefD22_17x_0</vt:lpstr>
      <vt:lpstr>'444'!OSRRefD22_17x_0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'415'!OSRRefD22_18x_0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'324'!OSRRefD22_1x_0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'331'!OSRRefD22_22x_0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'423'!OSRRefD22_6x_0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'206'!OSRRefD22_8x_0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'206'!OSRRefD22_9x_0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'202'!OSRRefD25x_0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'418'!OSRRefD25x_0</vt:lpstr>
      <vt:lpstr>'423'!OSRRefD25x_0</vt:lpstr>
      <vt:lpstr>'455'!OSRRefD25x_0</vt:lpstr>
      <vt:lpstr>'491'!OSRRefD25x_0</vt:lpstr>
      <vt:lpstr>'501'!OSRRefD25x_0</vt:lpstr>
      <vt:lpstr>'Div 2'!OSRRefD25x_0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'201'!OSRRefH13x_0</vt:lpstr>
      <vt:lpstr>'202'!OSRRefH13x_0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'412'!OSRRefH16x_0</vt:lpstr>
      <vt:lpstr>'413'!OSRRefH16x_0</vt:lpstr>
      <vt:lpstr>'414'!OSRRefH16x_0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'316'!OSRRefH22_12x_0</vt:lpstr>
      <vt:lpstr>'317'!OSRRefH22_12x_0</vt:lpstr>
      <vt:lpstr>'321'!OSRRefH22_12x_0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'317'!OSRRefH22_13x_0</vt:lpstr>
      <vt:lpstr>'321'!OSRRefH22_13x_0</vt:lpstr>
      <vt:lpstr>'325'!OSRRefH22_13x_0</vt:lpstr>
      <vt:lpstr>'326'!OSRRefH22_13x_0</vt:lpstr>
      <vt:lpstr>'330'!OSRRefH22_13x_0</vt:lpstr>
      <vt:lpstr>'331'!OSRRefH22_13x_0</vt:lpstr>
      <vt:lpstr>'405'!OSRRefH22_13x_0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'414'!OSRRefH22_14x_0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'325'!OSRRefH22_16x_0</vt:lpstr>
      <vt:lpstr>'326'!OSRRefH22_16x_0</vt:lpstr>
      <vt:lpstr>'331'!OSRRefH22_16x_0</vt:lpstr>
      <vt:lpstr>'405'!OSRRefH22_16x_0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'315'!OSRRefH22_17x_0</vt:lpstr>
      <vt:lpstr>'325'!OSRRefH22_17x_0</vt:lpstr>
      <vt:lpstr>'326'!OSRRefH22_17x_0</vt:lpstr>
      <vt:lpstr>'331'!OSRRefH22_17x_0</vt:lpstr>
      <vt:lpstr>'405'!OSRRefH22_17x_0</vt:lpstr>
      <vt:lpstr>'415'!OSRRefH22_17x_0</vt:lpstr>
      <vt:lpstr>'444'!OSRRefH22_17x_0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'415'!OSRRefH22_18x_0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'324'!OSRRefH22_1x_0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'331'!OSRRefH22_22x_0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'423'!OSRRefH22_6x_0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'206'!OSRRefH22_8x_0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'206'!OSRRefH22_9x_0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'202'!OSRRefH25x_0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'418'!OSRRefH25x_0</vt:lpstr>
      <vt:lpstr>'423'!OSRRefH25x_0</vt:lpstr>
      <vt:lpstr>'455'!OSRRefH25x_0</vt:lpstr>
      <vt:lpstr>'491'!OSRRefH25x_0</vt:lpstr>
      <vt:lpstr>'501'!OSRRefH25x_0</vt:lpstr>
      <vt:lpstr>'Div 2'!OSRRefH25x_0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'201'!OSRRefP13x_0</vt:lpstr>
      <vt:lpstr>'202'!OSRRefP13x_0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'412'!OSRRefP16x_0</vt:lpstr>
      <vt:lpstr>'413'!OSRRefP16x_0</vt:lpstr>
      <vt:lpstr>'414'!OSRRefP16x_0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'316'!OSRRefP22_12x_0</vt:lpstr>
      <vt:lpstr>'317'!OSRRefP22_12x_0</vt:lpstr>
      <vt:lpstr>'321'!OSRRefP22_12x_0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'317'!OSRRefP22_13x_0</vt:lpstr>
      <vt:lpstr>'321'!OSRRefP22_13x_0</vt:lpstr>
      <vt:lpstr>'325'!OSRRefP22_13x_0</vt:lpstr>
      <vt:lpstr>'326'!OSRRefP22_13x_0</vt:lpstr>
      <vt:lpstr>'330'!OSRRefP22_13x_0</vt:lpstr>
      <vt:lpstr>'331'!OSRRefP22_13x_0</vt:lpstr>
      <vt:lpstr>'405'!OSRRefP22_13x_0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'414'!OSRRefP22_14x_0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'325'!OSRRefP22_16x_0</vt:lpstr>
      <vt:lpstr>'326'!OSRRefP22_16x_0</vt:lpstr>
      <vt:lpstr>'331'!OSRRefP22_16x_0</vt:lpstr>
      <vt:lpstr>'405'!OSRRefP22_16x_0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'315'!OSRRefP22_17x_0</vt:lpstr>
      <vt:lpstr>'325'!OSRRefP22_17x_0</vt:lpstr>
      <vt:lpstr>'326'!OSRRefP22_17x_0</vt:lpstr>
      <vt:lpstr>'331'!OSRRefP22_17x_0</vt:lpstr>
      <vt:lpstr>'405'!OSRRefP22_17x_0</vt:lpstr>
      <vt:lpstr>'415'!OSRRefP22_17x_0</vt:lpstr>
      <vt:lpstr>'444'!OSRRefP22_17x_0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'415'!OSRRefP22_18x_0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'324'!OSRRefP22_1x_0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'331'!OSRRefP22_22x_0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'423'!OSRRefP22_6x_0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'206'!OSRRefP22_8x_0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'206'!OSRRefP22_9x_0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'202'!OSRRefP25x_0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'418'!OSRRefP25x_0</vt:lpstr>
      <vt:lpstr>'423'!OSRRefP25x_0</vt:lpstr>
      <vt:lpstr>'455'!OSRRefP25x_0</vt:lpstr>
      <vt:lpstr>'491'!OSRRefP25x_0</vt:lpstr>
      <vt:lpstr>'501'!OSRRefP25x_0</vt:lpstr>
      <vt:lpstr>'Div 2'!OSRRefP25x_0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'201'!OSRRefT13x_0</vt:lpstr>
      <vt:lpstr>'202'!OSRRefT13x_0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'412'!OSRRefT16x_0</vt:lpstr>
      <vt:lpstr>'413'!OSRRefT16x_0</vt:lpstr>
      <vt:lpstr>'414'!OSRRefT16x_0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'316'!OSRRefT22_12x_0</vt:lpstr>
      <vt:lpstr>'317'!OSRRefT22_12x_0</vt:lpstr>
      <vt:lpstr>'321'!OSRRefT22_12x_0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'317'!OSRRefT22_13x_0</vt:lpstr>
      <vt:lpstr>'321'!OSRRefT22_13x_0</vt:lpstr>
      <vt:lpstr>'325'!OSRRefT22_13x_0</vt:lpstr>
      <vt:lpstr>'326'!OSRRefT22_13x_0</vt:lpstr>
      <vt:lpstr>'330'!OSRRefT22_13x_0</vt:lpstr>
      <vt:lpstr>'331'!OSRRefT22_13x_0</vt:lpstr>
      <vt:lpstr>'405'!OSRRefT22_13x_0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'414'!OSRRefT22_14x_0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'325'!OSRRefT22_16x_0</vt:lpstr>
      <vt:lpstr>'326'!OSRRefT22_16x_0</vt:lpstr>
      <vt:lpstr>'331'!OSRRefT22_16x_0</vt:lpstr>
      <vt:lpstr>'405'!OSRRefT22_16x_0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'315'!OSRRefT22_17x_0</vt:lpstr>
      <vt:lpstr>'325'!OSRRefT22_17x_0</vt:lpstr>
      <vt:lpstr>'326'!OSRRefT22_17x_0</vt:lpstr>
      <vt:lpstr>'331'!OSRRefT22_17x_0</vt:lpstr>
      <vt:lpstr>'405'!OSRRefT22_17x_0</vt:lpstr>
      <vt:lpstr>'415'!OSRRefT22_17x_0</vt:lpstr>
      <vt:lpstr>'444'!OSRRefT22_17x_0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'415'!OSRRefT22_18x_0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'324'!OSRRefT22_1x_0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'331'!OSRRefT22_22x_0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'423'!OSRRefT22_6x_0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'206'!OSRRefT22_8x_0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'206'!OSRRefT22_9x_0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'202'!OSRRefT25x_0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'418'!OSRRefT25x_0</vt:lpstr>
      <vt:lpstr>'423'!OSRRefT25x_0</vt:lpstr>
      <vt:lpstr>'455'!OSRRefT25x_0</vt:lpstr>
      <vt:lpstr>'491'!OSRRefT25x_0</vt:lpstr>
      <vt:lpstr>'501'!OSRRefT25x_0</vt:lpstr>
      <vt:lpstr>'Div 2'!OSRRefT25x_0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2021-06-09T21:48:26Z</dcterms:created>
  <dcterms:modified xsi:type="dcterms:W3CDTF">2021-06-11T20:47:35Z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